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mayurrafaliya/Downloads/"/>
    </mc:Choice>
  </mc:AlternateContent>
  <xr:revisionPtr revIDLastSave="0" documentId="13_ncr:1_{9AFD6695-215D-034F-93CD-79D4F44793D0}" xr6:coauthVersionLast="47" xr6:coauthVersionMax="47" xr10:uidLastSave="{00000000-0000-0000-0000-000000000000}"/>
  <bookViews>
    <workbookView xWindow="0" yWindow="0" windowWidth="14280" windowHeight="18000" activeTab="11" xr2:uid="{49E1FB7D-4FC6-46DC-8835-D129FEAA0472}"/>
  </bookViews>
  <sheets>
    <sheet name="ReadMeFirst" sheetId="1" r:id="rId1"/>
    <sheet name="Components" sheetId="2" r:id="rId2"/>
    <sheet name="A Picking" sheetId="3" r:id="rId3"/>
    <sheet name="A P&amp;L" sheetId="13" r:id="rId4"/>
    <sheet name="A Assembly" sheetId="10" r:id="rId5"/>
    <sheet name="A Employees" sheetId="5" r:id="rId6"/>
    <sheet name="A WholeSale" sheetId="8" r:id="rId7"/>
    <sheet name="A Schedule" sheetId="6" r:id="rId8"/>
    <sheet name="A DayProdn" sheetId="9" r:id="rId9"/>
    <sheet name="A VerAvgProdn" sheetId="11" r:id="rId10"/>
    <sheet name="A POs" sheetId="12" r:id="rId11"/>
    <sheet name="T Picking" sheetId="14" r:id="rId12"/>
    <sheet name="T P&amp;L" sheetId="15" r:id="rId13"/>
    <sheet name="To-Be Sunny day P&amp;L" sheetId="19" r:id="rId14"/>
    <sheet name="To-Be Rainy day P&amp;L" sheetId="20" r:id="rId15"/>
    <sheet name="T Assembly" sheetId="16" r:id="rId16"/>
    <sheet name="T Schedule" sheetId="17" r:id="rId17"/>
    <sheet name="Rationale" sheetId="18" r:id="rId18"/>
  </sheets>
  <definedNames>
    <definedName name="_xlnm._FilterDatabase" localSheetId="8" hidden="1">'A DayProdn'!$A$4:$G$4</definedName>
  </definedNames>
  <calcPr calcId="191028"/>
  <pivotCaches>
    <pivotCache cacheId="3" r:id="rId1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25" i="17" l="1"/>
  <c r="G124" i="17"/>
  <c r="G132" i="17" s="1"/>
  <c r="G123" i="17"/>
  <c r="G131" i="17" s="1"/>
  <c r="G122" i="17"/>
  <c r="G130" i="17" s="1"/>
  <c r="G121" i="17"/>
  <c r="G129" i="17" s="1"/>
  <c r="G120" i="17"/>
  <c r="G128" i="17" s="1"/>
  <c r="D47" i="20"/>
  <c r="D47" i="19"/>
  <c r="D47" i="15"/>
  <c r="D35" i="20"/>
  <c r="D34" i="20"/>
  <c r="C50" i="14"/>
  <c r="F50" i="14"/>
  <c r="D35" i="19" s="1"/>
  <c r="D34" i="19"/>
  <c r="D106" i="20"/>
  <c r="I92" i="20"/>
  <c r="E92" i="20"/>
  <c r="D92" i="20"/>
  <c r="E91" i="20"/>
  <c r="D91" i="20"/>
  <c r="I91" i="20" s="1"/>
  <c r="E90" i="20"/>
  <c r="D90" i="20"/>
  <c r="I90" i="20" s="1"/>
  <c r="E89" i="20"/>
  <c r="I89" i="20" s="1"/>
  <c r="D89" i="20"/>
  <c r="E88" i="20"/>
  <c r="I88" i="20" s="1"/>
  <c r="D88" i="20"/>
  <c r="E87" i="20"/>
  <c r="I87" i="20" s="1"/>
  <c r="D87" i="20"/>
  <c r="E86" i="20"/>
  <c r="D86" i="20"/>
  <c r="I86" i="20" s="1"/>
  <c r="D82" i="20"/>
  <c r="D104" i="20" s="1"/>
  <c r="F78" i="20"/>
  <c r="D78" i="20"/>
  <c r="F77" i="20"/>
  <c r="D77" i="20"/>
  <c r="D76" i="20"/>
  <c r="F64" i="20"/>
  <c r="F63" i="20"/>
  <c r="E64" i="20" s="1"/>
  <c r="E63" i="20"/>
  <c r="D63" i="20"/>
  <c r="D64" i="20" s="1"/>
  <c r="F62" i="20"/>
  <c r="E62" i="20"/>
  <c r="D62" i="20"/>
  <c r="F61" i="20"/>
  <c r="E61" i="20"/>
  <c r="D61" i="20"/>
  <c r="D65" i="20" s="1"/>
  <c r="F60" i="20"/>
  <c r="F65" i="20" s="1"/>
  <c r="E60" i="20"/>
  <c r="E65" i="20" s="1"/>
  <c r="D60" i="20"/>
  <c r="C52" i="20"/>
  <c r="C51" i="20"/>
  <c r="D40" i="20"/>
  <c r="D39" i="20"/>
  <c r="D53" i="20" s="1"/>
  <c r="D49" i="20"/>
  <c r="D50" i="20" s="1"/>
  <c r="D51" i="20" s="1"/>
  <c r="D52" i="20" s="1"/>
  <c r="D106" i="19"/>
  <c r="E92" i="19"/>
  <c r="D92" i="19"/>
  <c r="I92" i="19" s="1"/>
  <c r="E91" i="19"/>
  <c r="D91" i="19"/>
  <c r="I91" i="19" s="1"/>
  <c r="E90" i="19"/>
  <c r="D90" i="19"/>
  <c r="I90" i="19" s="1"/>
  <c r="I89" i="19"/>
  <c r="E89" i="19"/>
  <c r="D89" i="19"/>
  <c r="E88" i="19"/>
  <c r="I88" i="19" s="1"/>
  <c r="D88" i="19"/>
  <c r="I87" i="19"/>
  <c r="E87" i="19"/>
  <c r="D87" i="19"/>
  <c r="E86" i="19"/>
  <c r="D86" i="19"/>
  <c r="I86" i="19" s="1"/>
  <c r="F78" i="19"/>
  <c r="D78" i="19"/>
  <c r="F77" i="19"/>
  <c r="D77" i="19"/>
  <c r="D82" i="19" s="1"/>
  <c r="D104" i="19" s="1"/>
  <c r="D76" i="19"/>
  <c r="D64" i="19"/>
  <c r="F63" i="19"/>
  <c r="F64" i="19" s="1"/>
  <c r="E63" i="19"/>
  <c r="E64" i="19" s="1"/>
  <c r="D63" i="19"/>
  <c r="F62" i="19"/>
  <c r="E62" i="19"/>
  <c r="D62" i="19"/>
  <c r="F61" i="19"/>
  <c r="E61" i="19"/>
  <c r="D61" i="19"/>
  <c r="F60" i="19"/>
  <c r="F65" i="19" s="1"/>
  <c r="E60" i="19"/>
  <c r="E65" i="19" s="1"/>
  <c r="D60" i="19"/>
  <c r="D65" i="19" s="1"/>
  <c r="C52" i="19"/>
  <c r="C51" i="19"/>
  <c r="D53" i="19"/>
  <c r="D49" i="19"/>
  <c r="I89" i="15"/>
  <c r="D49" i="15"/>
  <c r="I42" i="14"/>
  <c r="I43" i="14"/>
  <c r="H42" i="14"/>
  <c r="H43" i="14"/>
  <c r="G41" i="14"/>
  <c r="G29" i="14"/>
  <c r="J29" i="14"/>
  <c r="G31" i="14"/>
  <c r="AC17" i="14"/>
  <c r="Y17" i="14"/>
  <c r="U17" i="14"/>
  <c r="D63" i="15"/>
  <c r="D40" i="15"/>
  <c r="D39" i="15"/>
  <c r="D53" i="15" s="1"/>
  <c r="L8" i="17"/>
  <c r="F159" i="16"/>
  <c r="F160" i="16" s="1"/>
  <c r="F161" i="16" s="1"/>
  <c r="F162" i="16" s="1"/>
  <c r="R71" i="16" s="1"/>
  <c r="F158" i="16"/>
  <c r="F150" i="16"/>
  <c r="F151" i="16" s="1"/>
  <c r="F152" i="16" s="1"/>
  <c r="F153" i="16" s="1"/>
  <c r="F154" i="16" s="1"/>
  <c r="F155" i="16" s="1"/>
  <c r="R67" i="16" s="1"/>
  <c r="M145" i="16"/>
  <c r="L145" i="16"/>
  <c r="M144" i="16"/>
  <c r="L144" i="16"/>
  <c r="M143" i="16"/>
  <c r="M146" i="16" s="1"/>
  <c r="V64" i="16" s="1"/>
  <c r="L143" i="16"/>
  <c r="L146" i="16" s="1"/>
  <c r="U64" i="16" s="1"/>
  <c r="F136" i="16"/>
  <c r="F137" i="16" s="1"/>
  <c r="F138" i="16" s="1"/>
  <c r="F139" i="16" s="1"/>
  <c r="F140" i="16" s="1"/>
  <c r="F141" i="16" s="1"/>
  <c r="F142" i="16" s="1"/>
  <c r="F143" i="16" s="1"/>
  <c r="F144" i="16" s="1"/>
  <c r="F145" i="16" s="1"/>
  <c r="R64" i="16" s="1"/>
  <c r="F135" i="16"/>
  <c r="F126" i="16"/>
  <c r="F127" i="16" s="1"/>
  <c r="F128" i="16" s="1"/>
  <c r="F129" i="16" s="1"/>
  <c r="F130" i="16" s="1"/>
  <c r="R60" i="16" s="1"/>
  <c r="F125" i="16"/>
  <c r="F113" i="16"/>
  <c r="F114" i="16" s="1"/>
  <c r="F115" i="16" s="1"/>
  <c r="F116" i="16" s="1"/>
  <c r="F117" i="16" s="1"/>
  <c r="F118" i="16" s="1"/>
  <c r="F119" i="16" s="1"/>
  <c r="R54" i="16" s="1"/>
  <c r="F109" i="16"/>
  <c r="R48" i="16" s="1"/>
  <c r="M106" i="16"/>
  <c r="L106" i="16"/>
  <c r="M105" i="16"/>
  <c r="L105" i="16"/>
  <c r="M104" i="16"/>
  <c r="L104" i="16"/>
  <c r="M103" i="16"/>
  <c r="L103" i="16"/>
  <c r="M101" i="16"/>
  <c r="M107" i="16" s="1"/>
  <c r="V45" i="16" s="1"/>
  <c r="L101" i="16"/>
  <c r="L107" i="16" s="1"/>
  <c r="U45" i="16" s="1"/>
  <c r="G96" i="16"/>
  <c r="F94" i="16"/>
  <c r="F95" i="16" s="1"/>
  <c r="F96" i="16" s="1"/>
  <c r="F97" i="16" s="1"/>
  <c r="F98" i="16" s="1"/>
  <c r="F99" i="16" s="1"/>
  <c r="F100" i="16" s="1"/>
  <c r="F101" i="16" s="1"/>
  <c r="F102" i="16" s="1"/>
  <c r="F103" i="16" s="1"/>
  <c r="F104" i="16" s="1"/>
  <c r="F105" i="16" s="1"/>
  <c r="F106" i="16" s="1"/>
  <c r="R45" i="16" s="1"/>
  <c r="L88" i="16"/>
  <c r="U40" i="16" s="1"/>
  <c r="M87" i="16"/>
  <c r="M86" i="16"/>
  <c r="M88" i="16" s="1"/>
  <c r="V40" i="16" s="1"/>
  <c r="L86" i="16"/>
  <c r="G85" i="16"/>
  <c r="F83" i="16"/>
  <c r="F84" i="16" s="1"/>
  <c r="F85" i="16" s="1"/>
  <c r="F86" i="16" s="1"/>
  <c r="F87" i="16" s="1"/>
  <c r="R40" i="16" s="1"/>
  <c r="W40" i="16" s="1"/>
  <c r="W41" i="16" s="1"/>
  <c r="W42" i="16" s="1"/>
  <c r="W43" i="16" s="1"/>
  <c r="W44" i="16" s="1"/>
  <c r="W45" i="16" s="1"/>
  <c r="W46" i="16" s="1"/>
  <c r="W47" i="16" s="1"/>
  <c r="W48" i="16" s="1"/>
  <c r="W49" i="16" s="1"/>
  <c r="W50" i="16" s="1"/>
  <c r="W51" i="16" s="1"/>
  <c r="W52" i="16" s="1"/>
  <c r="W53" i="16" s="1"/>
  <c r="W54" i="16" s="1"/>
  <c r="W55" i="16" s="1"/>
  <c r="W56" i="16" s="1"/>
  <c r="W57" i="16" s="1"/>
  <c r="W58" i="16" s="1"/>
  <c r="W59" i="16" s="1"/>
  <c r="W60" i="16" s="1"/>
  <c r="W61" i="16" s="1"/>
  <c r="W62" i="16" s="1"/>
  <c r="W63" i="16" s="1"/>
  <c r="F80" i="16"/>
  <c r="F81" i="16" s="1"/>
  <c r="F82" i="16" s="1"/>
  <c r="F72" i="16"/>
  <c r="F71" i="16"/>
  <c r="F70" i="16"/>
  <c r="F69" i="16"/>
  <c r="F68" i="16"/>
  <c r="F67" i="16"/>
  <c r="F66" i="16"/>
  <c r="M65" i="16"/>
  <c r="L65" i="16"/>
  <c r="F65" i="16"/>
  <c r="M64" i="16"/>
  <c r="F64" i="16"/>
  <c r="M63" i="16"/>
  <c r="L63" i="16"/>
  <c r="F63" i="16"/>
  <c r="M62" i="16"/>
  <c r="L62" i="16"/>
  <c r="F62" i="16"/>
  <c r="M61" i="16"/>
  <c r="L61" i="16"/>
  <c r="F61" i="16"/>
  <c r="F60" i="16"/>
  <c r="F59" i="16"/>
  <c r="M58" i="16"/>
  <c r="L58" i="16"/>
  <c r="F58" i="16"/>
  <c r="F57" i="16"/>
  <c r="F56" i="16"/>
  <c r="M55" i="16"/>
  <c r="L55" i="16"/>
  <c r="F55" i="16"/>
  <c r="F54" i="16"/>
  <c r="G53" i="16"/>
  <c r="F53" i="16"/>
  <c r="M52" i="16"/>
  <c r="L52" i="16"/>
  <c r="F52" i="16"/>
  <c r="F49" i="16"/>
  <c r="G48" i="16"/>
  <c r="F48" i="16"/>
  <c r="M47" i="16"/>
  <c r="L47" i="16"/>
  <c r="F47" i="16"/>
  <c r="M46" i="16"/>
  <c r="L46" i="16"/>
  <c r="F46" i="16"/>
  <c r="F45" i="16"/>
  <c r="M44" i="16"/>
  <c r="L44" i="16"/>
  <c r="F44" i="16"/>
  <c r="M43" i="16"/>
  <c r="L43" i="16"/>
  <c r="M42" i="16"/>
  <c r="L42" i="16"/>
  <c r="M41" i="16"/>
  <c r="L41" i="16"/>
  <c r="F41" i="16"/>
  <c r="F40" i="16"/>
  <c r="W39" i="16"/>
  <c r="M39" i="16"/>
  <c r="O39" i="16" s="1"/>
  <c r="O40" i="16" s="1"/>
  <c r="L39" i="16"/>
  <c r="N39" i="16" s="1"/>
  <c r="N40" i="16" s="1"/>
  <c r="N41" i="16" s="1"/>
  <c r="N42" i="16" s="1"/>
  <c r="N43" i="16" s="1"/>
  <c r="N44" i="16" s="1"/>
  <c r="N45" i="16" s="1"/>
  <c r="N46" i="16" s="1"/>
  <c r="N47" i="16" s="1"/>
  <c r="N48" i="16" s="1"/>
  <c r="N49" i="16" s="1"/>
  <c r="N50" i="16" s="1"/>
  <c r="N51" i="16" s="1"/>
  <c r="N52" i="16" s="1"/>
  <c r="N53" i="16" s="1"/>
  <c r="N54" i="16" s="1"/>
  <c r="N55" i="16" s="1"/>
  <c r="N56" i="16" s="1"/>
  <c r="N57" i="16" s="1"/>
  <c r="N58" i="16" s="1"/>
  <c r="N59" i="16" s="1"/>
  <c r="N60" i="16" s="1"/>
  <c r="N61" i="16" s="1"/>
  <c r="N62" i="16" s="1"/>
  <c r="N63" i="16" s="1"/>
  <c r="N64" i="16" s="1"/>
  <c r="N65" i="16" s="1"/>
  <c r="N66" i="16" s="1"/>
  <c r="N67" i="16" s="1"/>
  <c r="N68" i="16" s="1"/>
  <c r="N69" i="16" s="1"/>
  <c r="N70" i="16" s="1"/>
  <c r="N71" i="16" s="1"/>
  <c r="N72" i="16" s="1"/>
  <c r="F39" i="16"/>
  <c r="H18" i="16"/>
  <c r="H13" i="16"/>
  <c r="H11" i="16"/>
  <c r="H10" i="16"/>
  <c r="H9" i="16"/>
  <c r="D5" i="16"/>
  <c r="E5" i="16" s="1"/>
  <c r="C5" i="16"/>
  <c r="D4" i="16"/>
  <c r="E4" i="16" s="1"/>
  <c r="G126" i="16" s="1"/>
  <c r="C4" i="16"/>
  <c r="D106" i="15"/>
  <c r="E92" i="15"/>
  <c r="D92" i="15"/>
  <c r="E91" i="15"/>
  <c r="D91" i="15"/>
  <c r="I91" i="15" s="1"/>
  <c r="E90" i="15"/>
  <c r="D90" i="15"/>
  <c r="I90" i="15" s="1"/>
  <c r="E89" i="15"/>
  <c r="D89" i="15"/>
  <c r="E88" i="15"/>
  <c r="D88" i="15"/>
  <c r="I88" i="15" s="1"/>
  <c r="E87" i="15"/>
  <c r="D87" i="15"/>
  <c r="I87" i="15" s="1"/>
  <c r="E86" i="15"/>
  <c r="D86" i="15"/>
  <c r="I86" i="15" s="1"/>
  <c r="F78" i="15"/>
  <c r="D78" i="15"/>
  <c r="F77" i="15"/>
  <c r="D77" i="15"/>
  <c r="D82" i="15" s="1"/>
  <c r="D104" i="15" s="1"/>
  <c r="D76" i="15"/>
  <c r="E65" i="15"/>
  <c r="F64" i="15"/>
  <c r="F63" i="15"/>
  <c r="E64" i="15" s="1"/>
  <c r="E63" i="15"/>
  <c r="F62" i="15"/>
  <c r="E62" i="15"/>
  <c r="D62" i="15"/>
  <c r="F61" i="15"/>
  <c r="E61" i="15"/>
  <c r="D61" i="15"/>
  <c r="F60" i="15"/>
  <c r="F65" i="15" s="1"/>
  <c r="E60" i="15"/>
  <c r="D60" i="15"/>
  <c r="D65" i="15" s="1"/>
  <c r="C52" i="15"/>
  <c r="C51" i="15"/>
  <c r="G40" i="14"/>
  <c r="I40" i="14" s="1"/>
  <c r="G39" i="14"/>
  <c r="I39" i="14" s="1"/>
  <c r="G38" i="14"/>
  <c r="I38" i="14" s="1"/>
  <c r="G37" i="14"/>
  <c r="H37" i="14" s="1"/>
  <c r="G36" i="14"/>
  <c r="I36" i="14" s="1"/>
  <c r="G35" i="14"/>
  <c r="I35" i="14" s="1"/>
  <c r="G34" i="14"/>
  <c r="I34" i="14" s="1"/>
  <c r="G33" i="14"/>
  <c r="H33" i="14" s="1"/>
  <c r="G32" i="14"/>
  <c r="I32" i="14" s="1"/>
  <c r="I31" i="14"/>
  <c r="G30" i="14"/>
  <c r="H30" i="14" s="1"/>
  <c r="H29" i="14"/>
  <c r="J35" i="14"/>
  <c r="L11" i="14"/>
  <c r="L6" i="14"/>
  <c r="D35" i="13"/>
  <c r="D34" i="13"/>
  <c r="L31" i="3"/>
  <c r="L32" i="3"/>
  <c r="L33" i="3"/>
  <c r="L34" i="3"/>
  <c r="L35" i="3"/>
  <c r="L36" i="3"/>
  <c r="L37" i="3"/>
  <c r="L38" i="3"/>
  <c r="L39" i="3"/>
  <c r="L40" i="3"/>
  <c r="L41" i="3"/>
  <c r="L29" i="3"/>
  <c r="L30" i="3"/>
  <c r="K29" i="3"/>
  <c r="K31" i="3"/>
  <c r="K32" i="3"/>
  <c r="K33" i="3"/>
  <c r="K34" i="3"/>
  <c r="K35" i="3"/>
  <c r="K36" i="3"/>
  <c r="K37" i="3"/>
  <c r="K38" i="3"/>
  <c r="K39" i="3"/>
  <c r="K40" i="3"/>
  <c r="K41" i="3"/>
  <c r="K30" i="3"/>
  <c r="F61" i="13"/>
  <c r="E61" i="13"/>
  <c r="D61" i="13"/>
  <c r="W54" i="10"/>
  <c r="W55" i="10"/>
  <c r="W56" i="10"/>
  <c r="W57" i="10"/>
  <c r="W58" i="10"/>
  <c r="W59" i="10"/>
  <c r="W60" i="10"/>
  <c r="W61" i="10"/>
  <c r="W62" i="10"/>
  <c r="W63" i="10"/>
  <c r="W64" i="10"/>
  <c r="W65" i="10"/>
  <c r="W66" i="10"/>
  <c r="W67" i="10"/>
  <c r="W68" i="10"/>
  <c r="W69" i="10"/>
  <c r="W70" i="10"/>
  <c r="W71" i="10"/>
  <c r="W72" i="10"/>
  <c r="W45" i="10"/>
  <c r="W46" i="10"/>
  <c r="W47" i="10"/>
  <c r="W48" i="10"/>
  <c r="W49" i="10"/>
  <c r="W50" i="10"/>
  <c r="W51" i="10"/>
  <c r="W52" i="10"/>
  <c r="W53" i="10"/>
  <c r="W41" i="10"/>
  <c r="W42" i="10"/>
  <c r="W43" i="10"/>
  <c r="W44" i="10"/>
  <c r="W40" i="10"/>
  <c r="W39" i="10"/>
  <c r="T71" i="10"/>
  <c r="S71" i="10"/>
  <c r="R71" i="10"/>
  <c r="T67" i="10"/>
  <c r="S67" i="10"/>
  <c r="R67" i="10"/>
  <c r="V64" i="10"/>
  <c r="U64" i="10"/>
  <c r="L4" i="2" a="1"/>
  <c r="L4" i="2"/>
  <c r="T64" i="10"/>
  <c r="S64" i="10"/>
  <c r="R64" i="10"/>
  <c r="T60" i="10"/>
  <c r="S60" i="10"/>
  <c r="R60" i="10"/>
  <c r="T54" i="10"/>
  <c r="S54" i="10"/>
  <c r="R54" i="10"/>
  <c r="T48" i="10"/>
  <c r="S48" i="10"/>
  <c r="R48" i="10"/>
  <c r="T45" i="10"/>
  <c r="S45" i="10"/>
  <c r="R45" i="10"/>
  <c r="T40" i="10"/>
  <c r="S40" i="10"/>
  <c r="R40" i="10"/>
  <c r="O113" i="10"/>
  <c r="N113" i="10"/>
  <c r="J113" i="10"/>
  <c r="I113" i="10"/>
  <c r="F113" i="10"/>
  <c r="I20" i="2"/>
  <c r="H20" i="2"/>
  <c r="I19" i="2"/>
  <c r="H19" i="2"/>
  <c r="I18" i="2"/>
  <c r="H18" i="2"/>
  <c r="I17" i="2"/>
  <c r="M106" i="10" s="1"/>
  <c r="H17" i="2"/>
  <c r="L106" i="10" s="1"/>
  <c r="I16" i="2"/>
  <c r="M105" i="10" s="1"/>
  <c r="H16" i="2"/>
  <c r="L105" i="10" s="1"/>
  <c r="I15" i="2"/>
  <c r="M104" i="10" s="1"/>
  <c r="H15" i="2"/>
  <c r="L104" i="10" s="1"/>
  <c r="I14" i="2"/>
  <c r="H14" i="2"/>
  <c r="I13" i="2"/>
  <c r="M46" i="10" s="1"/>
  <c r="H13" i="2"/>
  <c r="L46" i="10" s="1"/>
  <c r="I12" i="2"/>
  <c r="M65" i="10" s="1"/>
  <c r="H12" i="2"/>
  <c r="L65" i="10" s="1"/>
  <c r="I11" i="2"/>
  <c r="M58" i="10" s="1"/>
  <c r="H11" i="2"/>
  <c r="L58" i="10" s="1"/>
  <c r="I10" i="2"/>
  <c r="M52" i="10" s="1"/>
  <c r="H10" i="2"/>
  <c r="L52" i="10" s="1"/>
  <c r="I9" i="2"/>
  <c r="H9" i="2"/>
  <c r="I8" i="2"/>
  <c r="M55" i="10" s="1"/>
  <c r="H8" i="2"/>
  <c r="L55" i="10" s="1"/>
  <c r="I7" i="2"/>
  <c r="M47" i="10" s="1"/>
  <c r="H7" i="2"/>
  <c r="I6" i="2"/>
  <c r="M145" i="10" s="1"/>
  <c r="H6" i="2"/>
  <c r="I5" i="2"/>
  <c r="H5" i="2"/>
  <c r="I4" i="2"/>
  <c r="H4" i="2"/>
  <c r="F29" i="5"/>
  <c r="D89" i="13" s="1"/>
  <c r="F28" i="5"/>
  <c r="D92" i="13" s="1"/>
  <c r="F27" i="5"/>
  <c r="D91" i="13" s="1"/>
  <c r="E92" i="13"/>
  <c r="I92" i="13" s="1"/>
  <c r="E91" i="13"/>
  <c r="I91" i="13" s="1"/>
  <c r="E89" i="13"/>
  <c r="I89" i="13" s="1"/>
  <c r="E86" i="13"/>
  <c r="E87" i="13"/>
  <c r="E88" i="13"/>
  <c r="E90" i="13"/>
  <c r="D86" i="13"/>
  <c r="I86" i="13" s="1"/>
  <c r="D87" i="13"/>
  <c r="I87" i="13" s="1"/>
  <c r="D88" i="13"/>
  <c r="I88" i="13" s="1"/>
  <c r="D90" i="13"/>
  <c r="I90" i="13" s="1"/>
  <c r="F78" i="13"/>
  <c r="F77" i="13"/>
  <c r="F76" i="13"/>
  <c r="D78" i="13"/>
  <c r="D76" i="13"/>
  <c r="D77" i="13"/>
  <c r="D18" i="11"/>
  <c r="D63" i="13" s="1"/>
  <c r="F62" i="13"/>
  <c r="E62" i="13"/>
  <c r="D62" i="13"/>
  <c r="F60" i="13"/>
  <c r="E60" i="13"/>
  <c r="D60" i="13"/>
  <c r="D40" i="13"/>
  <c r="D39" i="13"/>
  <c r="C50" i="3"/>
  <c r="J42" i="3"/>
  <c r="F158" i="10"/>
  <c r="F159" i="10" s="1"/>
  <c r="F160" i="10" s="1"/>
  <c r="F161" i="10" s="1"/>
  <c r="F162" i="10" s="1"/>
  <c r="F150" i="10"/>
  <c r="F151" i="10" s="1"/>
  <c r="F152" i="10" s="1"/>
  <c r="F153" i="10" s="1"/>
  <c r="F154" i="10" s="1"/>
  <c r="F155" i="10" s="1"/>
  <c r="F135" i="10"/>
  <c r="F136" i="10" s="1"/>
  <c r="F137" i="10" s="1"/>
  <c r="F138" i="10" s="1"/>
  <c r="F139" i="10" s="1"/>
  <c r="F140" i="10" s="1"/>
  <c r="F141" i="10" s="1"/>
  <c r="F142" i="10" s="1"/>
  <c r="F143" i="10" s="1"/>
  <c r="F144" i="10" s="1"/>
  <c r="F145" i="10" s="1"/>
  <c r="F125" i="10"/>
  <c r="F126" i="10" s="1"/>
  <c r="F127" i="10" s="1"/>
  <c r="F128" i="10" s="1"/>
  <c r="F129" i="10" s="1"/>
  <c r="F130" i="10" s="1"/>
  <c r="F114" i="10"/>
  <c r="F115" i="10" s="1"/>
  <c r="F116" i="10" s="1"/>
  <c r="F117" i="10" s="1"/>
  <c r="F118" i="10" s="1"/>
  <c r="F119" i="10" s="1"/>
  <c r="F109" i="10"/>
  <c r="F94" i="10"/>
  <c r="F95" i="10" s="1"/>
  <c r="F96" i="10" s="1"/>
  <c r="F97" i="10" s="1"/>
  <c r="F98" i="10" s="1"/>
  <c r="F99" i="10" s="1"/>
  <c r="F100" i="10" s="1"/>
  <c r="F101" i="10" s="1"/>
  <c r="F102" i="10" s="1"/>
  <c r="F103" i="10" s="1"/>
  <c r="F104" i="10" s="1"/>
  <c r="F105" i="10" s="1"/>
  <c r="F106" i="10" s="1"/>
  <c r="F80" i="10"/>
  <c r="F81" i="10" s="1"/>
  <c r="F82" i="10" s="1"/>
  <c r="F83" i="10" s="1"/>
  <c r="F84" i="10" s="1"/>
  <c r="F85" i="10" s="1"/>
  <c r="F86" i="10" s="1"/>
  <c r="F87" i="10" s="1"/>
  <c r="D20" i="11"/>
  <c r="F63" i="13" s="1"/>
  <c r="D19" i="11"/>
  <c r="E63" i="13" s="1"/>
  <c r="P51" i="2"/>
  <c r="P52" i="2"/>
  <c r="P50" i="2"/>
  <c r="O51" i="2"/>
  <c r="O52" i="2"/>
  <c r="O50" i="2"/>
  <c r="L16" i="3"/>
  <c r="J30" i="3" s="1"/>
  <c r="F41" i="10"/>
  <c r="F44" i="10"/>
  <c r="F45" i="10"/>
  <c r="F46" i="10"/>
  <c r="F47" i="10"/>
  <c r="F48" i="10"/>
  <c r="F49" i="10"/>
  <c r="F52" i="10"/>
  <c r="F53" i="10"/>
  <c r="F54" i="10"/>
  <c r="F55" i="10"/>
  <c r="F56" i="10"/>
  <c r="F57" i="10"/>
  <c r="F58" i="10"/>
  <c r="F59" i="10"/>
  <c r="F60" i="10"/>
  <c r="F61" i="10"/>
  <c r="F62" i="10"/>
  <c r="F63" i="10"/>
  <c r="F64" i="10"/>
  <c r="F65" i="10"/>
  <c r="F66" i="10"/>
  <c r="F67" i="10"/>
  <c r="F68" i="10"/>
  <c r="F69" i="10"/>
  <c r="F70" i="10"/>
  <c r="F71" i="10"/>
  <c r="F72" i="10"/>
  <c r="D49" i="13" s="1"/>
  <c r="F40" i="10"/>
  <c r="F39" i="10"/>
  <c r="P36" i="2"/>
  <c r="O36" i="2"/>
  <c r="P37" i="2"/>
  <c r="P38" i="2"/>
  <c r="P39" i="2"/>
  <c r="P40" i="2"/>
  <c r="P41" i="2"/>
  <c r="P42" i="2"/>
  <c r="P43" i="2"/>
  <c r="P44" i="2"/>
  <c r="P45" i="2"/>
  <c r="P46" i="2"/>
  <c r="P47" i="2"/>
  <c r="P48" i="2"/>
  <c r="P49" i="2"/>
  <c r="O38" i="2"/>
  <c r="O39" i="2"/>
  <c r="O40" i="2"/>
  <c r="O41" i="2"/>
  <c r="O42" i="2"/>
  <c r="O43" i="2"/>
  <c r="O44" i="2"/>
  <c r="O45" i="2"/>
  <c r="O46" i="2"/>
  <c r="O47" i="2"/>
  <c r="O48" i="2"/>
  <c r="O49" i="2"/>
  <c r="H10" i="10"/>
  <c r="H9" i="10"/>
  <c r="C5" i="10"/>
  <c r="C4" i="10"/>
  <c r="D5" i="10"/>
  <c r="E5" i="10" s="1"/>
  <c r="D4" i="10"/>
  <c r="E4" i="10" s="1"/>
  <c r="L11" i="3"/>
  <c r="L6" i="3"/>
  <c r="G30" i="3"/>
  <c r="G31" i="3"/>
  <c r="G32" i="3"/>
  <c r="G33" i="3"/>
  <c r="G34" i="3"/>
  <c r="G35" i="3"/>
  <c r="G36" i="3"/>
  <c r="G37" i="3"/>
  <c r="G38" i="3"/>
  <c r="G39" i="3"/>
  <c r="G40" i="3"/>
  <c r="G41" i="3"/>
  <c r="G29" i="3"/>
  <c r="W26" i="6"/>
  <c r="AA26" i="6"/>
  <c r="AE26" i="6"/>
  <c r="W27" i="6"/>
  <c r="AA27" i="6"/>
  <c r="AE27" i="6"/>
  <c r="W28" i="6"/>
  <c r="AA28" i="6"/>
  <c r="AE28" i="6"/>
  <c r="Z20" i="6"/>
  <c r="AA20" i="6"/>
  <c r="AD20" i="6"/>
  <c r="AE20" i="6"/>
  <c r="Z21" i="6"/>
  <c r="AA21" i="6"/>
  <c r="AD21" i="6"/>
  <c r="AE21" i="6"/>
  <c r="Z22" i="6"/>
  <c r="AA22" i="6"/>
  <c r="AD22" i="6"/>
  <c r="AE22" i="6"/>
  <c r="AD27" i="6"/>
  <c r="AD28" i="6"/>
  <c r="AD26" i="6"/>
  <c r="Z27" i="6"/>
  <c r="Z28" i="6"/>
  <c r="Z26" i="6"/>
  <c r="V27" i="6"/>
  <c r="V28" i="6"/>
  <c r="V26" i="6"/>
  <c r="W20" i="6"/>
  <c r="V14" i="6"/>
  <c r="V20" i="6"/>
  <c r="W21" i="6"/>
  <c r="W22" i="6"/>
  <c r="V21" i="6"/>
  <c r="V22" i="6"/>
  <c r="AF16" i="6"/>
  <c r="AF15" i="6"/>
  <c r="AF14" i="6"/>
  <c r="AE16" i="6"/>
  <c r="AE15" i="6"/>
  <c r="AE14" i="6"/>
  <c r="AD16" i="6"/>
  <c r="AD15" i="6"/>
  <c r="AD14" i="6"/>
  <c r="AA16" i="6"/>
  <c r="AA15" i="6"/>
  <c r="AB16" i="6"/>
  <c r="AB15" i="6"/>
  <c r="AB14" i="6"/>
  <c r="AA14" i="6"/>
  <c r="Z14" i="6"/>
  <c r="Z15" i="6"/>
  <c r="Z16" i="6"/>
  <c r="X16" i="6"/>
  <c r="X15" i="6"/>
  <c r="X14" i="6"/>
  <c r="W15" i="6"/>
  <c r="W16" i="6"/>
  <c r="W14" i="6"/>
  <c r="V16" i="6"/>
  <c r="V15" i="6"/>
  <c r="N30" i="6"/>
  <c r="N31" i="6"/>
  <c r="N32" i="6"/>
  <c r="N33" i="6"/>
  <c r="N34" i="6"/>
  <c r="N35" i="6"/>
  <c r="N36" i="6"/>
  <c r="N37" i="6"/>
  <c r="N38" i="6"/>
  <c r="N39" i="6"/>
  <c r="N40" i="6"/>
  <c r="N41" i="6"/>
  <c r="N42" i="6"/>
  <c r="N43" i="6"/>
  <c r="N44" i="6"/>
  <c r="N45" i="6"/>
  <c r="N46" i="6"/>
  <c r="N47" i="6"/>
  <c r="N48" i="6"/>
  <c r="N49" i="6"/>
  <c r="N50" i="6"/>
  <c r="N51" i="6"/>
  <c r="N52" i="6"/>
  <c r="N53" i="6"/>
  <c r="N54" i="6"/>
  <c r="N55" i="6"/>
  <c r="N56" i="6"/>
  <c r="N57" i="6"/>
  <c r="N58" i="6"/>
  <c r="N59" i="6"/>
  <c r="N60" i="6"/>
  <c r="N61" i="6"/>
  <c r="N62" i="6"/>
  <c r="N63" i="6"/>
  <c r="N64" i="6"/>
  <c r="N65" i="6"/>
  <c r="N66" i="6"/>
  <c r="N67" i="6"/>
  <c r="N68" i="6"/>
  <c r="N69" i="6"/>
  <c r="N70" i="6"/>
  <c r="N71" i="6"/>
  <c r="N72" i="6"/>
  <c r="N73" i="6"/>
  <c r="N74" i="6"/>
  <c r="N75" i="6"/>
  <c r="N76" i="6"/>
  <c r="N77" i="6"/>
  <c r="N78" i="6"/>
  <c r="N79" i="6"/>
  <c r="N80" i="6"/>
  <c r="N81" i="6"/>
  <c r="N82" i="6"/>
  <c r="N83" i="6"/>
  <c r="N84" i="6"/>
  <c r="N85" i="6"/>
  <c r="N86" i="6"/>
  <c r="N87" i="6"/>
  <c r="N88" i="6"/>
  <c r="N89" i="6"/>
  <c r="N90" i="6"/>
  <c r="N91" i="6"/>
  <c r="N92" i="6"/>
  <c r="N93" i="6"/>
  <c r="N94" i="6"/>
  <c r="N95" i="6"/>
  <c r="N96" i="6"/>
  <c r="N97" i="6"/>
  <c r="N98" i="6"/>
  <c r="N99" i="6"/>
  <c r="N100" i="6"/>
  <c r="N101" i="6"/>
  <c r="N102" i="6"/>
  <c r="N103" i="6"/>
  <c r="N104" i="6"/>
  <c r="N105" i="6"/>
  <c r="N106" i="6"/>
  <c r="N107" i="6"/>
  <c r="N108" i="6"/>
  <c r="N109" i="6"/>
  <c r="N110" i="6"/>
  <c r="N111" i="6"/>
  <c r="N112" i="6"/>
  <c r="N29" i="6"/>
  <c r="M29" i="6"/>
  <c r="M30" i="6"/>
  <c r="M31" i="6"/>
  <c r="M32" i="6"/>
  <c r="M33" i="6"/>
  <c r="M34" i="6"/>
  <c r="M35" i="6"/>
  <c r="M36" i="6"/>
  <c r="M37" i="6"/>
  <c r="M38" i="6"/>
  <c r="M39" i="6"/>
  <c r="M40" i="6"/>
  <c r="M41" i="6"/>
  <c r="M42" i="6"/>
  <c r="M43" i="6"/>
  <c r="M44" i="6"/>
  <c r="M45" i="6"/>
  <c r="M46" i="6"/>
  <c r="M47" i="6"/>
  <c r="M48" i="6"/>
  <c r="M49" i="6"/>
  <c r="M50" i="6"/>
  <c r="M51" i="6"/>
  <c r="M52" i="6"/>
  <c r="M53" i="6"/>
  <c r="M54" i="6"/>
  <c r="M55" i="6"/>
  <c r="M56" i="6"/>
  <c r="M57" i="6"/>
  <c r="M58" i="6"/>
  <c r="M59" i="6"/>
  <c r="M60" i="6"/>
  <c r="M61" i="6"/>
  <c r="M62" i="6"/>
  <c r="M63" i="6"/>
  <c r="M64" i="6"/>
  <c r="M65" i="6"/>
  <c r="M66" i="6"/>
  <c r="M67" i="6"/>
  <c r="M68" i="6"/>
  <c r="M69" i="6"/>
  <c r="M70" i="6"/>
  <c r="M71" i="6"/>
  <c r="M72" i="6"/>
  <c r="M73" i="6"/>
  <c r="M74"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L29" i="6"/>
  <c r="L30" i="6"/>
  <c r="L31" i="6"/>
  <c r="L32" i="6"/>
  <c r="L33" i="6"/>
  <c r="L34" i="6"/>
  <c r="L35" i="6"/>
  <c r="L36" i="6"/>
  <c r="L37" i="6"/>
  <c r="L38" i="6"/>
  <c r="L39" i="6"/>
  <c r="L40" i="6"/>
  <c r="L41" i="6"/>
  <c r="L42" i="6"/>
  <c r="L43" i="6"/>
  <c r="L44" i="6"/>
  <c r="L45" i="6"/>
  <c r="L46" i="6"/>
  <c r="L47" i="6"/>
  <c r="L48" i="6"/>
  <c r="L49" i="6"/>
  <c r="L50" i="6"/>
  <c r="L51" i="6"/>
  <c r="L52" i="6"/>
  <c r="L53" i="6"/>
  <c r="L54" i="6"/>
  <c r="L55" i="6"/>
  <c r="L56" i="6"/>
  <c r="L57" i="6"/>
  <c r="L58" i="6"/>
  <c r="L59" i="6"/>
  <c r="L60" i="6"/>
  <c r="L61" i="6"/>
  <c r="L62" i="6"/>
  <c r="L63" i="6"/>
  <c r="L64" i="6"/>
  <c r="L65" i="6"/>
  <c r="L66" i="6"/>
  <c r="L67" i="6"/>
  <c r="L68" i="6"/>
  <c r="L69" i="6"/>
  <c r="L70" i="6"/>
  <c r="L71" i="6"/>
  <c r="L72" i="6"/>
  <c r="L73" i="6"/>
  <c r="L74" i="6"/>
  <c r="L75" i="6"/>
  <c r="L76" i="6"/>
  <c r="L77" i="6"/>
  <c r="L78" i="6"/>
  <c r="L79" i="6"/>
  <c r="L80" i="6"/>
  <c r="L81" i="6"/>
  <c r="L82" i="6"/>
  <c r="L83" i="6"/>
  <c r="L84" i="6"/>
  <c r="L85" i="6"/>
  <c r="L86" i="6"/>
  <c r="L87" i="6"/>
  <c r="L88" i="6"/>
  <c r="L89" i="6"/>
  <c r="L90" i="6"/>
  <c r="L91" i="6"/>
  <c r="L92" i="6"/>
  <c r="L93" i="6"/>
  <c r="L94" i="6"/>
  <c r="L95" i="6"/>
  <c r="L96" i="6"/>
  <c r="L97" i="6"/>
  <c r="L98" i="6"/>
  <c r="L99" i="6"/>
  <c r="L100" i="6"/>
  <c r="L101" i="6"/>
  <c r="L102" i="6"/>
  <c r="L103" i="6"/>
  <c r="L104" i="6"/>
  <c r="L105" i="6"/>
  <c r="L106" i="6"/>
  <c r="L107" i="6"/>
  <c r="L108" i="6"/>
  <c r="L109" i="6"/>
  <c r="L110" i="6"/>
  <c r="L111" i="6"/>
  <c r="L112" i="6"/>
  <c r="H29"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C102" i="6"/>
  <c r="C103" i="6" s="1"/>
  <c r="C104" i="6" s="1"/>
  <c r="C105" i="6" s="1"/>
  <c r="C106" i="6" s="1"/>
  <c r="C107" i="6" s="1"/>
  <c r="C108" i="6" s="1"/>
  <c r="C109" i="6" s="1"/>
  <c r="C110" i="6" s="1"/>
  <c r="C111" i="6" s="1"/>
  <c r="C112" i="6" s="1"/>
  <c r="C90" i="6"/>
  <c r="C91" i="6" s="1"/>
  <c r="C92" i="6" s="1"/>
  <c r="C93" i="6" s="1"/>
  <c r="C94" i="6" s="1"/>
  <c r="C95" i="6" s="1"/>
  <c r="C96" i="6" s="1"/>
  <c r="C97" i="6" s="1"/>
  <c r="C98" i="6" s="1"/>
  <c r="C99" i="6" s="1"/>
  <c r="C100" i="6" s="1"/>
  <c r="C78" i="6"/>
  <c r="C79" i="6" s="1"/>
  <c r="C80" i="6" s="1"/>
  <c r="C81" i="6" s="1"/>
  <c r="C82" i="6" s="1"/>
  <c r="C83" i="6" s="1"/>
  <c r="C84" i="6" s="1"/>
  <c r="C85" i="6" s="1"/>
  <c r="C86" i="6" s="1"/>
  <c r="C87" i="6" s="1"/>
  <c r="C88" i="6" s="1"/>
  <c r="C66" i="6"/>
  <c r="C67" i="6" s="1"/>
  <c r="C68" i="6" s="1"/>
  <c r="C69" i="6" s="1"/>
  <c r="C70" i="6" s="1"/>
  <c r="C71" i="6" s="1"/>
  <c r="C72" i="6" s="1"/>
  <c r="C73" i="6" s="1"/>
  <c r="C74" i="6" s="1"/>
  <c r="C75" i="6" s="1"/>
  <c r="C76" i="6" s="1"/>
  <c r="C54" i="6"/>
  <c r="C55" i="6" s="1"/>
  <c r="C56" i="6" s="1"/>
  <c r="C57" i="6" s="1"/>
  <c r="C58" i="6" s="1"/>
  <c r="C59" i="6" s="1"/>
  <c r="C60" i="6" s="1"/>
  <c r="C61" i="6" s="1"/>
  <c r="C62" i="6" s="1"/>
  <c r="C63" i="6" s="1"/>
  <c r="C64" i="6" s="1"/>
  <c r="C42" i="6"/>
  <c r="C43" i="6" s="1"/>
  <c r="C44" i="6" s="1"/>
  <c r="C45" i="6" s="1"/>
  <c r="C46" i="6" s="1"/>
  <c r="C47" i="6" s="1"/>
  <c r="C48" i="6" s="1"/>
  <c r="C49" i="6" s="1"/>
  <c r="C50" i="6" s="1"/>
  <c r="C51" i="6" s="1"/>
  <c r="C52" i="6" s="1"/>
  <c r="D106" i="13"/>
  <c r="F64" i="13"/>
  <c r="D64" i="13"/>
  <c r="D53" i="13"/>
  <c r="C52" i="13"/>
  <c r="C51" i="13"/>
  <c r="W13" i="6"/>
  <c r="X13" i="6"/>
  <c r="Z13" i="6"/>
  <c r="AA13" i="6"/>
  <c r="AB13" i="6"/>
  <c r="AD13" i="6"/>
  <c r="AE13" i="6"/>
  <c r="AF13" i="6"/>
  <c r="V13" i="6"/>
  <c r="C30" i="6"/>
  <c r="C31" i="6" s="1"/>
  <c r="C32" i="6" s="1"/>
  <c r="C33" i="6" s="1"/>
  <c r="C34" i="6" s="1"/>
  <c r="C35" i="6" s="1"/>
  <c r="C36" i="6" s="1"/>
  <c r="C37" i="6" s="1"/>
  <c r="C38" i="6" s="1"/>
  <c r="C39" i="6" s="1"/>
  <c r="C40" i="6" s="1"/>
  <c r="L8" i="6"/>
  <c r="B30" i="6"/>
  <c r="B31" i="6" s="1"/>
  <c r="B32" i="6" s="1"/>
  <c r="B33" i="6" s="1"/>
  <c r="B34" i="6" s="1"/>
  <c r="B35" i="6" s="1"/>
  <c r="B36" i="6" s="1"/>
  <c r="B37" i="6" s="1"/>
  <c r="B38" i="6" s="1"/>
  <c r="B39" i="6" s="1"/>
  <c r="B40" i="6" s="1"/>
  <c r="B41" i="6" s="1"/>
  <c r="B42" i="6" s="1"/>
  <c r="B43" i="6" s="1"/>
  <c r="B44" i="6" s="1"/>
  <c r="B45" i="6" s="1"/>
  <c r="B46" i="6" s="1"/>
  <c r="B47" i="6" s="1"/>
  <c r="B48" i="6" s="1"/>
  <c r="B49" i="6" s="1"/>
  <c r="B50" i="6" s="1"/>
  <c r="B51" i="6" s="1"/>
  <c r="B52" i="6" s="1"/>
  <c r="H18" i="10"/>
  <c r="H13" i="10"/>
  <c r="D50" i="19" l="1"/>
  <c r="D51" i="19" s="1"/>
  <c r="D52" i="19" s="1"/>
  <c r="D54" i="19" s="1"/>
  <c r="D71" i="19" s="1"/>
  <c r="I93" i="20"/>
  <c r="D96" i="20" s="1"/>
  <c r="D105" i="20" s="1"/>
  <c r="D54" i="20"/>
  <c r="D68" i="20" s="1"/>
  <c r="E71" i="20"/>
  <c r="F68" i="20"/>
  <c r="D71" i="20"/>
  <c r="I93" i="19"/>
  <c r="D96" i="19" s="1"/>
  <c r="D105" i="19" s="1"/>
  <c r="I92" i="15"/>
  <c r="I93" i="15" s="1"/>
  <c r="D96" i="15" s="1"/>
  <c r="D105" i="15" s="1"/>
  <c r="W64" i="16"/>
  <c r="W65" i="16" s="1"/>
  <c r="W66" i="16" s="1"/>
  <c r="W67" i="16" s="1"/>
  <c r="W68" i="16" s="1"/>
  <c r="W69" i="16" s="1"/>
  <c r="W70" i="16" s="1"/>
  <c r="W71" i="16" s="1"/>
  <c r="W72" i="16" s="1"/>
  <c r="D34" i="15"/>
  <c r="D50" i="15" s="1"/>
  <c r="D51" i="15" s="1"/>
  <c r="D52" i="15" s="1"/>
  <c r="D54" i="15" s="1"/>
  <c r="F71" i="15" s="1"/>
  <c r="O41" i="16"/>
  <c r="O42" i="16" s="1"/>
  <c r="O43" i="16" s="1"/>
  <c r="O44" i="16" s="1"/>
  <c r="O45" i="16" s="1"/>
  <c r="O46" i="16" s="1"/>
  <c r="O47" i="16" s="1"/>
  <c r="O48" i="16" s="1"/>
  <c r="O49" i="16" s="1"/>
  <c r="O50" i="16" s="1"/>
  <c r="O51" i="16" s="1"/>
  <c r="O52" i="16" s="1"/>
  <c r="O53" i="16" s="1"/>
  <c r="O54" i="16" s="1"/>
  <c r="O55" i="16" s="1"/>
  <c r="O56" i="16" s="1"/>
  <c r="O57" i="16" s="1"/>
  <c r="O58" i="16" s="1"/>
  <c r="O59" i="16" s="1"/>
  <c r="O60" i="16" s="1"/>
  <c r="O61" i="16" s="1"/>
  <c r="O62" i="16" s="1"/>
  <c r="O63" i="16" s="1"/>
  <c r="O64" i="16" s="1"/>
  <c r="O65" i="16" s="1"/>
  <c r="O66" i="16" s="1"/>
  <c r="O67" i="16" s="1"/>
  <c r="O68" i="16" s="1"/>
  <c r="O69" i="16" s="1"/>
  <c r="O70" i="16" s="1"/>
  <c r="O71" i="16" s="1"/>
  <c r="O72" i="16" s="1"/>
  <c r="G56" i="16"/>
  <c r="G39" i="16"/>
  <c r="X39" i="16" s="1"/>
  <c r="H40" i="14"/>
  <c r="H38" i="14"/>
  <c r="I30" i="14"/>
  <c r="I41" i="14"/>
  <c r="H34" i="14"/>
  <c r="H158" i="16"/>
  <c r="H136" i="16"/>
  <c r="H119" i="16"/>
  <c r="H102" i="16"/>
  <c r="H100" i="16"/>
  <c r="H81" i="16"/>
  <c r="H70" i="16"/>
  <c r="H60" i="16"/>
  <c r="H57" i="16"/>
  <c r="H159" i="16"/>
  <c r="H137" i="16"/>
  <c r="H125" i="16"/>
  <c r="H109" i="16"/>
  <c r="H103" i="16"/>
  <c r="H101" i="16"/>
  <c r="H82" i="16"/>
  <c r="H72" i="16"/>
  <c r="H67" i="16"/>
  <c r="H160" i="16"/>
  <c r="H150" i="16"/>
  <c r="H138" i="16"/>
  <c r="H126" i="16"/>
  <c r="H113" i="16"/>
  <c r="H94" i="16"/>
  <c r="H83" i="16"/>
  <c r="H69" i="16"/>
  <c r="H154" i="16"/>
  <c r="H144" i="16"/>
  <c r="H142" i="16"/>
  <c r="H130" i="16"/>
  <c r="H117" i="16"/>
  <c r="H98" i="16"/>
  <c r="H71" i="16"/>
  <c r="H116" i="16"/>
  <c r="H80" i="16"/>
  <c r="H65" i="16"/>
  <c r="H59" i="16"/>
  <c r="H55" i="16"/>
  <c r="H115" i="16"/>
  <c r="H162" i="16"/>
  <c r="H151" i="16"/>
  <c r="H140" i="16"/>
  <c r="H118" i="16"/>
  <c r="H95" i="16"/>
  <c r="H84" i="16"/>
  <c r="H66" i="16"/>
  <c r="H49" i="16"/>
  <c r="H86" i="16"/>
  <c r="H58" i="16"/>
  <c r="H127" i="16"/>
  <c r="H64" i="16"/>
  <c r="H63" i="16"/>
  <c r="H62" i="16"/>
  <c r="H46" i="16"/>
  <c r="H44" i="16"/>
  <c r="H97" i="16"/>
  <c r="H153" i="16"/>
  <c r="H161" i="16"/>
  <c r="H155" i="16"/>
  <c r="H139" i="16"/>
  <c r="H135" i="16"/>
  <c r="H129" i="16"/>
  <c r="H99" i="16"/>
  <c r="H87" i="16"/>
  <c r="H61" i="16"/>
  <c r="H54" i="16"/>
  <c r="H48" i="16"/>
  <c r="H41" i="16"/>
  <c r="H145" i="16"/>
  <c r="H106" i="16"/>
  <c r="H68" i="16"/>
  <c r="H152" i="16"/>
  <c r="H128" i="16"/>
  <c r="H114" i="16"/>
  <c r="H52" i="16"/>
  <c r="H96" i="16"/>
  <c r="H45" i="16"/>
  <c r="H85" i="16"/>
  <c r="H53" i="16"/>
  <c r="H143" i="16"/>
  <c r="H141" i="16"/>
  <c r="H56" i="16"/>
  <c r="H47" i="16"/>
  <c r="H39" i="16"/>
  <c r="Y39" i="16" s="1"/>
  <c r="H40" i="16"/>
  <c r="J40" i="16" s="1"/>
  <c r="G57" i="16"/>
  <c r="G68" i="16"/>
  <c r="G114" i="16"/>
  <c r="G155" i="16"/>
  <c r="G143" i="16"/>
  <c r="G135" i="16"/>
  <c r="G118" i="16"/>
  <c r="G99" i="16"/>
  <c r="G80" i="16"/>
  <c r="G65" i="16"/>
  <c r="G64" i="16"/>
  <c r="G62" i="16"/>
  <c r="G158" i="16"/>
  <c r="G136" i="16"/>
  <c r="G119" i="16"/>
  <c r="G104" i="16"/>
  <c r="G102" i="16"/>
  <c r="G100" i="16"/>
  <c r="G81" i="16"/>
  <c r="G70" i="16"/>
  <c r="G159" i="16"/>
  <c r="G137" i="16"/>
  <c r="G125" i="16"/>
  <c r="G109" i="16"/>
  <c r="G103" i="16"/>
  <c r="G101" i="16"/>
  <c r="G82" i="16"/>
  <c r="G72" i="16"/>
  <c r="G67" i="16"/>
  <c r="G153" i="16"/>
  <c r="G145" i="16"/>
  <c r="G141" i="16"/>
  <c r="G129" i="16"/>
  <c r="G116" i="16"/>
  <c r="G97" i="16"/>
  <c r="G86" i="16"/>
  <c r="G160" i="16"/>
  <c r="G154" i="16"/>
  <c r="G138" i="16"/>
  <c r="G128" i="16"/>
  <c r="G98" i="16"/>
  <c r="G69" i="16"/>
  <c r="G60" i="16"/>
  <c r="G52" i="16"/>
  <c r="G47" i="16"/>
  <c r="G45" i="16"/>
  <c r="G144" i="16"/>
  <c r="G142" i="16"/>
  <c r="G127" i="16"/>
  <c r="G63" i="16"/>
  <c r="G44" i="16"/>
  <c r="G130" i="16"/>
  <c r="G59" i="16"/>
  <c r="G55" i="16"/>
  <c r="G162" i="16"/>
  <c r="G151" i="16"/>
  <c r="G140" i="16"/>
  <c r="G113" i="16"/>
  <c r="G105" i="16"/>
  <c r="G95" i="16"/>
  <c r="G84" i="16"/>
  <c r="G66" i="16"/>
  <c r="G49" i="16"/>
  <c r="G46" i="16"/>
  <c r="G115" i="16"/>
  <c r="G58" i="16"/>
  <c r="G40" i="16"/>
  <c r="I40" i="16" s="1"/>
  <c r="G161" i="16"/>
  <c r="G150" i="16"/>
  <c r="G139" i="16"/>
  <c r="G117" i="16"/>
  <c r="G94" i="16"/>
  <c r="G87" i="16"/>
  <c r="G83" i="16"/>
  <c r="G71" i="16"/>
  <c r="G106" i="16"/>
  <c r="G152" i="16"/>
  <c r="G41" i="16"/>
  <c r="G54" i="16"/>
  <c r="G61" i="16"/>
  <c r="D64" i="15"/>
  <c r="H41" i="14"/>
  <c r="I29" i="14"/>
  <c r="I33" i="14"/>
  <c r="I37" i="14"/>
  <c r="J31" i="14"/>
  <c r="J30" i="14"/>
  <c r="K42" i="14" s="1"/>
  <c r="J34" i="14"/>
  <c r="J38" i="14"/>
  <c r="H32" i="14"/>
  <c r="J33" i="14"/>
  <c r="H36" i="14"/>
  <c r="J37" i="14"/>
  <c r="J39" i="14"/>
  <c r="H31" i="14"/>
  <c r="J32" i="14"/>
  <c r="H35" i="14"/>
  <c r="J36" i="14"/>
  <c r="H39" i="14"/>
  <c r="J40" i="14"/>
  <c r="L6" i="2" a="1"/>
  <c r="L6" i="2" s="1"/>
  <c r="L5" i="2" a="1"/>
  <c r="L5" i="2" s="1"/>
  <c r="L86" i="10"/>
  <c r="L101" i="10"/>
  <c r="M6" i="2" a="1"/>
  <c r="M6" i="2" s="1"/>
  <c r="M5" i="2" a="1"/>
  <c r="M5" i="2" s="1"/>
  <c r="M4" i="2" a="1"/>
  <c r="M4" i="2" s="1"/>
  <c r="M101" i="10"/>
  <c r="L41" i="10"/>
  <c r="L103" i="10"/>
  <c r="M41" i="10"/>
  <c r="M103" i="10"/>
  <c r="L63" i="10"/>
  <c r="L145" i="10"/>
  <c r="L62" i="10"/>
  <c r="L144" i="10"/>
  <c r="M62" i="10"/>
  <c r="M144" i="10"/>
  <c r="L61" i="10"/>
  <c r="L143" i="10"/>
  <c r="M61" i="10"/>
  <c r="M143" i="10"/>
  <c r="M146" i="10" s="1"/>
  <c r="L88" i="10"/>
  <c r="U40" i="10" s="1"/>
  <c r="L39" i="10"/>
  <c r="N39" i="10" s="1"/>
  <c r="M86" i="10"/>
  <c r="M39" i="10"/>
  <c r="O39" i="10" s="1"/>
  <c r="M63" i="10"/>
  <c r="M64" i="10"/>
  <c r="L47" i="10"/>
  <c r="L39" i="2"/>
  <c r="L42" i="10"/>
  <c r="Q7" i="2" a="1"/>
  <c r="Q7" i="2" s="1"/>
  <c r="M42" i="10"/>
  <c r="L43" i="10"/>
  <c r="M43" i="10"/>
  <c r="L44" i="10"/>
  <c r="M44" i="10"/>
  <c r="G103" i="10"/>
  <c r="G104" i="10"/>
  <c r="G105" i="10"/>
  <c r="G106" i="10"/>
  <c r="G109" i="10"/>
  <c r="G159" i="10"/>
  <c r="G160" i="10"/>
  <c r="G161" i="10"/>
  <c r="G162" i="10"/>
  <c r="G158" i="10"/>
  <c r="G151" i="10"/>
  <c r="G152" i="10"/>
  <c r="G153" i="10"/>
  <c r="G154" i="10"/>
  <c r="G155" i="10"/>
  <c r="G150" i="10"/>
  <c r="G136" i="10"/>
  <c r="G137" i="10"/>
  <c r="G138" i="10"/>
  <c r="G139" i="10"/>
  <c r="G140" i="10"/>
  <c r="G141" i="10"/>
  <c r="G142" i="10"/>
  <c r="G135" i="10"/>
  <c r="G126" i="10"/>
  <c r="G127" i="10"/>
  <c r="G128" i="10"/>
  <c r="G129" i="10"/>
  <c r="G130" i="10"/>
  <c r="G125" i="10"/>
  <c r="G113" i="10"/>
  <c r="G114" i="10"/>
  <c r="G115" i="10"/>
  <c r="G116" i="10"/>
  <c r="G117" i="10"/>
  <c r="G118" i="10"/>
  <c r="G119" i="10"/>
  <c r="G94" i="10"/>
  <c r="G95" i="10"/>
  <c r="G96" i="10"/>
  <c r="G97" i="10"/>
  <c r="G98" i="10"/>
  <c r="G99" i="10"/>
  <c r="G100" i="10"/>
  <c r="G101" i="10"/>
  <c r="G102" i="10"/>
  <c r="G80" i="10"/>
  <c r="G81" i="10"/>
  <c r="G82" i="10"/>
  <c r="G83" i="10"/>
  <c r="G84" i="10"/>
  <c r="G85" i="10"/>
  <c r="G86" i="10"/>
  <c r="G87" i="10"/>
  <c r="G145" i="10"/>
  <c r="G144" i="10"/>
  <c r="G143" i="10"/>
  <c r="G39" i="10"/>
  <c r="G40" i="10"/>
  <c r="I40" i="10" s="1"/>
  <c r="G41" i="10"/>
  <c r="G44" i="10"/>
  <c r="G45" i="10"/>
  <c r="G46" i="10"/>
  <c r="G47" i="10"/>
  <c r="G48" i="10"/>
  <c r="G49" i="10"/>
  <c r="G52" i="10"/>
  <c r="G53" i="10"/>
  <c r="G54" i="10"/>
  <c r="G55" i="10"/>
  <c r="G56" i="10"/>
  <c r="G57" i="10"/>
  <c r="G58" i="10"/>
  <c r="G59" i="10"/>
  <c r="G60" i="10"/>
  <c r="G61" i="10"/>
  <c r="G62" i="10"/>
  <c r="G63" i="10"/>
  <c r="G64" i="10"/>
  <c r="G65" i="10"/>
  <c r="G66" i="10"/>
  <c r="G67" i="10"/>
  <c r="G68" i="10"/>
  <c r="G69" i="10"/>
  <c r="G70" i="10"/>
  <c r="G71" i="10"/>
  <c r="G72" i="10"/>
  <c r="H159" i="10"/>
  <c r="H160" i="10"/>
  <c r="H161" i="10"/>
  <c r="H162" i="10"/>
  <c r="H158" i="10"/>
  <c r="H151" i="10"/>
  <c r="H152" i="10"/>
  <c r="H153" i="10"/>
  <c r="H154" i="10"/>
  <c r="H155" i="10"/>
  <c r="H150" i="10"/>
  <c r="H136" i="10"/>
  <c r="H137" i="10"/>
  <c r="H138" i="10"/>
  <c r="H139" i="10"/>
  <c r="H140" i="10"/>
  <c r="H141" i="10"/>
  <c r="H142" i="10"/>
  <c r="H143" i="10"/>
  <c r="H144" i="10"/>
  <c r="H145" i="10"/>
  <c r="H135" i="10"/>
  <c r="H126" i="10"/>
  <c r="H127" i="10"/>
  <c r="H128" i="10"/>
  <c r="H129" i="10"/>
  <c r="H130" i="10"/>
  <c r="H125" i="10"/>
  <c r="H113" i="10"/>
  <c r="H114" i="10"/>
  <c r="H115" i="10"/>
  <c r="H116" i="10"/>
  <c r="H117" i="10"/>
  <c r="H118" i="10"/>
  <c r="H119" i="10"/>
  <c r="H109" i="10"/>
  <c r="H94" i="10"/>
  <c r="H95" i="10"/>
  <c r="H96" i="10"/>
  <c r="H97" i="10"/>
  <c r="H98" i="10"/>
  <c r="H99" i="10"/>
  <c r="H100" i="10"/>
  <c r="H101" i="10"/>
  <c r="H102" i="10"/>
  <c r="H81" i="10"/>
  <c r="H82" i="10"/>
  <c r="H83" i="10"/>
  <c r="H84" i="10"/>
  <c r="H85" i="10"/>
  <c r="H86" i="10"/>
  <c r="H87" i="10"/>
  <c r="H80" i="10"/>
  <c r="H39" i="10"/>
  <c r="H106" i="10"/>
  <c r="H103" i="10"/>
  <c r="H40" i="10"/>
  <c r="J40" i="10" s="1"/>
  <c r="H41" i="10"/>
  <c r="H44" i="10"/>
  <c r="H45" i="10"/>
  <c r="H46" i="10"/>
  <c r="H47" i="10"/>
  <c r="H48" i="10"/>
  <c r="H49" i="10"/>
  <c r="H52" i="10"/>
  <c r="H53" i="10"/>
  <c r="H54" i="10"/>
  <c r="H55" i="10"/>
  <c r="H56" i="10"/>
  <c r="H57" i="10"/>
  <c r="H58" i="10"/>
  <c r="H59" i="10"/>
  <c r="H60" i="10"/>
  <c r="H61" i="10"/>
  <c r="H62" i="10"/>
  <c r="H63" i="10"/>
  <c r="H64" i="10"/>
  <c r="H65" i="10"/>
  <c r="H66" i="10"/>
  <c r="H67" i="10"/>
  <c r="H68" i="10"/>
  <c r="H69" i="10"/>
  <c r="H70" i="10"/>
  <c r="H71" i="10"/>
  <c r="H72" i="10"/>
  <c r="O80" i="10"/>
  <c r="O81" i="10" s="1"/>
  <c r="O82" i="10" s="1"/>
  <c r="O83" i="10" s="1"/>
  <c r="O84" i="10" s="1"/>
  <c r="O85" i="10" s="1"/>
  <c r="J80" i="10"/>
  <c r="J81" i="10" s="1"/>
  <c r="J82" i="10" s="1"/>
  <c r="J83" i="10" s="1"/>
  <c r="J84" i="10" s="1"/>
  <c r="J85" i="10" s="1"/>
  <c r="J86" i="10" s="1"/>
  <c r="J87" i="10" s="1"/>
  <c r="J103" i="10" s="1"/>
  <c r="J106" i="10" s="1"/>
  <c r="O94" i="10"/>
  <c r="O95" i="10" s="1"/>
  <c r="O96" i="10" s="1"/>
  <c r="O97" i="10" s="1"/>
  <c r="O98" i="10" s="1"/>
  <c r="O99" i="10" s="1"/>
  <c r="O100" i="10" s="1"/>
  <c r="J94" i="10"/>
  <c r="J95" i="10" s="1"/>
  <c r="J96" i="10" s="1"/>
  <c r="J97" i="10" s="1"/>
  <c r="J98" i="10" s="1"/>
  <c r="J99" i="10" s="1"/>
  <c r="J100" i="10" s="1"/>
  <c r="J101" i="10" s="1"/>
  <c r="J102" i="10" s="1"/>
  <c r="O109" i="10"/>
  <c r="J109" i="10"/>
  <c r="O114" i="10"/>
  <c r="O115" i="10" s="1"/>
  <c r="O116" i="10" s="1"/>
  <c r="O117" i="10" s="1"/>
  <c r="O118" i="10" s="1"/>
  <c r="O119" i="10" s="1"/>
  <c r="J114" i="10"/>
  <c r="J115" i="10" s="1"/>
  <c r="J116" i="10" s="1"/>
  <c r="J117" i="10" s="1"/>
  <c r="J118" i="10" s="1"/>
  <c r="J119" i="10" s="1"/>
  <c r="O125" i="10"/>
  <c r="O126" i="10" s="1"/>
  <c r="O127" i="10" s="1"/>
  <c r="O128" i="10" s="1"/>
  <c r="O129" i="10" s="1"/>
  <c r="O130" i="10" s="1"/>
  <c r="J125" i="10"/>
  <c r="J126" i="10" s="1"/>
  <c r="J127" i="10" s="1"/>
  <c r="J128" i="10" s="1"/>
  <c r="J129" i="10" s="1"/>
  <c r="J130" i="10" s="1"/>
  <c r="O135" i="10"/>
  <c r="O136" i="10" s="1"/>
  <c r="O137" i="10" s="1"/>
  <c r="O138" i="10" s="1"/>
  <c r="O139" i="10" s="1"/>
  <c r="O140" i="10" s="1"/>
  <c r="O141" i="10" s="1"/>
  <c r="O142" i="10" s="1"/>
  <c r="J135" i="10"/>
  <c r="J136" i="10" s="1"/>
  <c r="J137" i="10" s="1"/>
  <c r="J138" i="10" s="1"/>
  <c r="J139" i="10" s="1"/>
  <c r="J140" i="10" s="1"/>
  <c r="J141" i="10" s="1"/>
  <c r="J142" i="10" s="1"/>
  <c r="J143" i="10" s="1"/>
  <c r="J144" i="10" s="1"/>
  <c r="J145" i="10" s="1"/>
  <c r="O150" i="10"/>
  <c r="O151" i="10" s="1"/>
  <c r="O152" i="10" s="1"/>
  <c r="O153" i="10" s="1"/>
  <c r="O154" i="10" s="1"/>
  <c r="O155" i="10" s="1"/>
  <c r="J150" i="10"/>
  <c r="J151" i="10" s="1"/>
  <c r="J152" i="10" s="1"/>
  <c r="J153" i="10" s="1"/>
  <c r="J154" i="10" s="1"/>
  <c r="J155" i="10" s="1"/>
  <c r="O158" i="10"/>
  <c r="O159" i="10" s="1"/>
  <c r="O160" i="10" s="1"/>
  <c r="O161" i="10" s="1"/>
  <c r="O162" i="10" s="1"/>
  <c r="J158" i="10"/>
  <c r="J159" i="10" s="1"/>
  <c r="J160" i="10" s="1"/>
  <c r="J161" i="10" s="1"/>
  <c r="J162" i="10" s="1"/>
  <c r="N80" i="10"/>
  <c r="N81" i="10" s="1"/>
  <c r="N82" i="10" s="1"/>
  <c r="N83" i="10" s="1"/>
  <c r="N84" i="10" s="1"/>
  <c r="N85" i="10" s="1"/>
  <c r="I80" i="10"/>
  <c r="I81" i="10" s="1"/>
  <c r="I82" i="10" s="1"/>
  <c r="I83" i="10" s="1"/>
  <c r="I84" i="10" s="1"/>
  <c r="I85" i="10" s="1"/>
  <c r="I86" i="10" s="1"/>
  <c r="I87" i="10" s="1"/>
  <c r="I103" i="10" s="1"/>
  <c r="I106" i="10" s="1"/>
  <c r="N94" i="10"/>
  <c r="N95" i="10" s="1"/>
  <c r="N96" i="10" s="1"/>
  <c r="N97" i="10" s="1"/>
  <c r="N98" i="10" s="1"/>
  <c r="N99" i="10" s="1"/>
  <c r="N100" i="10" s="1"/>
  <c r="I94" i="10"/>
  <c r="I95" i="10" s="1"/>
  <c r="I96" i="10" s="1"/>
  <c r="I97" i="10" s="1"/>
  <c r="I98" i="10" s="1"/>
  <c r="I99" i="10" s="1"/>
  <c r="I100" i="10" s="1"/>
  <c r="I101" i="10" s="1"/>
  <c r="I102" i="10" s="1"/>
  <c r="N114" i="10"/>
  <c r="N115" i="10" s="1"/>
  <c r="N116" i="10" s="1"/>
  <c r="N117" i="10" s="1"/>
  <c r="N118" i="10" s="1"/>
  <c r="N119" i="10" s="1"/>
  <c r="I114" i="10"/>
  <c r="I115" i="10" s="1"/>
  <c r="I116" i="10" s="1"/>
  <c r="I117" i="10" s="1"/>
  <c r="I118" i="10" s="1"/>
  <c r="I119" i="10" s="1"/>
  <c r="N125" i="10"/>
  <c r="N126" i="10" s="1"/>
  <c r="N127" i="10" s="1"/>
  <c r="N128" i="10" s="1"/>
  <c r="N129" i="10" s="1"/>
  <c r="N130" i="10" s="1"/>
  <c r="I125" i="10"/>
  <c r="I126" i="10" s="1"/>
  <c r="I127" i="10" s="1"/>
  <c r="I128" i="10" s="1"/>
  <c r="I129" i="10" s="1"/>
  <c r="I130" i="10" s="1"/>
  <c r="N135" i="10"/>
  <c r="N136" i="10" s="1"/>
  <c r="N137" i="10" s="1"/>
  <c r="N138" i="10" s="1"/>
  <c r="N139" i="10" s="1"/>
  <c r="N140" i="10" s="1"/>
  <c r="N141" i="10" s="1"/>
  <c r="N142" i="10" s="1"/>
  <c r="I135" i="10"/>
  <c r="I136" i="10" s="1"/>
  <c r="I137" i="10" s="1"/>
  <c r="I138" i="10" s="1"/>
  <c r="I139" i="10" s="1"/>
  <c r="I140" i="10" s="1"/>
  <c r="I141" i="10" s="1"/>
  <c r="I142" i="10" s="1"/>
  <c r="I143" i="10" s="1"/>
  <c r="I144" i="10" s="1"/>
  <c r="I145" i="10" s="1"/>
  <c r="N150" i="10"/>
  <c r="N151" i="10" s="1"/>
  <c r="N152" i="10" s="1"/>
  <c r="N153" i="10" s="1"/>
  <c r="N154" i="10" s="1"/>
  <c r="N155" i="10" s="1"/>
  <c r="I150" i="10"/>
  <c r="I151" i="10" s="1"/>
  <c r="I152" i="10" s="1"/>
  <c r="I153" i="10" s="1"/>
  <c r="I154" i="10" s="1"/>
  <c r="I155" i="10" s="1"/>
  <c r="N158" i="10"/>
  <c r="N159" i="10" s="1"/>
  <c r="N160" i="10" s="1"/>
  <c r="N161" i="10" s="1"/>
  <c r="N162" i="10" s="1"/>
  <c r="I158" i="10"/>
  <c r="I159" i="10" s="1"/>
  <c r="I160" i="10" s="1"/>
  <c r="I161" i="10" s="1"/>
  <c r="I162" i="10" s="1"/>
  <c r="I93" i="13"/>
  <c r="E64" i="13"/>
  <c r="D82" i="13"/>
  <c r="D104" i="13" s="1"/>
  <c r="O143" i="10"/>
  <c r="N101" i="10"/>
  <c r="N102" i="10" s="1"/>
  <c r="N86" i="10"/>
  <c r="N87" i="10" s="1"/>
  <c r="O101" i="10"/>
  <c r="O102" i="10" s="1"/>
  <c r="O103" i="10" s="1"/>
  <c r="O104" i="10" s="1"/>
  <c r="O105" i="10" s="1"/>
  <c r="O106" i="10" s="1"/>
  <c r="M87" i="10"/>
  <c r="O86" i="10"/>
  <c r="O87" i="10" s="1"/>
  <c r="J31" i="3"/>
  <c r="I29" i="3"/>
  <c r="H29" i="3"/>
  <c r="I41" i="3"/>
  <c r="H41" i="3"/>
  <c r="I40" i="3"/>
  <c r="H40" i="3"/>
  <c r="I39" i="3"/>
  <c r="H39" i="3"/>
  <c r="I38" i="3"/>
  <c r="H38" i="3"/>
  <c r="I37" i="3"/>
  <c r="H37" i="3"/>
  <c r="I36" i="3"/>
  <c r="H36" i="3"/>
  <c r="I35" i="3"/>
  <c r="H35" i="3"/>
  <c r="I34" i="3"/>
  <c r="H34" i="3"/>
  <c r="I33" i="3"/>
  <c r="H33" i="3"/>
  <c r="I32" i="3"/>
  <c r="H32" i="3"/>
  <c r="I31" i="3"/>
  <c r="H31" i="3"/>
  <c r="I30" i="3"/>
  <c r="H30" i="3"/>
  <c r="J32" i="3"/>
  <c r="J33" i="3"/>
  <c r="J34" i="3"/>
  <c r="J35" i="3"/>
  <c r="J36" i="3"/>
  <c r="J37" i="3"/>
  <c r="J38" i="3"/>
  <c r="J39" i="3"/>
  <c r="J40" i="3"/>
  <c r="J41" i="3"/>
  <c r="J29" i="3"/>
  <c r="H11" i="10"/>
  <c r="O37" i="2"/>
  <c r="Y39" i="10"/>
  <c r="X39" i="10"/>
  <c r="N40" i="10"/>
  <c r="I41" i="10"/>
  <c r="J41" i="10"/>
  <c r="J44" i="10" s="1"/>
  <c r="J45" i="10" s="1"/>
  <c r="J46" i="10" s="1"/>
  <c r="J47" i="10" s="1"/>
  <c r="J48" i="10" s="1"/>
  <c r="J49" i="10" s="1"/>
  <c r="J52" i="10" s="1"/>
  <c r="J53" i="10" s="1"/>
  <c r="J54" i="10" s="1"/>
  <c r="J55" i="10" s="1"/>
  <c r="J56" i="10" s="1"/>
  <c r="J57" i="10" s="1"/>
  <c r="J58" i="10" s="1"/>
  <c r="J59" i="10" s="1"/>
  <c r="J60" i="10" s="1"/>
  <c r="J61" i="10" s="1"/>
  <c r="J62" i="10" s="1"/>
  <c r="J63" i="10" s="1"/>
  <c r="J64" i="10" s="1"/>
  <c r="J65" i="10" s="1"/>
  <c r="J66" i="10" s="1"/>
  <c r="J67" i="10" s="1"/>
  <c r="J68" i="10" s="1"/>
  <c r="J69" i="10" s="1"/>
  <c r="J70" i="10" s="1"/>
  <c r="J71" i="10" s="1"/>
  <c r="J72" i="10" s="1"/>
  <c r="D96" i="13"/>
  <c r="D105" i="13" s="1"/>
  <c r="D50" i="13"/>
  <c r="D51" i="13" s="1"/>
  <c r="D52" i="13" s="1"/>
  <c r="E68" i="20" l="1"/>
  <c r="F71" i="20"/>
  <c r="D73" i="20" s="1"/>
  <c r="D103" i="20" s="1"/>
  <c r="D108" i="20" s="1"/>
  <c r="F68" i="19"/>
  <c r="F71" i="19"/>
  <c r="D68" i="19"/>
  <c r="E71" i="19"/>
  <c r="E68" i="19"/>
  <c r="L43" i="14"/>
  <c r="K43" i="14"/>
  <c r="J44" i="14"/>
  <c r="L42" i="14"/>
  <c r="K39" i="14"/>
  <c r="K33" i="14"/>
  <c r="D71" i="15"/>
  <c r="D68" i="15"/>
  <c r="F68" i="15"/>
  <c r="E68" i="15"/>
  <c r="E71" i="15"/>
  <c r="J113" i="16"/>
  <c r="J114" i="16" s="1"/>
  <c r="J115" i="16" s="1"/>
  <c r="J116" i="16" s="1"/>
  <c r="J117" i="16" s="1"/>
  <c r="J118" i="16" s="1"/>
  <c r="J119" i="16" s="1"/>
  <c r="T54" i="16" s="1"/>
  <c r="O113" i="16"/>
  <c r="O114" i="16" s="1"/>
  <c r="O115" i="16" s="1"/>
  <c r="O116" i="16" s="1"/>
  <c r="O117" i="16" s="1"/>
  <c r="O118" i="16" s="1"/>
  <c r="O119" i="16" s="1"/>
  <c r="I80" i="16"/>
  <c r="I81" i="16" s="1"/>
  <c r="I82" i="16" s="1"/>
  <c r="I83" i="16" s="1"/>
  <c r="I84" i="16" s="1"/>
  <c r="I85" i="16" s="1"/>
  <c r="I86" i="16" s="1"/>
  <c r="I87" i="16" s="1"/>
  <c r="N80" i="16"/>
  <c r="N81" i="16" s="1"/>
  <c r="N82" i="16" s="1"/>
  <c r="N83" i="16" s="1"/>
  <c r="N84" i="16" s="1"/>
  <c r="N85" i="16" s="1"/>
  <c r="N86" i="16" s="1"/>
  <c r="N87" i="16" s="1"/>
  <c r="I94" i="16"/>
  <c r="I95" i="16" s="1"/>
  <c r="I96" i="16" s="1"/>
  <c r="I97" i="16" s="1"/>
  <c r="I98" i="16" s="1"/>
  <c r="I99" i="16" s="1"/>
  <c r="I100" i="16" s="1"/>
  <c r="I101" i="16" s="1"/>
  <c r="I102" i="16" s="1"/>
  <c r="N94" i="16"/>
  <c r="N95" i="16" s="1"/>
  <c r="N96" i="16" s="1"/>
  <c r="N97" i="16" s="1"/>
  <c r="N98" i="16" s="1"/>
  <c r="N99" i="16" s="1"/>
  <c r="N100" i="16" s="1"/>
  <c r="N101" i="16" s="1"/>
  <c r="N102" i="16" s="1"/>
  <c r="N103" i="16" s="1"/>
  <c r="N104" i="16" s="1"/>
  <c r="N105" i="16" s="1"/>
  <c r="N106" i="16" s="1"/>
  <c r="I109" i="16"/>
  <c r="S48" i="16" s="1"/>
  <c r="N109" i="16"/>
  <c r="J41" i="16"/>
  <c r="J44" i="16" s="1"/>
  <c r="J45" i="16" s="1"/>
  <c r="J46" i="16" s="1"/>
  <c r="J47" i="16" s="1"/>
  <c r="J48" i="16" s="1"/>
  <c r="J49" i="16" s="1"/>
  <c r="J52" i="16" s="1"/>
  <c r="J53" i="16" s="1"/>
  <c r="J54" i="16" s="1"/>
  <c r="J55" i="16" s="1"/>
  <c r="J56" i="16" s="1"/>
  <c r="J57" i="16" s="1"/>
  <c r="J58" i="16" s="1"/>
  <c r="J59" i="16" s="1"/>
  <c r="J60" i="16" s="1"/>
  <c r="J61" i="16" s="1"/>
  <c r="J62" i="16" s="1"/>
  <c r="J63" i="16" s="1"/>
  <c r="J64" i="16" s="1"/>
  <c r="J65" i="16" s="1"/>
  <c r="J66" i="16" s="1"/>
  <c r="J67" i="16" s="1"/>
  <c r="J68" i="16" s="1"/>
  <c r="J69" i="16" s="1"/>
  <c r="J70" i="16" s="1"/>
  <c r="J71" i="16" s="1"/>
  <c r="J72" i="16" s="1"/>
  <c r="J135" i="16"/>
  <c r="J136" i="16" s="1"/>
  <c r="J137" i="16" s="1"/>
  <c r="J138" i="16" s="1"/>
  <c r="J139" i="16" s="1"/>
  <c r="J140" i="16" s="1"/>
  <c r="J141" i="16" s="1"/>
  <c r="J142" i="16" s="1"/>
  <c r="J143" i="16" s="1"/>
  <c r="J144" i="16" s="1"/>
  <c r="J145" i="16" s="1"/>
  <c r="T64" i="16" s="1"/>
  <c r="O135" i="16"/>
  <c r="O136" i="16" s="1"/>
  <c r="O137" i="16" s="1"/>
  <c r="O138" i="16" s="1"/>
  <c r="O139" i="16" s="1"/>
  <c r="O140" i="16" s="1"/>
  <c r="O141" i="16" s="1"/>
  <c r="O142" i="16" s="1"/>
  <c r="O143" i="16" s="1"/>
  <c r="O144" i="16" s="1"/>
  <c r="O145" i="16" s="1"/>
  <c r="O109" i="16"/>
  <c r="J109" i="16"/>
  <c r="T48" i="16" s="1"/>
  <c r="J150" i="16"/>
  <c r="J151" i="16" s="1"/>
  <c r="J152" i="16" s="1"/>
  <c r="J153" i="16" s="1"/>
  <c r="J154" i="16" s="1"/>
  <c r="J155" i="16" s="1"/>
  <c r="T67" i="16" s="1"/>
  <c r="O150" i="16"/>
  <c r="O151" i="16" s="1"/>
  <c r="O152" i="16" s="1"/>
  <c r="O153" i="16" s="1"/>
  <c r="O154" i="16" s="1"/>
  <c r="O155" i="16" s="1"/>
  <c r="O125" i="16"/>
  <c r="O126" i="16" s="1"/>
  <c r="O127" i="16" s="1"/>
  <c r="O128" i="16" s="1"/>
  <c r="O129" i="16" s="1"/>
  <c r="O130" i="16" s="1"/>
  <c r="J125" i="16"/>
  <c r="J126" i="16" s="1"/>
  <c r="J127" i="16" s="1"/>
  <c r="J128" i="16" s="1"/>
  <c r="J129" i="16" s="1"/>
  <c r="J130" i="16" s="1"/>
  <c r="T60" i="16" s="1"/>
  <c r="I113" i="16"/>
  <c r="I114" i="16" s="1"/>
  <c r="I115" i="16" s="1"/>
  <c r="I116" i="16" s="1"/>
  <c r="I117" i="16" s="1"/>
  <c r="I118" i="16" s="1"/>
  <c r="I119" i="16" s="1"/>
  <c r="S54" i="16" s="1"/>
  <c r="I125" i="16"/>
  <c r="I126" i="16" s="1"/>
  <c r="I127" i="16" s="1"/>
  <c r="I128" i="16" s="1"/>
  <c r="I129" i="16" s="1"/>
  <c r="I130" i="16" s="1"/>
  <c r="S60" i="16" s="1"/>
  <c r="N125" i="16"/>
  <c r="N126" i="16" s="1"/>
  <c r="N127" i="16" s="1"/>
  <c r="N128" i="16" s="1"/>
  <c r="N129" i="16" s="1"/>
  <c r="N130" i="16" s="1"/>
  <c r="I150" i="16"/>
  <c r="I151" i="16" s="1"/>
  <c r="I152" i="16" s="1"/>
  <c r="I153" i="16" s="1"/>
  <c r="I154" i="16" s="1"/>
  <c r="I155" i="16" s="1"/>
  <c r="S67" i="16" s="1"/>
  <c r="N150" i="16"/>
  <c r="N151" i="16" s="1"/>
  <c r="N152" i="16" s="1"/>
  <c r="N153" i="16" s="1"/>
  <c r="N154" i="16" s="1"/>
  <c r="N155" i="16" s="1"/>
  <c r="I158" i="16"/>
  <c r="I159" i="16" s="1"/>
  <c r="I160" i="16" s="1"/>
  <c r="I161" i="16" s="1"/>
  <c r="I162" i="16" s="1"/>
  <c r="S71" i="16" s="1"/>
  <c r="N158" i="16"/>
  <c r="N159" i="16" s="1"/>
  <c r="N160" i="16" s="1"/>
  <c r="N161" i="16" s="1"/>
  <c r="N162" i="16" s="1"/>
  <c r="O80" i="16"/>
  <c r="O81" i="16" s="1"/>
  <c r="O82" i="16" s="1"/>
  <c r="O83" i="16" s="1"/>
  <c r="O84" i="16" s="1"/>
  <c r="O85" i="16" s="1"/>
  <c r="O86" i="16" s="1"/>
  <c r="O87" i="16" s="1"/>
  <c r="J80" i="16"/>
  <c r="J81" i="16" s="1"/>
  <c r="J82" i="16" s="1"/>
  <c r="J83" i="16" s="1"/>
  <c r="J84" i="16" s="1"/>
  <c r="J85" i="16" s="1"/>
  <c r="J86" i="16" s="1"/>
  <c r="J87" i="16" s="1"/>
  <c r="J158" i="16"/>
  <c r="J159" i="16" s="1"/>
  <c r="J160" i="16" s="1"/>
  <c r="J161" i="16" s="1"/>
  <c r="J162" i="16" s="1"/>
  <c r="T71" i="16" s="1"/>
  <c r="O158" i="16"/>
  <c r="O159" i="16" s="1"/>
  <c r="O160" i="16" s="1"/>
  <c r="O161" i="16" s="1"/>
  <c r="O162" i="16" s="1"/>
  <c r="I135" i="16"/>
  <c r="I136" i="16" s="1"/>
  <c r="I137" i="16" s="1"/>
  <c r="I138" i="16" s="1"/>
  <c r="I139" i="16" s="1"/>
  <c r="I140" i="16" s="1"/>
  <c r="I141" i="16" s="1"/>
  <c r="I142" i="16" s="1"/>
  <c r="I143" i="16" s="1"/>
  <c r="I144" i="16" s="1"/>
  <c r="I145" i="16" s="1"/>
  <c r="S64" i="16" s="1"/>
  <c r="N135" i="16"/>
  <c r="N136" i="16" s="1"/>
  <c r="N137" i="16" s="1"/>
  <c r="N138" i="16" s="1"/>
  <c r="N139" i="16" s="1"/>
  <c r="N140" i="16" s="1"/>
  <c r="N141" i="16" s="1"/>
  <c r="N142" i="16" s="1"/>
  <c r="N143" i="16" s="1"/>
  <c r="N144" i="16" s="1"/>
  <c r="N145" i="16" s="1"/>
  <c r="I41" i="16"/>
  <c r="I44" i="16" s="1"/>
  <c r="I45" i="16" s="1"/>
  <c r="I46" i="16" s="1"/>
  <c r="I47" i="16" s="1"/>
  <c r="I48" i="16" s="1"/>
  <c r="I49" i="16" s="1"/>
  <c r="I52" i="16" s="1"/>
  <c r="I53" i="16" s="1"/>
  <c r="I54" i="16" s="1"/>
  <c r="I55" i="16" s="1"/>
  <c r="I56" i="16" s="1"/>
  <c r="I57" i="16" s="1"/>
  <c r="I58" i="16" s="1"/>
  <c r="I59" i="16" s="1"/>
  <c r="I60" i="16" s="1"/>
  <c r="I61" i="16" s="1"/>
  <c r="I62" i="16" s="1"/>
  <c r="I63" i="16" s="1"/>
  <c r="I64" i="16" s="1"/>
  <c r="I65" i="16" s="1"/>
  <c r="I66" i="16" s="1"/>
  <c r="I67" i="16" s="1"/>
  <c r="I68" i="16" s="1"/>
  <c r="I69" i="16" s="1"/>
  <c r="I70" i="16" s="1"/>
  <c r="I71" i="16" s="1"/>
  <c r="I72" i="16" s="1"/>
  <c r="J94" i="16"/>
  <c r="J95" i="16" s="1"/>
  <c r="J96" i="16" s="1"/>
  <c r="J97" i="16" s="1"/>
  <c r="J98" i="16" s="1"/>
  <c r="J99" i="16" s="1"/>
  <c r="J100" i="16" s="1"/>
  <c r="J101" i="16" s="1"/>
  <c r="J102" i="16" s="1"/>
  <c r="O94" i="16"/>
  <c r="O95" i="16" s="1"/>
  <c r="O96" i="16" s="1"/>
  <c r="O97" i="16" s="1"/>
  <c r="O98" i="16" s="1"/>
  <c r="O99" i="16" s="1"/>
  <c r="O100" i="16" s="1"/>
  <c r="O101" i="16" s="1"/>
  <c r="O102" i="16" s="1"/>
  <c r="O103" i="16" s="1"/>
  <c r="O104" i="16" s="1"/>
  <c r="O105" i="16" s="1"/>
  <c r="O106" i="16" s="1"/>
  <c r="L40" i="14"/>
  <c r="L41" i="14"/>
  <c r="L37" i="14"/>
  <c r="L33" i="14"/>
  <c r="L29" i="14"/>
  <c r="L38" i="14"/>
  <c r="L34" i="14"/>
  <c r="L30" i="14"/>
  <c r="L35" i="14"/>
  <c r="L31" i="14"/>
  <c r="L36" i="14"/>
  <c r="L32" i="14"/>
  <c r="L39" i="14"/>
  <c r="K29" i="14"/>
  <c r="K32" i="14"/>
  <c r="K34" i="14"/>
  <c r="K40" i="14"/>
  <c r="K37" i="14"/>
  <c r="K31" i="14"/>
  <c r="K38" i="14"/>
  <c r="K35" i="14"/>
  <c r="K30" i="14"/>
  <c r="K36" i="14"/>
  <c r="K41" i="14"/>
  <c r="M107" i="10"/>
  <c r="V45" i="10" s="1"/>
  <c r="L107" i="10"/>
  <c r="U45" i="10" s="1"/>
  <c r="I44" i="10"/>
  <c r="I45" i="10" s="1"/>
  <c r="I46" i="10" s="1"/>
  <c r="I47" i="10" s="1"/>
  <c r="I48" i="10" s="1"/>
  <c r="I49" i="10" s="1"/>
  <c r="I52" i="10" s="1"/>
  <c r="I53" i="10" s="1"/>
  <c r="I54" i="10" s="1"/>
  <c r="I55" i="10" s="1"/>
  <c r="I56" i="10" s="1"/>
  <c r="I57" i="10" s="1"/>
  <c r="I58" i="10" s="1"/>
  <c r="I59" i="10" s="1"/>
  <c r="I60" i="10" s="1"/>
  <c r="I61" i="10" s="1"/>
  <c r="I62" i="10" s="1"/>
  <c r="I63" i="10" s="1"/>
  <c r="I64" i="10" s="1"/>
  <c r="I65" i="10" s="1"/>
  <c r="I66" i="10" s="1"/>
  <c r="I67" i="10" s="1"/>
  <c r="I68" i="10" s="1"/>
  <c r="I69" i="10" s="1"/>
  <c r="I70" i="10" s="1"/>
  <c r="I71" i="10" s="1"/>
  <c r="I72" i="10" s="1"/>
  <c r="M88" i="10"/>
  <c r="V40" i="10" s="1"/>
  <c r="Y40" i="10" s="1"/>
  <c r="Y41" i="10" s="1"/>
  <c r="Y42" i="10" s="1"/>
  <c r="Y43" i="10" s="1"/>
  <c r="Y44" i="10" s="1"/>
  <c r="Y45" i="10" s="1"/>
  <c r="Y46" i="10" s="1"/>
  <c r="Y47" i="10" s="1"/>
  <c r="Y48" i="10" s="1"/>
  <c r="Y49" i="10" s="1"/>
  <c r="Y50" i="10" s="1"/>
  <c r="Y51" i="10" s="1"/>
  <c r="Y52" i="10" s="1"/>
  <c r="Y53" i="10" s="1"/>
  <c r="Y54" i="10" s="1"/>
  <c r="Y55" i="10" s="1"/>
  <c r="Y56" i="10" s="1"/>
  <c r="Y57" i="10" s="1"/>
  <c r="Y58" i="10" s="1"/>
  <c r="Y59" i="10" s="1"/>
  <c r="Y60" i="10" s="1"/>
  <c r="Y61" i="10" s="1"/>
  <c r="Y62" i="10" s="1"/>
  <c r="Y63" i="10" s="1"/>
  <c r="Y64" i="10" s="1"/>
  <c r="Y65" i="10" s="1"/>
  <c r="Y66" i="10" s="1"/>
  <c r="Y67" i="10" s="1"/>
  <c r="Y68" i="10" s="1"/>
  <c r="Y69" i="10" s="1"/>
  <c r="Y70" i="10" s="1"/>
  <c r="Y71" i="10" s="1"/>
  <c r="Y72" i="10" s="1"/>
  <c r="O40" i="10"/>
  <c r="O41" i="10" s="1"/>
  <c r="O42" i="10" s="1"/>
  <c r="O43" i="10" s="1"/>
  <c r="O44" i="10" s="1"/>
  <c r="N109" i="10"/>
  <c r="I109" i="10"/>
  <c r="F50" i="3"/>
  <c r="X40" i="10"/>
  <c r="O45" i="10"/>
  <c r="O46" i="10" s="1"/>
  <c r="O47" i="10" s="1"/>
  <c r="O48" i="10" s="1"/>
  <c r="O49" i="10" s="1"/>
  <c r="O50" i="10" s="1"/>
  <c r="O51" i="10" s="1"/>
  <c r="O52" i="10" s="1"/>
  <c r="O53" i="10" s="1"/>
  <c r="O54" i="10" s="1"/>
  <c r="O55" i="10" s="1"/>
  <c r="O56" i="10" s="1"/>
  <c r="O57" i="10" s="1"/>
  <c r="O58" i="10" s="1"/>
  <c r="O59" i="10" s="1"/>
  <c r="O60" i="10" s="1"/>
  <c r="O61" i="10" s="1"/>
  <c r="O62" i="10" s="1"/>
  <c r="O63" i="10" s="1"/>
  <c r="O64" i="10" s="1"/>
  <c r="O65" i="10" s="1"/>
  <c r="O66" i="10" s="1"/>
  <c r="O67" i="10" s="1"/>
  <c r="O68" i="10" s="1"/>
  <c r="O69" i="10" s="1"/>
  <c r="O70" i="10" s="1"/>
  <c r="O71" i="10" s="1"/>
  <c r="O72" i="10" s="1"/>
  <c r="N41" i="10"/>
  <c r="N42" i="10" s="1"/>
  <c r="N43" i="10" s="1"/>
  <c r="N44" i="10" s="1"/>
  <c r="N45" i="10" s="1"/>
  <c r="N46" i="10" s="1"/>
  <c r="N47" i="10" s="1"/>
  <c r="N48" i="10" s="1"/>
  <c r="N49" i="10" s="1"/>
  <c r="N50" i="10" s="1"/>
  <c r="N51" i="10" s="1"/>
  <c r="N52" i="10" s="1"/>
  <c r="N53" i="10" s="1"/>
  <c r="N54" i="10" s="1"/>
  <c r="N55" i="10" s="1"/>
  <c r="N56" i="10" s="1"/>
  <c r="N57" i="10" s="1"/>
  <c r="N58" i="10" s="1"/>
  <c r="N59" i="10" s="1"/>
  <c r="N60" i="10" s="1"/>
  <c r="N61" i="10" s="1"/>
  <c r="N62" i="10" s="1"/>
  <c r="N63" i="10" s="1"/>
  <c r="N64" i="10" s="1"/>
  <c r="N65" i="10" s="1"/>
  <c r="N66" i="10" s="1"/>
  <c r="N67" i="10" s="1"/>
  <c r="N68" i="10" s="1"/>
  <c r="N69" i="10" s="1"/>
  <c r="N70" i="10" s="1"/>
  <c r="N71" i="10" s="1"/>
  <c r="N72" i="10" s="1"/>
  <c r="N103" i="10"/>
  <c r="N104" i="10" s="1"/>
  <c r="N105" i="10" s="1"/>
  <c r="N106" i="10" s="1"/>
  <c r="O144" i="10"/>
  <c r="O145" i="10" s="1"/>
  <c r="L146" i="10"/>
  <c r="N143" i="10"/>
  <c r="N144" i="10" s="1"/>
  <c r="N145" i="10" s="1"/>
  <c r="D73" i="19" l="1"/>
  <c r="D103" i="19" s="1"/>
  <c r="D108" i="19" s="1"/>
  <c r="D73" i="15"/>
  <c r="D103" i="15" s="1"/>
  <c r="D108" i="15" s="1"/>
  <c r="N113" i="16"/>
  <c r="N114" i="16" s="1"/>
  <c r="N115" i="16" s="1"/>
  <c r="N116" i="16" s="1"/>
  <c r="N117" i="16" s="1"/>
  <c r="N118" i="16" s="1"/>
  <c r="N119" i="16" s="1"/>
  <c r="D35" i="15"/>
  <c r="I103" i="16"/>
  <c r="I106" i="16" s="1"/>
  <c r="S45" i="16" s="1"/>
  <c r="S40" i="16"/>
  <c r="X40" i="16" s="1"/>
  <c r="X41" i="16" s="1"/>
  <c r="X42" i="16" s="1"/>
  <c r="X43" i="16" s="1"/>
  <c r="X44" i="16" s="1"/>
  <c r="X45" i="16" s="1"/>
  <c r="X46" i="16" s="1"/>
  <c r="X47" i="16" s="1"/>
  <c r="X48" i="16" s="1"/>
  <c r="X49" i="16" s="1"/>
  <c r="X50" i="16" s="1"/>
  <c r="X51" i="16" s="1"/>
  <c r="X52" i="16" s="1"/>
  <c r="X53" i="16" s="1"/>
  <c r="X54" i="16" s="1"/>
  <c r="X55" i="16" s="1"/>
  <c r="X56" i="16" s="1"/>
  <c r="X57" i="16" s="1"/>
  <c r="X58" i="16" s="1"/>
  <c r="X59" i="16" s="1"/>
  <c r="X60" i="16" s="1"/>
  <c r="X61" i="16" s="1"/>
  <c r="X62" i="16" s="1"/>
  <c r="X63" i="16" s="1"/>
  <c r="X64" i="16" s="1"/>
  <c r="X65" i="16" s="1"/>
  <c r="X66" i="16" s="1"/>
  <c r="X67" i="16" s="1"/>
  <c r="X68" i="16" s="1"/>
  <c r="X69" i="16" s="1"/>
  <c r="X70" i="16" s="1"/>
  <c r="X71" i="16" s="1"/>
  <c r="X72" i="16" s="1"/>
  <c r="J103" i="16"/>
  <c r="J106" i="16" s="1"/>
  <c r="T45" i="16" s="1"/>
  <c r="T40" i="16"/>
  <c r="Y40" i="16" s="1"/>
  <c r="Y41" i="16" s="1"/>
  <c r="Y42" i="16" s="1"/>
  <c r="Y43" i="16" s="1"/>
  <c r="Y44" i="16" s="1"/>
  <c r="Y45" i="16" s="1"/>
  <c r="Y46" i="16" s="1"/>
  <c r="Y47" i="16" s="1"/>
  <c r="Y48" i="16" s="1"/>
  <c r="Y49" i="16" s="1"/>
  <c r="Y50" i="16" s="1"/>
  <c r="Y51" i="16" s="1"/>
  <c r="Y52" i="16" s="1"/>
  <c r="Y53" i="16" s="1"/>
  <c r="Y54" i="16" s="1"/>
  <c r="Y55" i="16" s="1"/>
  <c r="Y56" i="16" s="1"/>
  <c r="Y57" i="16" s="1"/>
  <c r="Y58" i="16" s="1"/>
  <c r="Y59" i="16" s="1"/>
  <c r="Y60" i="16" s="1"/>
  <c r="Y61" i="16" s="1"/>
  <c r="Y62" i="16" s="1"/>
  <c r="Y63" i="16" s="1"/>
  <c r="Y64" i="16" s="1"/>
  <c r="Y65" i="16" s="1"/>
  <c r="Y66" i="16" s="1"/>
  <c r="Y67" i="16" s="1"/>
  <c r="Y68" i="16" s="1"/>
  <c r="Y69" i="16" s="1"/>
  <c r="Y70" i="16" s="1"/>
  <c r="Y71" i="16" s="1"/>
  <c r="Y72" i="16" s="1"/>
  <c r="F65" i="13"/>
  <c r="E65" i="13"/>
  <c r="D65" i="13"/>
  <c r="X41" i="10"/>
  <c r="X42" i="10" s="1"/>
  <c r="X43" i="10" s="1"/>
  <c r="X44" i="10" s="1"/>
  <c r="X45" i="10" s="1"/>
  <c r="X46" i="10" s="1"/>
  <c r="X47" i="10" s="1"/>
  <c r="X48" i="10" s="1"/>
  <c r="X49" i="10" s="1"/>
  <c r="X50" i="10" s="1"/>
  <c r="X51" i="10" s="1"/>
  <c r="X52" i="10" s="1"/>
  <c r="X53" i="10" s="1"/>
  <c r="X54" i="10" s="1"/>
  <c r="X55" i="10" s="1"/>
  <c r="X56" i="10" s="1"/>
  <c r="X57" i="10" s="1"/>
  <c r="X58" i="10" s="1"/>
  <c r="X59" i="10" s="1"/>
  <c r="X60" i="10" s="1"/>
  <c r="X61" i="10" s="1"/>
  <c r="X62" i="10" s="1"/>
  <c r="X63" i="10" s="1"/>
  <c r="X64" i="10" s="1"/>
  <c r="X65" i="10" s="1"/>
  <c r="X66" i="10" s="1"/>
  <c r="X67" i="10" s="1"/>
  <c r="X68" i="10" s="1"/>
  <c r="X69" i="10" s="1"/>
  <c r="X70" i="10" s="1"/>
  <c r="X71" i="10" s="1"/>
  <c r="X72" i="10" s="1"/>
  <c r="D54" i="13" l="1"/>
  <c r="E71" i="13" s="1"/>
  <c r="F71" i="13"/>
  <c r="F68" i="13"/>
  <c r="D68" i="13"/>
  <c r="D71" i="13" l="1"/>
  <c r="E68" i="13"/>
  <c r="D73" i="13" l="1"/>
  <c r="D103" i="13" s="1"/>
  <c r="D108" i="1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<sst xmlns="http://schemas.openxmlformats.org/spreadsheetml/2006/main" count="3025" uniqueCount="700">
  <si>
    <t>Read Me First - Documentation for this Excel Workbook</t>
  </si>
  <si>
    <t>Date</t>
  </si>
  <si>
    <t xml:space="preserve">Description </t>
  </si>
  <si>
    <t>This Excel Workbook holds TrackR Production data on Components, Employees, WholeSale Prices</t>
  </si>
  <si>
    <t>This Excel Workbook documents the many AS-Is calculations of the Trackr manufacturing process.</t>
  </si>
  <si>
    <t>This Excel Workbook also holds the additional To-Be Calculation sheets for Team Member - &lt;your name here&gt;</t>
  </si>
  <si>
    <t>The TrackR Production Data Sheets (B, F, H, J, L) and As-Is Sheets (C, D, E, G, K) were developed thru Team Work</t>
  </si>
  <si>
    <t>The As-Is sheets (C, D, E, G, K) were duplicated, then modified, to make To-Be Sheets (&lt;sheet codes here&gt;)for one person's work</t>
  </si>
  <si>
    <t>The As-Is sheets (C, D, E, G, K) were not adjusted in any way during the To-Be phase of this work.</t>
  </si>
  <si>
    <t>These sheets hold calculation models of the TrackR Production business, and can be used to generate predictions</t>
  </si>
  <si>
    <t>Many cells in these sheets use values that come from other sheets, thru Vlookup, =&lt;Cell&gt;, or similar functions.</t>
  </si>
  <si>
    <t>All Core Data Values (walking speed, assembly times, costs, etc.) have Minimum and Maximum values, not just one value</t>
  </si>
  <si>
    <t>Authors Team</t>
  </si>
  <si>
    <t>To-Be Sheets Author</t>
  </si>
  <si>
    <t>Short Forms</t>
  </si>
  <si>
    <t>Prodn</t>
  </si>
  <si>
    <t>Production</t>
  </si>
  <si>
    <t>Avg</t>
  </si>
  <si>
    <t>Average</t>
  </si>
  <si>
    <t>Ver</t>
  </si>
  <si>
    <t>Version</t>
  </si>
  <si>
    <t>A Prefix in Tab Names</t>
  </si>
  <si>
    <t>As-Is</t>
  </si>
  <si>
    <t>T Prefix in Tab Names</t>
  </si>
  <si>
    <t>To-Be</t>
  </si>
  <si>
    <t>P&amp;L</t>
  </si>
  <si>
    <t>Profit and Loss</t>
  </si>
  <si>
    <t>Below is the list of all the sheets included along with their authors</t>
  </si>
  <si>
    <t>Code</t>
  </si>
  <si>
    <t>Tab Name</t>
  </si>
  <si>
    <t>Full Sheet Name</t>
  </si>
  <si>
    <t>Authors</t>
  </si>
  <si>
    <t>Notes</t>
  </si>
  <si>
    <t>A</t>
  </si>
  <si>
    <t>ReadMeFirst</t>
  </si>
  <si>
    <t>B</t>
  </si>
  <si>
    <t>Components</t>
  </si>
  <si>
    <t>Components, Pricing, Inventory Location</t>
  </si>
  <si>
    <t>C</t>
  </si>
  <si>
    <t>A Picking</t>
  </si>
  <si>
    <t>Picking Distances, Times, Walking Speeds</t>
  </si>
  <si>
    <t>D</t>
  </si>
  <si>
    <t>A Assembly</t>
  </si>
  <si>
    <t>TrackR Assembly, Responses to Failures, Times, Costs, Summaries</t>
  </si>
  <si>
    <t>See the videos</t>
  </si>
  <si>
    <t>E</t>
  </si>
  <si>
    <t>A P&amp;L</t>
  </si>
  <si>
    <t>As-Is Profit and Loss</t>
  </si>
  <si>
    <t>F</t>
  </si>
  <si>
    <t>Employees</t>
  </si>
  <si>
    <t>Employees, PayRates, Attitudes</t>
  </si>
  <si>
    <t>G</t>
  </si>
  <si>
    <t>A Schedule</t>
  </si>
  <si>
    <t>As-Is 8 hour Three Table Schedule for 9 Assembly Workers</t>
  </si>
  <si>
    <t>10 minutes break every hour, 30 minute lunch</t>
  </si>
  <si>
    <t>H</t>
  </si>
  <si>
    <t>WholeSale</t>
  </si>
  <si>
    <t>TrackR WholeSale Prices for 2016 to 2019</t>
  </si>
  <si>
    <t>J</t>
  </si>
  <si>
    <t>DayProdn</t>
  </si>
  <si>
    <t>Day's Production of TrackR Versions - Data Table</t>
  </si>
  <si>
    <t>K</t>
  </si>
  <si>
    <t>VerAvgProdn</t>
  </si>
  <si>
    <t>Average Daily Production of TrackR versions 2018 Q4 and 2019 Q1</t>
  </si>
  <si>
    <t>Pivot Table</t>
  </si>
  <si>
    <t>L</t>
  </si>
  <si>
    <t>POs</t>
  </si>
  <si>
    <t>Purchase Order Data for Components</t>
  </si>
  <si>
    <t>Assumptions:</t>
  </si>
  <si>
    <t>(some Assumptions are given at the top of sheets - ie Picking)</t>
  </si>
  <si>
    <t>The time period of this project work</t>
  </si>
  <si>
    <t>Choice 1</t>
  </si>
  <si>
    <t>as of now 2021</t>
  </si>
  <si>
    <t>Choice 2</t>
  </si>
  <si>
    <t>as of May 2019</t>
  </si>
  <si>
    <t>Decision</t>
  </si>
  <si>
    <t>All Components, No TrackR Version Totals</t>
  </si>
  <si>
    <t>All Components, with TrackR Version Totals</t>
  </si>
  <si>
    <t>Unit Cost</t>
  </si>
  <si>
    <t>ID #</t>
  </si>
  <si>
    <t>Manufacturer</t>
  </si>
  <si>
    <t>Part Number</t>
  </si>
  <si>
    <t>Description</t>
  </si>
  <si>
    <t>TrackR Version</t>
  </si>
  <si>
    <t>Shelf</t>
  </si>
  <si>
    <t>Bay</t>
  </si>
  <si>
    <t>Min</t>
  </si>
  <si>
    <t>Max</t>
  </si>
  <si>
    <t>Column1</t>
  </si>
  <si>
    <t>Mitchell’s Plastics</t>
  </si>
  <si>
    <t>MPC432119-2</t>
  </si>
  <si>
    <t xml:space="preserve">Vulcanized Rubber casing </t>
  </si>
  <si>
    <t>TrackR A, B, C</t>
  </si>
  <si>
    <t>TrackR A</t>
  </si>
  <si>
    <t xml:space="preserve">                                                                                                                          </t>
  </si>
  <si>
    <t>MPC44422</t>
  </si>
  <si>
    <t>Rigid plastic pins</t>
  </si>
  <si>
    <t>TrackR B</t>
  </si>
  <si>
    <t>American Vanadium</t>
  </si>
  <si>
    <t>SFLV25</t>
  </si>
  <si>
    <t>Slimflex Lithium-Vanadium printed battery</t>
  </si>
  <si>
    <t>TrackR C</t>
  </si>
  <si>
    <t>Foxconn</t>
  </si>
  <si>
    <t>FnOFI-GN1212</t>
  </si>
  <si>
    <t>Main printed circuit board (PCB)</t>
  </si>
  <si>
    <t>Qualcomm</t>
  </si>
  <si>
    <t>BD2098733AAB</t>
  </si>
  <si>
    <t>Secure housing for orientation equipment</t>
  </si>
  <si>
    <t>BD20911131BB</t>
  </si>
  <si>
    <t>Micro-transmitter for LTE communication</t>
  </si>
  <si>
    <t>ST Microelectronics</t>
  </si>
  <si>
    <t>HG213123-221</t>
  </si>
  <si>
    <t>3-axis digital gyroscope</t>
  </si>
  <si>
    <t>STMA11233</t>
  </si>
  <si>
    <t>2-axis analogue accelerometer</t>
  </si>
  <si>
    <t>Samsung</t>
  </si>
  <si>
    <t>SS98AAIS</t>
  </si>
  <si>
    <t>18mm x 29mm OLED screen</t>
  </si>
  <si>
    <t>Sandisk</t>
  </si>
  <si>
    <t>SDMALBB3033G</t>
  </si>
  <si>
    <t>2GB FLASH NAND</t>
  </si>
  <si>
    <t>BlueGiga</t>
  </si>
  <si>
    <t>BLE112</t>
  </si>
  <si>
    <t>Bluetooth 4.0 low energy chipset</t>
  </si>
  <si>
    <t>LS1121</t>
  </si>
  <si>
    <t>Plastic wrist strap</t>
  </si>
  <si>
    <t>LS1124</t>
  </si>
  <si>
    <t>Leather wrist strap</t>
  </si>
  <si>
    <t>LS1128</t>
  </si>
  <si>
    <t>Gold expansion strap</t>
  </si>
  <si>
    <t>Banda.com</t>
  </si>
  <si>
    <t>KK425</t>
  </si>
  <si>
    <t>Economy TrackR Packaging</t>
  </si>
  <si>
    <t>KK433</t>
  </si>
  <si>
    <t>Standard TrackR packaging</t>
  </si>
  <si>
    <t>KK438</t>
  </si>
  <si>
    <t>DeLuxe TrackR packaging</t>
  </si>
  <si>
    <t>Data Sources</t>
  </si>
  <si>
    <t>The distance data in this table comes from:</t>
  </si>
  <si>
    <t>Table1 Route</t>
  </si>
  <si>
    <t>Distance (meters)</t>
  </si>
  <si>
    <t>Item</t>
  </si>
  <si>
    <t>Table2 Route</t>
  </si>
  <si>
    <t>Table3 Route</t>
  </si>
  <si>
    <t>Table1-Shelf 1A</t>
  </si>
  <si>
    <t>Table2-Shelf 1A</t>
  </si>
  <si>
    <t>Assumptions</t>
  </si>
  <si>
    <t>Issue</t>
  </si>
  <si>
    <t>Options #</t>
  </si>
  <si>
    <t>Chosen</t>
  </si>
  <si>
    <t>Notes and Sources of Knowledge</t>
  </si>
  <si>
    <t>Shelf 1A-Shelf 2A</t>
  </si>
  <si>
    <t>What is the Slow Walking Speed for Picking?</t>
  </si>
  <si>
    <t>Average of three variations</t>
  </si>
  <si>
    <t>m/sec</t>
  </si>
  <si>
    <t>Tired persons walking at the end of the shift</t>
  </si>
  <si>
    <t>Shelf 2A-Shelf 3C</t>
  </si>
  <si>
    <t>https://www.hoodmwr.com/how-fast-am-i-walking/</t>
  </si>
  <si>
    <t>Shelf 3C-Shelf 4D</t>
  </si>
  <si>
    <t>https://www.healthline.com/health/exercise-fitness/average-walking-speed#average-speed-by-age</t>
  </si>
  <si>
    <t>Shelf 4D-Shelf 5E</t>
  </si>
  <si>
    <t>Shelf 5E - Shelf 6B</t>
  </si>
  <si>
    <t>Shelf 6B - Shelf 7B</t>
  </si>
  <si>
    <t>What is the Fast Walking Speed for Picking?</t>
  </si>
  <si>
    <t>Persons walking at the start of the shift</t>
  </si>
  <si>
    <t>Shelf 7B - Shelf 7E</t>
  </si>
  <si>
    <t>Shelf 7E - Shelf 14A</t>
  </si>
  <si>
    <t>Shelf 14A - Shelf 8E</t>
  </si>
  <si>
    <t>Shelf 8E - Shelf 10C</t>
  </si>
  <si>
    <t>Shelf 10C - Shelf 10E</t>
  </si>
  <si>
    <t>What is the time spent picking up a part from a shelf's bay, after a person has walked and is standing in front of it?</t>
  </si>
  <si>
    <t>Average pickup time</t>
  </si>
  <si>
    <t>Shelf 10E- Table1</t>
  </si>
  <si>
    <t> </t>
  </si>
  <si>
    <t>Shelf 10E- Table2</t>
  </si>
  <si>
    <t>Shelf 10E- Table3</t>
  </si>
  <si>
    <t>seconds</t>
  </si>
  <si>
    <t>Assumptions of fast and slow picking time standing infront of shelf</t>
  </si>
  <si>
    <t>Total Distance</t>
  </si>
  <si>
    <t>Additional Process Knowledge</t>
  </si>
  <si>
    <t>The pIcking Strategy is:</t>
  </si>
  <si>
    <t>Going from table to each shelf to pickup all 12 items and coming back to table</t>
  </si>
  <si>
    <t>????? What is the best way to pick?  Would this be the same route used for the entire day by everyone?  How boring!</t>
  </si>
  <si>
    <t>The OHT VP Production VP tells me that each person decides for themselves how to pick components.</t>
  </si>
  <si>
    <t>- OHT VP Production, May 16</t>
  </si>
  <si>
    <t>Calculations for Distance, Min and Max Times to pick One Set of Components in preparation for Assembly of those Components</t>
  </si>
  <si>
    <t>Component</t>
  </si>
  <si>
    <t>Average Distance of 3 routes</t>
  </si>
  <si>
    <t>- time in seconds -</t>
  </si>
  <si>
    <t>Cumulative Time (seconds)</t>
  </si>
  <si>
    <t>Pick Seq</t>
  </si>
  <si>
    <t>ID</t>
  </si>
  <si>
    <t>Part #</t>
  </si>
  <si>
    <t>(Meters)</t>
  </si>
  <si>
    <t xml:space="preserve">Slow Walk </t>
  </si>
  <si>
    <t xml:space="preserve">Fast Walk </t>
  </si>
  <si>
    <t>Pick from Shelf sec</t>
  </si>
  <si>
    <t>Maximum</t>
  </si>
  <si>
    <t>Minimium</t>
  </si>
  <si>
    <t>Shelf 1</t>
  </si>
  <si>
    <t>Shelf 2</t>
  </si>
  <si>
    <t>Shelf 3</t>
  </si>
  <si>
    <t>Shelf 4</t>
  </si>
  <si>
    <t>Shelf 5</t>
  </si>
  <si>
    <t xml:space="preserve"> Shelf 6</t>
  </si>
  <si>
    <t xml:space="preserve"> Shelf 7</t>
  </si>
  <si>
    <t xml:space="preserve"> Shelf 14</t>
  </si>
  <si>
    <t xml:space="preserve"> Shelf 8</t>
  </si>
  <si>
    <t xml:space="preserve"> Shelf 10</t>
  </si>
  <si>
    <t>Table1</t>
  </si>
  <si>
    <t>Total Min and Max Walking and Picking Times</t>
  </si>
  <si>
    <t>Total Maximum time sec</t>
  </si>
  <si>
    <t>Total minimum time sec</t>
  </si>
  <si>
    <t>As-Is Profit And loss</t>
  </si>
  <si>
    <t>Is the Final Testing time included in the Assembly time (Calc Factor 1) for this model?</t>
  </si>
  <si>
    <t>No</t>
  </si>
  <si>
    <t>Directed by the Senior BA</t>
  </si>
  <si>
    <t>*** Final Testing is Done at the 4th Assembly Table ***</t>
  </si>
  <si>
    <t>Yes</t>
  </si>
  <si>
    <t>Should the production limit per day be built into this Calculation Model?</t>
  </si>
  <si>
    <t>** See point 1 in Additional Process Knowledge ***</t>
  </si>
  <si>
    <t>Are shipping costs included in this model?</t>
  </si>
  <si>
    <t>Shipping is Paid back by the TrackR Buyer</t>
  </si>
  <si>
    <t>Current policy - Daily Limit of TrackR Production</t>
  </si>
  <si>
    <t>OHT will not build more TrackR's that it can sell in one day.  In fact, it doesn't build a TRackR until it has an order for that TrackR.</t>
  </si>
  <si>
    <t>So, when enough TrackR's are built to meet orders, then production stops.</t>
  </si>
  <si>
    <t>Source - OHT Production VP - May 16</t>
  </si>
  <si>
    <t>Current Policy - Picking of Components, and then Assembly</t>
  </si>
  <si>
    <t>Each Assembly worker - Lead Hand or not - walks and picks the needed components for one TrackR,</t>
  </si>
  <si>
    <t>and then, when an Assembly Table is available, steps to the assembly table</t>
  </si>
  <si>
    <t>and proceeds to perform all necessary actions and tests to asemble a Good TrackR.</t>
  </si>
  <si>
    <t>All 3 Assembly Tables must be used continually until the daily limit is met</t>
  </si>
  <si>
    <t>So, often persons are standing still, with their picked components, waiting for an assembly table.</t>
  </si>
  <si>
    <t>Common Calculation Factors</t>
  </si>
  <si>
    <t>Average Time for one worker to assemble and test one TrackR</t>
  </si>
  <si>
    <t>Minutes</t>
  </si>
  <si>
    <t>Average Time for one worker to pick one set of TrackR components, for one version</t>
  </si>
  <si>
    <t>Hours of shift per day</t>
  </si>
  <si>
    <t>Hours</t>
  </si>
  <si>
    <t>Number of Assembly Tables in Use</t>
  </si>
  <si>
    <t>Tables</t>
  </si>
  <si>
    <t>Number of Shifts Per Day</t>
  </si>
  <si>
    <t>Shifts</t>
  </si>
  <si>
    <t>Failure Rate of Final Test</t>
  </si>
  <si>
    <t>Failure Rate of Heat Test</t>
  </si>
  <si>
    <t>Marketing Cost per TrackR (income for the Marketing Group)</t>
  </si>
  <si>
    <t>TrackR Production - Profit and Loss Estimate Model</t>
  </si>
  <si>
    <t>Gross Income Per Average Day</t>
  </si>
  <si>
    <t>Productive Work Time per hour for 3 employees</t>
  </si>
  <si>
    <t>Hours shift per day</t>
  </si>
  <si>
    <t>TrackRs made per hour Per Table</t>
  </si>
  <si>
    <t>TrackRs per Hour</t>
  </si>
  <si>
    <t>TrackRs made per Table Per Shift</t>
  </si>
  <si>
    <t>TrackRs per Shift</t>
  </si>
  <si>
    <t>TrackR</t>
  </si>
  <si>
    <t>Defective Rate (failing either the final or Heat tests)</t>
  </si>
  <si>
    <t>Good TrackRs built per day</t>
  </si>
  <si>
    <t>Gross Profit (Good TrackR's * WholeSale Price) per Day</t>
  </si>
  <si>
    <t xml:space="preserve">  is not calculated, because of the need to calculate for 3 versions</t>
  </si>
  <si>
    <t>Wholesale price of TrackR for 2019 Qtr 1</t>
  </si>
  <si>
    <t>Component Cost of One TrackR</t>
  </si>
  <si>
    <t xml:space="preserve">Marketing Cost </t>
  </si>
  <si>
    <t>Daily TrackR Built for 2018 Qtr 4 and 2019 Qtr 1</t>
  </si>
  <si>
    <t>Percentage of TrackR Version Built per Day</t>
  </si>
  <si>
    <t>Profit Per Good TrackR</t>
  </si>
  <si>
    <t>Net Income Per Average Day</t>
  </si>
  <si>
    <t>Net Profit per TrackR Version for "Good TrackRs Built Per Day"</t>
  </si>
  <si>
    <t>( Net Profit = Gross Profit - Component Costs - Marketing Costs )</t>
  </si>
  <si>
    <t>Less: Component Costs of Failed TRackR's that were built</t>
  </si>
  <si>
    <t>Total Net Profit for Good TrackR's of 3 Versions per Day</t>
  </si>
  <si>
    <t>Direct Labour Costs Per Day</t>
  </si>
  <si>
    <t>Payrate</t>
  </si>
  <si>
    <t>Number of Staff</t>
  </si>
  <si>
    <t>Team Members</t>
  </si>
  <si>
    <t>per hour</t>
  </si>
  <si>
    <t>Production Lead Hands</t>
  </si>
  <si>
    <t>Maintenance</t>
  </si>
  <si>
    <t>Payroll Burden</t>
  </si>
  <si>
    <t>Total Direct Labour Cost Per Day</t>
  </si>
  <si>
    <t>InDirect Labour Costs Per Day - For both TrackR and Medical Imaging</t>
  </si>
  <si>
    <t>** This should be hidden **</t>
  </si>
  <si>
    <t>Role</t>
  </si>
  <si>
    <t>Amount per hour</t>
  </si>
  <si>
    <t xml:space="preserve">Number of workers </t>
  </si>
  <si>
    <t>Hours per day</t>
  </si>
  <si>
    <t>Indirect labour expense for one day</t>
  </si>
  <si>
    <t>Shift / Maintenance Manager</t>
  </si>
  <si>
    <t>Quality Control Tech</t>
  </si>
  <si>
    <t>Product and Process Designers</t>
  </si>
  <si>
    <t>Purchasing Agents</t>
  </si>
  <si>
    <t>Shipper / Receivers</t>
  </si>
  <si>
    <t>Human Resources</t>
  </si>
  <si>
    <t>Production VP / Plant Manager</t>
  </si>
  <si>
    <t>TrackR Share of Indirect Labour Costs Per Day</t>
  </si>
  <si>
    <t>Total InDirect Labour Cost Per Day</t>
  </si>
  <si>
    <t>Other Expenses</t>
  </si>
  <si>
    <t>Plant Operational Expenses (Electricity, Water, Insurance, etc)</t>
  </si>
  <si>
    <t>per Hour</t>
  </si>
  <si>
    <t xml:space="preserve">  for TrackR</t>
  </si>
  <si>
    <t>Hours per Working Day</t>
  </si>
  <si>
    <t>Summary for 1 Day and Profit / Loss Calculations</t>
  </si>
  <si>
    <t>Net Income</t>
  </si>
  <si>
    <t>Direct Labour</t>
  </si>
  <si>
    <t>Indirect Labout</t>
  </si>
  <si>
    <t>One Day Profit / Loss</t>
  </si>
  <si>
    <t>Labour Costing</t>
  </si>
  <si>
    <t>Type</t>
  </si>
  <si>
    <t>Worker Type</t>
  </si>
  <si>
    <t>Cost Per Hour</t>
  </si>
  <si>
    <t>Per Second</t>
  </si>
  <si>
    <t>Point 18</t>
  </si>
  <si>
    <t>What is the Walking Speed for Assemblers?</t>
  </si>
  <si>
    <t>(This is used in the Responses to Failed tests)</t>
  </si>
  <si>
    <t>Slow Walking Speed from Picking</t>
  </si>
  <si>
    <t>Fast Walking Speed from Picking</t>
  </si>
  <si>
    <t>Average of the Fast and Slow</t>
  </si>
  <si>
    <t>Who does the final shipping of the packaged TrackR's?</t>
  </si>
  <si>
    <t>Maintenance Workers</t>
  </si>
  <si>
    <t>Assembly Workers</t>
  </si>
  <si>
    <t>Someone else?</t>
  </si>
  <si>
    <t>Who keeps the replacement parts shelf stocked?</t>
  </si>
  <si>
    <t>Tug Test Process</t>
  </si>
  <si>
    <t xml:space="preserve">The assembly worker grasps the recently soldered part with a special pair of forceps, and pulls with the required amount of force, and no more. </t>
  </si>
  <si>
    <t>Newly trained assembly workers tend to fail more tug tests, because they pull with too much force. - Comment from Production Lead Hand - May 17th</t>
  </si>
  <si>
    <t>Time to record a failed test for QC</t>
  </si>
  <si>
    <t>8 sec</t>
  </si>
  <si>
    <t>(This is done into either a log book or a computer screen on the Return Goods Shelf)</t>
  </si>
  <si>
    <t>Distance from Assembly Table to Return Goods Shelf</t>
  </si>
  <si>
    <t>meters</t>
  </si>
  <si>
    <t>Distance from Return Goods to Replacement Parts</t>
  </si>
  <si>
    <t>Distance from Return Goods Shelf to Assembly Table</t>
  </si>
  <si>
    <t>Assembly Steps - Master List</t>
  </si>
  <si>
    <t>Picking is not included in this list, and does not need to be included in this list.</t>
  </si>
  <si>
    <t>Step #</t>
  </si>
  <si>
    <t>Task</t>
  </si>
  <si>
    <t>Duration(sec)</t>
  </si>
  <si>
    <t>Total Time</t>
  </si>
  <si>
    <t>Labour Task Cost (Min)</t>
  </si>
  <si>
    <t>Labour Task Cost (Max)</t>
  </si>
  <si>
    <t>Labour Cost Total to Task(min)</t>
  </si>
  <si>
    <t>Labour Cost Total to Task (Max)</t>
  </si>
  <si>
    <t>Componenent ID#</t>
  </si>
  <si>
    <t>Component Cost (Min)</t>
  </si>
  <si>
    <t>Component Cost (Max)</t>
  </si>
  <si>
    <t>All Total Cost to Task(Min)</t>
  </si>
  <si>
    <t>All Total Cost to Task (Max)</t>
  </si>
  <si>
    <t>Failure %</t>
  </si>
  <si>
    <t>Action if Test Failed</t>
  </si>
  <si>
    <t>Additional Time (sec)</t>
  </si>
  <si>
    <t>More Labour Cost (Min)</t>
  </si>
  <si>
    <t>More Labour Cost (Max)</t>
  </si>
  <si>
    <t>Extra Component Cost (Min)</t>
  </si>
  <si>
    <t>Extra Component Cost (Max)</t>
  </si>
  <si>
    <t>Total Time to Task with 1 fail and Good Repeat</t>
  </si>
  <si>
    <t>All Total Cost to Task (Min)</t>
  </si>
  <si>
    <t>All Total Cost to Task (max)</t>
  </si>
  <si>
    <t>Reliability</t>
  </si>
  <si>
    <t>Reliability to Task</t>
  </si>
  <si>
    <t>Unbox MPC432119-2</t>
  </si>
  <si>
    <t>Inspect MPC432119-2 Test A</t>
  </si>
  <si>
    <t>Assumed</t>
  </si>
  <si>
    <t>Redo A</t>
  </si>
  <si>
    <t>MPC44422 is slid into LS1121</t>
  </si>
  <si>
    <t>Connect LS112 to MPC432119-2</t>
  </si>
  <si>
    <t>Tug Test B</t>
  </si>
  <si>
    <t>Redo B</t>
  </si>
  <si>
    <t>Place SDMALBB3033G on FnOFI-GN1212</t>
  </si>
  <si>
    <t>Solder FnOFI-GN1212 to SDMALBB3033G</t>
  </si>
  <si>
    <t>Visual Examination Test C</t>
  </si>
  <si>
    <t>Redo C</t>
  </si>
  <si>
    <t>Clamp LS112</t>
  </si>
  <si>
    <t>Solder HG213123-221 to BD2098733AAB</t>
  </si>
  <si>
    <t xml:space="preserve">Wait to Ensure bond </t>
  </si>
  <si>
    <t>Tug Test D</t>
  </si>
  <si>
    <t>Redo D</t>
  </si>
  <si>
    <t>Solder BD2098733AAB on FnOFI-GN1212</t>
  </si>
  <si>
    <t>Tug Test E</t>
  </si>
  <si>
    <t>Redo E</t>
  </si>
  <si>
    <t>Solder STMA11233 to HG213123-221</t>
  </si>
  <si>
    <t>Tug Test F</t>
  </si>
  <si>
    <t>Redo F</t>
  </si>
  <si>
    <t>Slide BLE112 on FnOFI-GN1212</t>
  </si>
  <si>
    <t xml:space="preserve">Slide BD20911131BB on FnOFI-GN1212 </t>
  </si>
  <si>
    <t xml:space="preserve">Place SFLV25  </t>
  </si>
  <si>
    <t>SFLV25 is OK - Test G</t>
  </si>
  <si>
    <t>Redo G</t>
  </si>
  <si>
    <t xml:space="preserve">Slid SS98AAIS into MPC432119-2 </t>
  </si>
  <si>
    <t>Remove TrackR from Clamp</t>
  </si>
  <si>
    <t>Heat Test H</t>
  </si>
  <si>
    <t>Redo H</t>
  </si>
  <si>
    <t>Chemical Weld Assmbly</t>
  </si>
  <si>
    <t>Move to Testing PC</t>
  </si>
  <si>
    <t>Turn on TrackR</t>
  </si>
  <si>
    <t>Wait for Radio Connectivity/ Sync - Test J</t>
  </si>
  <si>
    <t>Redo J</t>
  </si>
  <si>
    <t>Put TrackR into Version Packaging</t>
  </si>
  <si>
    <t>Place Packed TrackR on Conveyor</t>
  </si>
  <si>
    <t>Assume</t>
  </si>
  <si>
    <t>Responses to Failed Tests</t>
  </si>
  <si>
    <t>Response A</t>
  </si>
  <si>
    <t>If Test A Fails - Get another MPC4321119-2 from the shelf, and inspect it.  Assume that the replacement part is OK.</t>
  </si>
  <si>
    <t>ReDo A</t>
  </si>
  <si>
    <t>Distance (m)</t>
  </si>
  <si>
    <t>Labour Task Cost (min)</t>
  </si>
  <si>
    <t>Walk to Return Goods Shelf</t>
  </si>
  <si>
    <t>Put down the Failed Part</t>
  </si>
  <si>
    <t>Record the failure</t>
  </si>
  <si>
    <t>Walk to the Replacement Parts Shelf</t>
  </si>
  <si>
    <t>Pick Up the Replacement Part</t>
  </si>
  <si>
    <t>Walk back to the Assembly Table</t>
  </si>
  <si>
    <t>Inspect MPC432119-2</t>
  </si>
  <si>
    <t>ReDo B</t>
  </si>
  <si>
    <t>If Test B Fails - Detach MPC44422, get another LS112 from the shelf, and repeat the assembly steps</t>
  </si>
  <si>
    <t>Detach MPC44422</t>
  </si>
  <si>
    <t>ReDo C</t>
  </si>
  <si>
    <t xml:space="preserve">If Test C Fails - </t>
  </si>
  <si>
    <t>Clean the board</t>
  </si>
  <si>
    <t>ReDo D</t>
  </si>
  <si>
    <t xml:space="preserve">If Test D Fails </t>
  </si>
  <si>
    <t>ReDo E</t>
  </si>
  <si>
    <t>If Test E Fails -</t>
  </si>
  <si>
    <t>ReDo F</t>
  </si>
  <si>
    <t>If Test F Fails - 0% Error rate</t>
  </si>
  <si>
    <t>Disposed the component</t>
  </si>
  <si>
    <t>ReDo G</t>
  </si>
  <si>
    <t xml:space="preserve">If Test G Fails - </t>
  </si>
  <si>
    <t>Dispose all the internal components</t>
  </si>
  <si>
    <t>ReDo H</t>
  </si>
  <si>
    <t>If Test H Fails -</t>
  </si>
  <si>
    <t>Expose and extract electronic components</t>
  </si>
  <si>
    <t>ReDo J</t>
  </si>
  <si>
    <t>If Test J Fails -</t>
  </si>
  <si>
    <t>Employee List</t>
  </si>
  <si>
    <t>Employee #</t>
  </si>
  <si>
    <t>Years Old</t>
  </si>
  <si>
    <t>Shift</t>
  </si>
  <si>
    <t>Attitude Code</t>
  </si>
  <si>
    <t>Team Lead</t>
  </si>
  <si>
    <t>Division</t>
  </si>
  <si>
    <t>Number of Employees</t>
  </si>
  <si>
    <t>Amount</t>
  </si>
  <si>
    <t>Per</t>
  </si>
  <si>
    <t>Team Member</t>
  </si>
  <si>
    <t>Team Maintenance</t>
  </si>
  <si>
    <t>CDL</t>
  </si>
  <si>
    <t>Of Attitude toward changes of as of March 24, 2019</t>
  </si>
  <si>
    <t>No Change Needed</t>
  </si>
  <si>
    <t>Minor Tweaks / New Equipment Needed</t>
  </si>
  <si>
    <t>Training / Work Optimization Needed</t>
  </si>
  <si>
    <t>Movement Changes Needed</t>
  </si>
  <si>
    <t>Layout (and 4,3,2) Changes Needed</t>
  </si>
  <si>
    <t>Total New facility needed</t>
  </si>
  <si>
    <t>Permenant Employees</t>
  </si>
  <si>
    <t>per year</t>
  </si>
  <si>
    <t>as needed</t>
  </si>
  <si>
    <t>Days</t>
  </si>
  <si>
    <t>=VLOOKUP(Table2[Role]</t>
  </si>
  <si>
    <t>From the Senior BA:  Get data from TrackR Data Generation</t>
  </si>
  <si>
    <t>of the Wholesale Price of TrackR's for 2019 Q1 for All Versions</t>
  </si>
  <si>
    <t>This wholesale price per TrackR is the Production Facillity's income!</t>
  </si>
  <si>
    <t>ProductID</t>
  </si>
  <si>
    <t>ProductCode</t>
  </si>
  <si>
    <t>ProductFullName</t>
  </si>
  <si>
    <t>SalesYear</t>
  </si>
  <si>
    <t>SalesQtr</t>
  </si>
  <si>
    <t>WholeSalePrice</t>
  </si>
  <si>
    <t>UnitCostOfProduction</t>
  </si>
  <si>
    <t>MSRP</t>
  </si>
  <si>
    <t>SalesTargetPerDay</t>
  </si>
  <si>
    <t>MonthlySalesTarget</t>
  </si>
  <si>
    <t>Trackr A</t>
  </si>
  <si>
    <t>Personal Fitness Tracker Silver</t>
  </si>
  <si>
    <t>Trackr B</t>
  </si>
  <si>
    <t>Personal Fitness Tracker Brown</t>
  </si>
  <si>
    <t>Trackr C</t>
  </si>
  <si>
    <t>Personal Fitness Tracker Gold</t>
  </si>
  <si>
    <t>** Options - Different Worker Letters</t>
  </si>
  <si>
    <t>What is the time that one worker spends assembling a TrackR?</t>
  </si>
  <si>
    <t>minutes</t>
  </si>
  <si>
    <t>see assembly calculation</t>
  </si>
  <si>
    <t>What is the time that one worker spends picking a TrackR?</t>
  </si>
  <si>
    <t>less than assembly time</t>
  </si>
  <si>
    <t>The final test in Assembly is done at Table #4.  Should this be in the model?</t>
  </si>
  <si>
    <t>2 - No</t>
  </si>
  <si>
    <t>Summary:</t>
  </si>
  <si>
    <t>The current policy is that every worker gets, at minimum, 10 minutes of break in every hour</t>
  </si>
  <si>
    <t>Time Analysis in Total Hours</t>
  </si>
  <si>
    <t>The current policy is that every worker gets 30 minutes for a meal break somewhere in hours 4, 5 or 6</t>
  </si>
  <si>
    <t>Productive</t>
  </si>
  <si>
    <t>Standby</t>
  </si>
  <si>
    <t>The current policy of 10 minute breaks every hour is to allow time for washroom, short snack, or relief from focused assembly work</t>
  </si>
  <si>
    <t>** Is walking to pick more components not a break from focused assembly? **</t>
  </si>
  <si>
    <t>Time Interval for model below</t>
  </si>
  <si>
    <t>Time Analysis in Percentages</t>
  </si>
  <si>
    <t>Table</t>
  </si>
  <si>
    <t>Hour</t>
  </si>
  <si>
    <t>Minute</t>
  </si>
  <si>
    <t>Assembling</t>
  </si>
  <si>
    <t>Picking</t>
  </si>
  <si>
    <t>of the Daily Production for Each TrackR Version for 2018 Q4 and 2019 Q1</t>
  </si>
  <si>
    <t>BuildYear</t>
  </si>
  <si>
    <t>BuildQtr</t>
  </si>
  <si>
    <t>BuildDate</t>
  </si>
  <si>
    <t>UnitProdnCost</t>
  </si>
  <si>
    <t>Total Quantity</t>
  </si>
  <si>
    <t>Total Daily Production Cost</t>
  </si>
  <si>
    <t>From the Senior BA:  Looking for Pivot Table here</t>
  </si>
  <si>
    <t>of the Average Daily Production for Each TrackR Version for 2018 Q4 and 2019 Q1</t>
  </si>
  <si>
    <t>Average of Total Quantity</t>
  </si>
  <si>
    <t>Average of Total Daily Production Cost</t>
  </si>
  <si>
    <t>4 Total</t>
  </si>
  <si>
    <t>1 Total</t>
  </si>
  <si>
    <t>Tracker A</t>
  </si>
  <si>
    <t>Tracker B</t>
  </si>
  <si>
    <t>Tracker C</t>
  </si>
  <si>
    <t>From the Senior BA:  Get data from the Purchase Orders</t>
  </si>
  <si>
    <t>Note: The puchaser order requisitioner is T.Abhinar for all purchase orders</t>
  </si>
  <si>
    <t>#ID</t>
  </si>
  <si>
    <t>PO#</t>
  </si>
  <si>
    <t>Vendor</t>
  </si>
  <si>
    <t>Item #</t>
  </si>
  <si>
    <t>Quantity</t>
  </si>
  <si>
    <t>Unit Price</t>
  </si>
  <si>
    <t>Total</t>
  </si>
  <si>
    <t>Tax</t>
  </si>
  <si>
    <t xml:space="preserve">Shipping </t>
  </si>
  <si>
    <t>Other</t>
  </si>
  <si>
    <t>Grand Total</t>
  </si>
  <si>
    <t>FileName</t>
  </si>
  <si>
    <t>Vendor Details</t>
  </si>
  <si>
    <t>SS98AA1S</t>
  </si>
  <si>
    <t>18mm x 29mm OLED screen *REFURB</t>
  </si>
  <si>
    <t>163F - Purchase order, B527574 21May05</t>
  </si>
  <si>
    <t>http://www.samsung.com</t>
  </si>
  <si>
    <t>SS89BB2S</t>
  </si>
  <si>
    <t>89mm x 49mm LED screen</t>
  </si>
  <si>
    <t>SG32VD3G</t>
  </si>
  <si>
    <t>22mm x 43mm PDP screen</t>
  </si>
  <si>
    <t>SD43QCR4</t>
  </si>
  <si>
    <t>43mm x 89mm LCD screen</t>
  </si>
  <si>
    <t>life.augmented</t>
  </si>
  <si>
    <t>HG213213-221</t>
  </si>
  <si>
    <t>3-axis analogue gyroscope XT35</t>
  </si>
  <si>
    <t>223F - Purchase order, B687574 21May05</t>
  </si>
  <si>
    <t>http://www.st.com/</t>
  </si>
  <si>
    <t>3-axis digital gyroscope XT98</t>
  </si>
  <si>
    <t>HG231123-221</t>
  </si>
  <si>
    <t>3-axis digital accelerometer XT89</t>
  </si>
  <si>
    <t>STMA12133</t>
  </si>
  <si>
    <t>2-axis digital accelerometer</t>
  </si>
  <si>
    <t>STMA111233</t>
  </si>
  <si>
    <t>2-axis analogue acceleraX89$g</t>
  </si>
  <si>
    <t>SVLV25</t>
  </si>
  <si>
    <t>338B - Purchase order, B77263 21May05</t>
  </si>
  <si>
    <t>http://www.americanvanadium.com/</t>
  </si>
  <si>
    <t>SVLR35</t>
  </si>
  <si>
    <t>Slimflex Ion-Lithium battery</t>
  </si>
  <si>
    <t>SFFLV22</t>
  </si>
  <si>
    <t>Slimflex Phosphate-Vanadium printed battery</t>
  </si>
  <si>
    <t>BVFL25</t>
  </si>
  <si>
    <t>Slimflex Phosphate-Magnesium battery</t>
  </si>
  <si>
    <t>446S - Purchase order, S2222174 21May05</t>
  </si>
  <si>
    <t>http://www.banda.com</t>
  </si>
  <si>
    <t>bluegiga</t>
  </si>
  <si>
    <t>613S - Purchase order, S433374 21May05</t>
  </si>
  <si>
    <t>http://www.bluegiga.com</t>
  </si>
  <si>
    <t>BD2099733AAB</t>
  </si>
  <si>
    <t>Micro Bluetooth transmitter</t>
  </si>
  <si>
    <t>617C - Purchase order, B649874 21May05</t>
  </si>
  <si>
    <t>http://www.qualcomm.com/</t>
  </si>
  <si>
    <t>BD209111131BB</t>
  </si>
  <si>
    <t>Micro-transmitter for 3G communication</t>
  </si>
  <si>
    <t>BD21111132BD</t>
  </si>
  <si>
    <t>PCB housing</t>
  </si>
  <si>
    <t>QC0334542BGD</t>
  </si>
  <si>
    <t>Snapdragon 800</t>
  </si>
  <si>
    <t>BD348279555AC</t>
  </si>
  <si>
    <t>Micro-transmitter for X7 LTE modem</t>
  </si>
  <si>
    <t>SanDisk</t>
  </si>
  <si>
    <t>643F - Purchase order, S496574 21May05</t>
  </si>
  <si>
    <t>http://www.sandisk.com</t>
  </si>
  <si>
    <t>mitchell plastics</t>
  </si>
  <si>
    <t>Vulcanized Rubber casing</t>
  </si>
  <si>
    <t>717A - Purchase order, B16612 21May05</t>
  </si>
  <si>
    <t>http://www.mitchellplastics.com/</t>
  </si>
  <si>
    <t>A423232</t>
  </si>
  <si>
    <t>Foxconn PCB Division</t>
  </si>
  <si>
    <t>Packing Foam</t>
  </si>
  <si>
    <t>13.629.74</t>
  </si>
  <si>
    <t>-</t>
  </si>
  <si>
    <t>$208.340.34</t>
  </si>
  <si>
    <t>Foxonn - Purchase Order B45412</t>
  </si>
  <si>
    <t>www.Foxcomm.com.yo</t>
  </si>
  <si>
    <t>Packing Slip</t>
  </si>
  <si>
    <t>Packaging</t>
  </si>
  <si>
    <t>FnOFI-OM212</t>
  </si>
  <si>
    <t>FnOFI-GM1212</t>
  </si>
  <si>
    <t>PnOFI-GN1242</t>
  </si>
  <si>
    <t>FnO0FI-GN7212</t>
  </si>
  <si>
    <t>VnOFI-GN7212</t>
  </si>
  <si>
    <t>FnOFI-GN1213</t>
  </si>
  <si>
    <t>37,78</t>
  </si>
  <si>
    <t>Misc [Mystery] Packaging Materials</t>
  </si>
  <si>
    <t>Table1-Shelf 11A</t>
  </si>
  <si>
    <t>Shelf 11A-Shelf 11B</t>
  </si>
  <si>
    <t>Shelf 11B-Shelf 11C</t>
  </si>
  <si>
    <t>Shelf 11C-Shelf 7E</t>
  </si>
  <si>
    <t>Shelf 7E-Shelf 7E</t>
  </si>
  <si>
    <t>Shelf 7E - Shelf 6E</t>
  </si>
  <si>
    <t>Shelf 6E - Shelf 6D</t>
  </si>
  <si>
    <t>Shelf 6D - Shelf 6C</t>
  </si>
  <si>
    <t>Shelf 6C - Shelf 6B</t>
  </si>
  <si>
    <t>Shelf 6B - Shelf 6A</t>
  </si>
  <si>
    <t>Shelf 6A - Shelf 5A</t>
  </si>
  <si>
    <t>Shelf 5A - Shelf 5B</t>
  </si>
  <si>
    <t>Table2-Shelf 11A</t>
  </si>
  <si>
    <t>Shelf 5B- Table2</t>
  </si>
  <si>
    <t>Table3-Shelf 11A</t>
  </si>
  <si>
    <t>Shelf 5B- Table3</t>
  </si>
  <si>
    <t>Shelf 5B - Shelf 5C</t>
  </si>
  <si>
    <t>Shelf 5C- Table1</t>
  </si>
  <si>
    <t>Table1-Table2</t>
  </si>
  <si>
    <t>Table2-Table 3</t>
  </si>
  <si>
    <t>Table2</t>
  </si>
  <si>
    <t xml:space="preserve">Table3 </t>
  </si>
  <si>
    <t>Table3</t>
  </si>
  <si>
    <t>Pick from Shelf sec/Drop componenets at table</t>
  </si>
  <si>
    <t>Assumptions of putting compoents on the table for all the Tracker</t>
  </si>
  <si>
    <t>Average time to drop components on the table</t>
  </si>
  <si>
    <t>Assembly</t>
  </si>
  <si>
    <t>Table 1</t>
  </si>
  <si>
    <t>Table 2</t>
  </si>
  <si>
    <t>Table 3</t>
  </si>
  <si>
    <t xml:space="preserve"> Hour</t>
  </si>
  <si>
    <t>Break Time</t>
  </si>
  <si>
    <t>Productive Work Time per hour for one employees</t>
  </si>
  <si>
    <t>Employees will get break every 3 hours to refresh and to have a meal</t>
  </si>
  <si>
    <t xml:space="preserve">Suggestion ID </t>
  </si>
  <si>
    <t>Name</t>
  </si>
  <si>
    <t>Short Description</t>
  </si>
  <si>
    <t>Pick components for multiple TrackR</t>
  </si>
  <si>
    <t>Move the Aseembly tables</t>
  </si>
  <si>
    <t xml:space="preserve">Move assembly tables to the right of the production facility </t>
  </si>
  <si>
    <t>Employee Should pick components for multiple TrackRat at a time</t>
  </si>
  <si>
    <t>Adjust shelves</t>
  </si>
  <si>
    <t>Keep all the TrackR Components near Assembly table</t>
  </si>
  <si>
    <t>Remove the wall</t>
  </si>
  <si>
    <t>Remove the wall situated between the shelves to allow more movement in the production facility</t>
  </si>
  <si>
    <t>Close the ducts</t>
  </si>
  <si>
    <t>Close the ducts near shipping area to control the temperature in the shipping area</t>
  </si>
  <si>
    <t xml:space="preserve">Move pallet trucks and Pallets </t>
  </si>
  <si>
    <t>Moving pallet truck and pallets in the shipping area will allow more space in the shipping area</t>
  </si>
  <si>
    <t>Specialize work</t>
  </si>
  <si>
    <t>Assignning employees a specific role will help them to do their work effectively, Ex. Some employess only do picking</t>
  </si>
  <si>
    <t xml:space="preserve">Keep the production target according to daily production need </t>
  </si>
  <si>
    <t>Set daily production criteria to 238 to achieve montly target of 5000 trackR</t>
  </si>
  <si>
    <t>Policy change for break time</t>
  </si>
  <si>
    <t>Change break policy to 20 min break every 3 hours to achieve maximum productivity</t>
  </si>
  <si>
    <t>Assign part time shift to retain employees and reduce the employee cost</t>
  </si>
  <si>
    <t>Suggestion ID</t>
  </si>
  <si>
    <t>Rationale</t>
  </si>
  <si>
    <t xml:space="preserve">Possible benefits </t>
  </si>
  <si>
    <t>Currently, Employees are picking one TrackR Components at a time which is costing in terms time and it is also increasing footsteps in the assembly area. By Picking componets for 3 TrackR will reduce the foot steps and it will also use employees time effectively.</t>
  </si>
  <si>
    <t>Reduce the footsteps in production facility , reduces cost in terms of time, makes production more effecient</t>
  </si>
  <si>
    <t xml:space="preserve">Currently, Assembly is set near the shippig area, by moving it to right side of the assembly table, We will be able to reduce the footsteps near the  shippping area, which will reduce the possibility of empoyee getting injured due to movement of  pallet truck near shipping area. and also solves the temperature issue in the shipping  because we will no loger need to keep duct open to provide heating in the for assembly </t>
  </si>
  <si>
    <t>Solves temperature issues, Reduce footsteps near shipping area, addresses the health and safety concern of leadhand</t>
  </si>
  <si>
    <t>By adjusting shelves and using them effectively, we can reduce the  the picking time and also reduces the movement that employees need to do in order to pick components</t>
  </si>
  <si>
    <t xml:space="preserve">Reduction of picking time, Reduction of employee movement </t>
  </si>
  <si>
    <t xml:space="preserve">By removing the wall we can make way for pallet trucks and employees to allow more movement </t>
  </si>
  <si>
    <t>More space for movement, less possibility of health and safety issue</t>
  </si>
  <si>
    <t>By closing the Ducts we can reduce the temperature issue in shipping area</t>
  </si>
  <si>
    <t>Allows to control the temperature in the shipping area</t>
  </si>
  <si>
    <t>By Moving palltes and pallet trucks in the shipping area  will allow more room in the production area</t>
  </si>
  <si>
    <t>Decrease the possibility of injury</t>
  </si>
  <si>
    <t>By assigning specialize duty to employees, we can use the employees effectively. For example, We can divide assembly steps in the different parts where we can assign an empoyee to do specific part will help us to make TrackR production faster.</t>
  </si>
  <si>
    <t>Makes th production of TrackR faster, We can save cost in terms of time and we can reduce the number of employees by giving them specializing their work.</t>
  </si>
  <si>
    <t xml:space="preserve">Currently, OHT is doing over production then what they need by setting a specific target for production We will save cost in terms of components and time as well </t>
  </si>
  <si>
    <t>Less production means less component cost, Less labout cost and Less cost in terms of time</t>
  </si>
  <si>
    <t>OHT is loosing valuable production time according to current break policy. By changing it and by giving employees break every 3 hours, OHT can decrease the overall production time to achieve daily TrakR goal.</t>
  </si>
  <si>
    <t>Reduces the production time to make daily TrackR Target, it will save labour cost by reducing overall shift timings</t>
  </si>
  <si>
    <t xml:space="preserve">Assigning part time shifts </t>
  </si>
  <si>
    <t>By managing employees well assigning specialize duty, we can reduce the need of employees and we can assign part time jobs to employees Which will retain them and it can also reduce the employee cost as well</t>
  </si>
  <si>
    <t>Reduce the labour cost</t>
  </si>
  <si>
    <t>Possible cost Reduction</t>
  </si>
  <si>
    <t>We can reduce cost in terms of time, We can reduce the need of the employee, which will result in employee paying less</t>
  </si>
  <si>
    <t xml:space="preserve">It will reduce the cost in terms of  heating the area as we  can close the ducts above we can save cost for maintaining temperature and We also look after employees health and safety </t>
  </si>
  <si>
    <t>By moving shelves near, we can reduce the movement which make employee work faster and Will save time and make process faster</t>
  </si>
  <si>
    <t>It allow free movement around the assembly area</t>
  </si>
  <si>
    <t>It will reduce the cost to maintain the temperature as it will reduce issues regarding temperature</t>
  </si>
  <si>
    <t>It will allow more space in the assembly area which will reduce the possibility of employee getting injured</t>
  </si>
  <si>
    <t>Assigning specialize work will allow  production faster which reduce the cost and It will also allow company to assign part time shift</t>
  </si>
  <si>
    <t>It will reduce component cost and also lessens shifts hours as well</t>
  </si>
  <si>
    <t>it will allow us to make production faster which will reduce the cost in terms of time to reach the daily target</t>
  </si>
  <si>
    <t>It will reduce the cost in terms of time by retaining employee</t>
  </si>
  <si>
    <t>Break</t>
  </si>
  <si>
    <t>Time Analysis in Hours</t>
  </si>
  <si>
    <t>A,B,C,D</t>
  </si>
  <si>
    <t>Total hours</t>
  </si>
  <si>
    <t xml:space="preserve">Summary : </t>
  </si>
  <si>
    <t>An employee will pick 3 sets of components and drop at each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</si>
</sst>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_-&quot;$&quot;* #,##0.00_-;\-&quot;$&quot;* #,##0.00_-;_-&quot;$&quot;* &quot;-&quot;??_-;_-@_-"/>
    <numFmt numFmtId="165" formatCode="&quot;$&quot;#,##0.00"/>
    <numFmt numFmtId="166" formatCode="0.0000"/>
    <numFmt numFmtId="167" formatCode="0.000"/>
  </numFmts>
  <fonts count="28">
    <font>
      <sz val="11"/>
      <color theme="1"/>
      <name val="Calibri"/>
      <family val="2"/>
      <scheme val="minor"/>
    </font>
    <font>
      <b/>
      <sz val="11"/>
      <color theme="1"/>
      <name val="Calibri"/>
      <family val="2"/>
      <scheme val="minor"/>
    </font>
    <font>
      <b/>
      <sz val="14"/>
      <color theme="1"/>
      <name val="Calibri"/>
      <family val="2"/>
      <scheme val="minor"/>
    </font>
    <font>
      <sz val="16"/>
      <color theme="1"/>
      <name val="Calibri"/>
      <family val="2"/>
      <scheme val="minor"/>
    </font>
    <font>
      <sz val="11"/>
      <color theme="1"/>
      <name val="Calibri"/>
      <family val="2"/>
      <scheme val="minor"/>
    </font>
    <font>
      <b/>
      <sz val="15"/>
      <color theme="3"/>
      <name val="Calibri"/>
      <family val="2"/>
      <scheme val="minor"/>
    </font>
    <font>
      <sz val="11"/>
      <color rgb="FFFA7D00"/>
      <name val="Calibri"/>
      <family val="2"/>
      <scheme val="minor"/>
    </font>
    <font>
      <b/>
      <sz val="15"/>
      <color theme="5"/>
      <name val="Calibri"/>
      <family val="2"/>
      <scheme val="minor"/>
    </font>
    <font>
      <sz val="11"/>
      <name val="Calibri"/>
      <family val="2"/>
      <scheme val="minor"/>
    </font>
    <font>
      <sz val="11"/>
      <color rgb="FF444444"/>
      <name val="Calibri"/>
      <family val="2"/>
      <charset val="1"/>
    </font>
    <font>
      <b/>
      <sz val="12"/>
      <color rgb="FF000000"/>
      <name val="Calibri"/>
      <family val="2"/>
    </font>
    <font>
      <sz val="12"/>
      <color rgb="FF000000"/>
      <name val="Calibri"/>
      <family val="2"/>
    </font>
    <font>
      <sz val="11"/>
      <color rgb="FF000000"/>
      <name val="Calibri"/>
      <family val="2"/>
    </font>
    <font>
      <b/>
      <sz val="11"/>
      <color rgb="FF000000"/>
      <name val="Calibri"/>
      <family val="2"/>
    </font>
    <font>
      <sz val="11"/>
      <color rgb="FF000000"/>
      <name val="Calibri"/>
      <family val="2"/>
    </font>
    <font>
      <sz val="11"/>
      <color rgb="FF000000"/>
      <name val="Calibri"/>
      <family val="2"/>
    </font>
    <font>
      <sz val="10"/>
      <name val="Arial"/>
      <family val="2"/>
    </font>
    <font>
      <sz val="8"/>
      <color theme="1"/>
      <name val="Helvetica"/>
      <family val="2"/>
    </font>
    <font>
      <b/>
      <sz val="11"/>
      <color rgb="FF000000"/>
      <name val="Calibri"/>
      <family val="2"/>
    </font>
    <font>
      <sz val="11"/>
      <color theme="1"/>
      <name val="Arial"/>
      <family val="2"/>
    </font>
    <font>
      <u/>
      <sz val="11"/>
      <color theme="10"/>
      <name val="Calibri"/>
      <family val="2"/>
      <scheme val="minor"/>
    </font>
    <font>
      <sz val="11"/>
      <color theme="1"/>
      <name val="Calibri"/>
      <family val="2"/>
      <charset val="1"/>
    </font>
    <font>
      <sz val="11"/>
      <color rgb="FF000000"/>
      <name val="Calibri"/>
      <family val="2"/>
      <scheme val="minor"/>
    </font>
    <font>
      <sz val="11"/>
      <color theme="1"/>
      <name val="Calibri"/>
      <family val="2"/>
    </font>
    <font>
      <sz val="11"/>
      <color rgb="FF444444"/>
      <name val="Calibri"/>
      <family val="2"/>
    </font>
    <font>
      <sz val="11"/>
      <color rgb="FF0070C0"/>
      <name val="Calibri"/>
      <family val="2"/>
    </font>
    <font>
      <sz val="13"/>
      <color theme="1"/>
      <name val=".AppleSystemUIFont"/>
    </font>
    <font>
      <sz val="18"/>
      <color theme="1"/>
      <name val="Calibri (Body)"/>
    </font>
  </fonts>
  <fills count="16">
    <fill>
      <patternFill patternType="none"/>
    </fill>
    <fill>
      <patternFill patternType="gray125"/>
    </fill>
    <fill>
      <patternFill patternType="solid">
        <fgColor theme="0"/>
        <bgColor indexed="64"/>
      </patternFill>
    </fill>
    <fill>
      <patternFill patternType="solid">
        <fgColor rgb="FFC0C0C0"/>
        <bgColor rgb="FFC0C0C0"/>
      </patternFill>
    </fill>
    <fill>
      <patternFill patternType="solid">
        <fgColor rgb="FFD9E1F2"/>
        <bgColor indexed="64"/>
      </patternFill>
    </fill>
    <fill>
      <patternFill patternType="solid">
        <fgColor rgb="FFFFFFFF"/>
        <bgColor indexed="64"/>
      </patternFill>
    </fill>
    <fill>
      <patternFill patternType="solid">
        <fgColor rgb="FF9BC2E6"/>
        <bgColor rgb="FF000000"/>
      </patternFill>
    </fill>
    <fill>
      <patternFill patternType="solid">
        <fgColor rgb="FFF4B084"/>
        <bgColor rgb="FF000000"/>
      </patternFill>
    </fill>
    <fill>
      <patternFill patternType="solid">
        <fgColor rgb="FFFFFFFF"/>
        <bgColor rgb="FF000000"/>
      </patternFill>
    </fill>
    <fill>
      <patternFill patternType="solid">
        <fgColor rgb="FFA9D08E"/>
        <bgColor rgb="FF000000"/>
      </patternFill>
    </fill>
    <fill>
      <patternFill patternType="solid">
        <fgColor rgb="FFB4C6E7"/>
        <bgColor indexed="64"/>
      </patternFill>
    </fill>
    <fill>
      <patternFill patternType="solid">
        <fgColor rgb="FFFFFF00"/>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7999816888943144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top/>
      <bottom style="thick">
        <color theme="4"/>
      </bottom>
      <diagonal/>
    </border>
    <border>
      <left/>
      <right/>
      <top/>
      <bottom style="double">
        <color rgb="FFFF8001"/>
      </bottom>
      <diagonal/>
    </border>
    <border>
      <left/>
      <right style="thin">
        <color indexed="64"/>
      </right>
      <top style="thin">
        <color indexed="64"/>
      </top>
      <bottom style="thin">
        <color indexed="64"/>
      </bottom>
      <diagonal/>
    </border>
    <border>
      <left style="thin">
        <color rgb="FFD0D7E5"/>
      </left>
      <right style="thin">
        <color rgb="FFD0D7E5"/>
      </right>
      <top style="thin">
        <color rgb="FFD0D7E5"/>
      </top>
      <bottom style="thin">
        <color rgb="FFD0D7E5"/>
      </bottom>
      <diagonal/>
    </border>
    <border>
      <left/>
      <right style="thin">
        <color rgb="FFD0D7E5"/>
      </right>
      <top style="thin">
        <color rgb="FFD0D7E5"/>
      </top>
      <bottom style="thin">
        <color rgb="FFD0D7E5"/>
      </bottom>
      <diagonal/>
    </border>
    <border>
      <left/>
      <right style="thin">
        <color rgb="FFD0D7E5"/>
      </right>
      <top/>
      <bottom/>
      <diagonal/>
    </border>
    <border>
      <left style="thin">
        <color rgb="FFD0D7E5"/>
      </left>
      <right style="thin">
        <color rgb="FFD0D7E5"/>
      </right>
      <top/>
      <bottom style="thin">
        <color rgb="FFD0D7E5"/>
      </bottom>
      <diagonal/>
    </border>
    <border>
      <left/>
      <right style="thin">
        <color rgb="FFD0D7E5"/>
      </right>
      <top/>
      <bottom style="thin">
        <color rgb="FFD0D7E5"/>
      </bottom>
      <diagonal/>
    </border>
    <border>
      <left/>
      <right style="thin">
        <color rgb="FFD0D7E5"/>
      </right>
      <top style="thin">
        <color rgb="FFD0D7E5"/>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top/>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right/>
      <top style="thin">
        <color indexed="64"/>
      </top>
      <bottom/>
      <diagonal/>
    </border>
    <border>
      <left/>
      <right style="thin">
        <color indexed="64"/>
      </right>
      <top style="thin">
        <color indexed="64"/>
      </top>
      <bottom/>
      <diagonal/>
    </border>
    <border>
      <left style="thin">
        <color indexed="64"/>
      </left>
      <right style="hair">
        <color indexed="64"/>
      </right>
      <top/>
      <bottom style="hair">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s>
  <cellStyleXfs count="6">
    <xf numFmtId="0" fontId="0" fillId="0" borderId="0"/>
    <xf numFmtId="164" fontId="4" fillId="0" borderId="0" applyFont="0" applyFill="0" applyBorder="0" applyAlignment="0" applyProtection="0"/>
    <xf numFmtId="9" fontId="4" fillId="0" borderId="0" applyFont="0" applyFill="0" applyBorder="0" applyAlignment="0" applyProtection="0"/>
    <xf numFmtId="0" fontId="5" fillId="0" borderId="4" applyNumberFormat="0" applyFill="0" applyAlignment="0" applyProtection="0"/>
    <xf numFmtId="0" fontId="6" fillId="0" borderId="5" applyNumberFormat="0" applyFill="0" applyAlignment="0" applyProtection="0"/>
    <xf numFmtId="0" fontId="20" fillId="0" borderId="0" applyNumberFormat="0" applyFill="0" applyBorder="0" applyAlignment="0" applyProtection="0"/>
  </cellStyleXfs>
  <cellXfs count="185">
    <xf numFmtId="0" fontId="0" fillId="0" borderId="0" xfId="0"/>
    <xf numFmtId="0" fontId="0" fillId="0" borderId="0" xfId="0" applyAlignment="1">
      <alignment horizontal="left"/>
    </xf>
    <xf numFmtId="0" fontId="1" fillId="0" borderId="1" xfId="0" applyFont="1" applyBorder="1"/>
    <xf numFmtId="0" fontId="0" fillId="0" borderId="1" xfId="0" applyBorder="1"/>
    <xf numFmtId="15" fontId="0" fillId="0" borderId="0" xfId="0" applyNumberFormat="1"/>
    <xf numFmtId="0" fontId="1" fillId="0" borderId="2" xfId="0" applyFont="1" applyBorder="1"/>
    <xf numFmtId="0" fontId="0" fillId="0" borderId="2" xfId="0" applyBorder="1"/>
    <xf numFmtId="0" fontId="0" fillId="0" borderId="0" xfId="0" applyAlignment="1">
      <alignment horizontal="left" indent="1"/>
    </xf>
    <xf numFmtId="0" fontId="0" fillId="0" borderId="0" xfId="0" applyAlignment="1">
      <alignment horizontal="left" indent="2"/>
    </xf>
    <xf numFmtId="0" fontId="2" fillId="0" borderId="0" xfId="0" applyFont="1"/>
    <xf numFmtId="0" fontId="3" fillId="0" borderId="0" xfId="0" applyFont="1"/>
    <xf numFmtId="0" fontId="0" fillId="0" borderId="3" xfId="0" applyBorder="1"/>
    <xf numFmtId="0" fontId="0" fillId="0" borderId="0" xfId="0" quotePrefix="1"/>
    <xf numFmtId="0" fontId="0" fillId="0" borderId="0" xfId="0" applyAlignment="1">
      <alignment wrapText="1"/>
    </xf>
    <xf numFmtId="0" fontId="0" fillId="0" borderId="0" xfId="0" applyAlignment="1">
      <alignment horizontal="right"/>
    </xf>
    <xf numFmtId="164" fontId="0" fillId="0" borderId="0" xfId="0" applyNumberFormat="1"/>
    <xf numFmtId="164" fontId="0" fillId="0" borderId="0" xfId="1" applyFont="1"/>
    <xf numFmtId="0" fontId="7" fillId="0" borderId="0" xfId="3" applyFont="1" applyBorder="1" applyAlignment="1">
      <alignment horizontal="center"/>
    </xf>
    <xf numFmtId="0" fontId="7" fillId="0" borderId="0" xfId="3" applyFont="1" applyBorder="1" applyAlignment="1">
      <alignment horizontal="left"/>
    </xf>
    <xf numFmtId="0" fontId="1" fillId="0" borderId="0" xfId="0" applyFont="1"/>
    <xf numFmtId="9" fontId="0" fillId="0" borderId="0" xfId="2" applyFont="1"/>
    <xf numFmtId="0" fontId="8" fillId="0" borderId="0" xfId="4" applyFont="1" applyBorder="1" applyAlignment="1">
      <alignment horizontal="center"/>
    </xf>
    <xf numFmtId="0" fontId="0" fillId="2" borderId="0" xfId="0" applyFill="1" applyAlignment="1">
      <alignment horizontal="center"/>
    </xf>
    <xf numFmtId="0" fontId="9" fillId="0" borderId="0" xfId="0" quotePrefix="1" applyFont="1"/>
    <xf numFmtId="0" fontId="10" fillId="3" borderId="1" xfId="0" applyFont="1" applyFill="1" applyBorder="1"/>
    <xf numFmtId="0" fontId="10" fillId="3" borderId="6" xfId="0" applyFont="1" applyFill="1" applyBorder="1"/>
    <xf numFmtId="0" fontId="11" fillId="0" borderId="7" xfId="0" applyFont="1" applyBorder="1" applyAlignment="1">
      <alignment wrapText="1"/>
    </xf>
    <xf numFmtId="0" fontId="11" fillId="0" borderId="8" xfId="0" applyFont="1" applyBorder="1" applyAlignment="1">
      <alignment wrapText="1"/>
    </xf>
    <xf numFmtId="15" fontId="11" fillId="0" borderId="8" xfId="0" applyNumberFormat="1" applyFont="1" applyBorder="1" applyAlignment="1">
      <alignment wrapText="1"/>
    </xf>
    <xf numFmtId="8" fontId="11" fillId="0" borderId="8" xfId="0" applyNumberFormat="1" applyFont="1" applyBorder="1" applyAlignment="1">
      <alignment wrapText="1"/>
    </xf>
    <xf numFmtId="0" fontId="11" fillId="0" borderId="9" xfId="0" applyFont="1" applyBorder="1" applyAlignment="1">
      <alignment wrapText="1"/>
    </xf>
    <xf numFmtId="8" fontId="11" fillId="0" borderId="0" xfId="0" applyNumberFormat="1" applyFont="1"/>
    <xf numFmtId="0" fontId="11" fillId="0" borderId="10" xfId="0" applyFont="1" applyBorder="1" applyAlignment="1">
      <alignment wrapText="1"/>
    </xf>
    <xf numFmtId="0" fontId="11" fillId="0" borderId="11" xfId="0" applyFont="1" applyBorder="1" applyAlignment="1">
      <alignment wrapText="1"/>
    </xf>
    <xf numFmtId="15" fontId="11" fillId="0" borderId="11" xfId="0" applyNumberFormat="1" applyFont="1" applyBorder="1" applyAlignment="1">
      <alignment wrapText="1"/>
    </xf>
    <xf numFmtId="8" fontId="11" fillId="0" borderId="11" xfId="0" applyNumberFormat="1" applyFont="1" applyBorder="1" applyAlignment="1">
      <alignment wrapText="1"/>
    </xf>
    <xf numFmtId="0" fontId="11" fillId="0" borderId="12" xfId="0" applyFont="1" applyBorder="1" applyAlignment="1">
      <alignment wrapText="1"/>
    </xf>
    <xf numFmtId="0" fontId="12" fillId="0" borderId="0" xfId="0" applyFont="1"/>
    <xf numFmtId="0" fontId="12" fillId="0" borderId="0" xfId="0" applyFont="1" applyAlignment="1">
      <alignment horizontal="center"/>
    </xf>
    <xf numFmtId="2" fontId="0" fillId="0" borderId="0" xfId="0" applyNumberFormat="1"/>
    <xf numFmtId="0" fontId="0" fillId="0" borderId="0" xfId="0" pivotButton="1"/>
    <xf numFmtId="0" fontId="13" fillId="3" borderId="1" xfId="0" applyFont="1" applyFill="1" applyBorder="1"/>
    <xf numFmtId="0" fontId="13" fillId="3" borderId="6" xfId="0" applyFont="1" applyFill="1" applyBorder="1"/>
    <xf numFmtId="0" fontId="14" fillId="0" borderId="7" xfId="0" applyFont="1" applyBorder="1" applyAlignment="1">
      <alignment wrapText="1"/>
    </xf>
    <xf numFmtId="0" fontId="14" fillId="0" borderId="8" xfId="0" applyFont="1" applyBorder="1" applyAlignment="1">
      <alignment wrapText="1"/>
    </xf>
    <xf numFmtId="8" fontId="14" fillId="0" borderId="8" xfId="0" applyNumberFormat="1" applyFont="1" applyBorder="1" applyAlignment="1">
      <alignment wrapText="1"/>
    </xf>
    <xf numFmtId="0" fontId="14" fillId="0" borderId="10" xfId="0" applyFont="1" applyBorder="1" applyAlignment="1">
      <alignment wrapText="1"/>
    </xf>
    <xf numFmtId="0" fontId="14" fillId="0" borderId="11" xfId="0" applyFont="1" applyBorder="1" applyAlignment="1">
      <alignment wrapText="1"/>
    </xf>
    <xf numFmtId="8" fontId="14" fillId="0" borderId="11" xfId="0" applyNumberFormat="1" applyFont="1" applyBorder="1" applyAlignment="1">
      <alignment wrapText="1"/>
    </xf>
    <xf numFmtId="0" fontId="0" fillId="0" borderId="0" xfId="0" applyAlignment="1">
      <alignment horizontal="center"/>
    </xf>
    <xf numFmtId="2" fontId="0" fillId="0" borderId="0" xfId="0" applyNumberFormat="1" applyAlignment="1">
      <alignment horizontal="center"/>
    </xf>
    <xf numFmtId="0" fontId="15" fillId="0" borderId="0" xfId="0" applyFont="1"/>
    <xf numFmtId="0" fontId="0" fillId="4" borderId="14" xfId="0" applyFill="1" applyBorder="1" applyAlignment="1">
      <alignment horizontal="center"/>
    </xf>
    <xf numFmtId="4" fontId="16" fillId="0" borderId="15" xfId="0" applyNumberFormat="1" applyFont="1" applyBorder="1" applyAlignment="1">
      <alignment horizontal="center"/>
    </xf>
    <xf numFmtId="0" fontId="17" fillId="0" borderId="0" xfId="0" applyFont="1"/>
    <xf numFmtId="0" fontId="17" fillId="0" borderId="0" xfId="0" applyFont="1" applyAlignment="1">
      <alignment wrapText="1"/>
    </xf>
    <xf numFmtId="0" fontId="17" fillId="0" borderId="0" xfId="0" applyFont="1" applyAlignment="1">
      <alignment horizontal="center" vertical="center"/>
    </xf>
    <xf numFmtId="0" fontId="16" fillId="0" borderId="13" xfId="0" applyFont="1" applyBorder="1" applyAlignment="1">
      <alignment horizontal="left"/>
    </xf>
    <xf numFmtId="0" fontId="16" fillId="0" borderId="13" xfId="0" applyFont="1" applyBorder="1" applyAlignment="1">
      <alignment horizontal="center"/>
    </xf>
    <xf numFmtId="0" fontId="18" fillId="6" borderId="1" xfId="0" applyFont="1" applyFill="1" applyBorder="1"/>
    <xf numFmtId="0" fontId="18" fillId="6" borderId="6" xfId="0" applyFont="1" applyFill="1" applyBorder="1"/>
    <xf numFmtId="0" fontId="14" fillId="0" borderId="0" xfId="0" applyFont="1"/>
    <xf numFmtId="0" fontId="18" fillId="7" borderId="1" xfId="0" applyFont="1" applyFill="1" applyBorder="1"/>
    <xf numFmtId="0" fontId="18" fillId="7" borderId="6" xfId="0" applyFont="1" applyFill="1" applyBorder="1"/>
    <xf numFmtId="0" fontId="12" fillId="0" borderId="18" xfId="0" applyFont="1" applyBorder="1"/>
    <xf numFmtId="0" fontId="14" fillId="0" borderId="19" xfId="0" applyFont="1" applyBorder="1"/>
    <xf numFmtId="0" fontId="12" fillId="8" borderId="19" xfId="0" applyFont="1" applyFill="1" applyBorder="1"/>
    <xf numFmtId="0" fontId="14" fillId="8" borderId="19" xfId="0" applyFont="1" applyFill="1" applyBorder="1"/>
    <xf numFmtId="0" fontId="18" fillId="9" borderId="1" xfId="0" applyFont="1" applyFill="1" applyBorder="1"/>
    <xf numFmtId="0" fontId="18" fillId="9" borderId="6" xfId="0" applyFont="1" applyFill="1" applyBorder="1"/>
    <xf numFmtId="0" fontId="19" fillId="0" borderId="13" xfId="0" applyFont="1" applyBorder="1"/>
    <xf numFmtId="0" fontId="12" fillId="10" borderId="18" xfId="0" applyFont="1" applyFill="1" applyBorder="1"/>
    <xf numFmtId="0" fontId="14" fillId="10" borderId="19" xfId="0" applyFont="1" applyFill="1" applyBorder="1"/>
    <xf numFmtId="0" fontId="19" fillId="0" borderId="21" xfId="0" applyFont="1" applyBorder="1" applyAlignment="1">
      <alignment horizontal="center"/>
    </xf>
    <xf numFmtId="0" fontId="19" fillId="0" borderId="20" xfId="0" applyFont="1" applyBorder="1" applyAlignment="1">
      <alignment horizontal="center"/>
    </xf>
    <xf numFmtId="14" fontId="16" fillId="0" borderId="21" xfId="0" applyNumberFormat="1" applyFont="1" applyBorder="1" applyAlignment="1">
      <alignment horizontal="center"/>
    </xf>
    <xf numFmtId="0" fontId="19" fillId="0" borderId="13" xfId="0" applyFont="1" applyBorder="1" applyAlignment="1">
      <alignment horizontal="left"/>
    </xf>
    <xf numFmtId="4" fontId="16" fillId="5" borderId="21" xfId="0" applyNumberFormat="1" applyFont="1" applyFill="1" applyBorder="1" applyAlignment="1">
      <alignment horizontal="left"/>
    </xf>
    <xf numFmtId="4" fontId="16" fillId="0" borderId="14" xfId="0" applyNumberFormat="1" applyFont="1" applyBorder="1" applyAlignment="1">
      <alignment horizontal="center"/>
    </xf>
    <xf numFmtId="4" fontId="16" fillId="0" borderId="22" xfId="0" applyNumberFormat="1" applyFont="1" applyBorder="1" applyAlignment="1">
      <alignment horizontal="center"/>
    </xf>
    <xf numFmtId="0" fontId="14" fillId="0" borderId="0" xfId="0" applyFont="1" applyAlignment="1">
      <alignment horizontal="center"/>
    </xf>
    <xf numFmtId="0" fontId="20" fillId="0" borderId="0" xfId="5"/>
    <xf numFmtId="0" fontId="0" fillId="11" borderId="0" xfId="0" applyFill="1"/>
    <xf numFmtId="0" fontId="0" fillId="5" borderId="0" xfId="0" applyFill="1" applyAlignment="1">
      <alignment wrapText="1"/>
    </xf>
    <xf numFmtId="0" fontId="0" fillId="4" borderId="0" xfId="0" applyFill="1" applyAlignment="1">
      <alignment wrapText="1"/>
    </xf>
    <xf numFmtId="0" fontId="21" fillId="0" borderId="0" xfId="0" applyFont="1" applyAlignment="1">
      <alignment wrapText="1"/>
    </xf>
    <xf numFmtId="166" fontId="0" fillId="0" borderId="0" xfId="0" applyNumberFormat="1"/>
    <xf numFmtId="0" fontId="23" fillId="0" borderId="0" xfId="0" applyFont="1"/>
    <xf numFmtId="0" fontId="24" fillId="0" borderId="0" xfId="0" applyFont="1"/>
    <xf numFmtId="0" fontId="22" fillId="5" borderId="0" xfId="0" applyFont="1" applyFill="1"/>
    <xf numFmtId="0" fontId="0" fillId="5" borderId="0" xfId="0" applyFill="1"/>
    <xf numFmtId="0" fontId="24" fillId="0" borderId="0" xfId="0" quotePrefix="1" applyFont="1"/>
    <xf numFmtId="0" fontId="14" fillId="0" borderId="0" xfId="0" applyFont="1" applyAlignment="1">
      <alignment wrapText="1"/>
    </xf>
    <xf numFmtId="165" fontId="0" fillId="0" borderId="0" xfId="0" applyNumberFormat="1"/>
    <xf numFmtId="165" fontId="0" fillId="0" borderId="0" xfId="0" applyNumberFormat="1" applyAlignment="1">
      <alignment horizontal="right"/>
    </xf>
    <xf numFmtId="165" fontId="0" fillId="0" borderId="0" xfId="1" applyNumberFormat="1" applyFont="1"/>
    <xf numFmtId="165" fontId="0" fillId="2" borderId="0" xfId="0" applyNumberFormat="1" applyFill="1" applyAlignment="1">
      <alignment horizontal="center" wrapText="1"/>
    </xf>
    <xf numFmtId="165" fontId="0" fillId="0" borderId="0" xfId="1" applyNumberFormat="1" applyFont="1" applyBorder="1"/>
    <xf numFmtId="2" fontId="0" fillId="0" borderId="0" xfId="1" applyNumberFormat="1" applyFont="1" applyBorder="1"/>
    <xf numFmtId="165" fontId="14" fillId="0" borderId="0" xfId="0" applyNumberFormat="1" applyFont="1"/>
    <xf numFmtId="10" fontId="0" fillId="0" borderId="0" xfId="0" applyNumberFormat="1"/>
    <xf numFmtId="2" fontId="15" fillId="0" borderId="0" xfId="0" applyNumberFormat="1" applyFont="1"/>
    <xf numFmtId="0" fontId="0" fillId="0" borderId="0" xfId="0" applyAlignment="1">
      <alignment horizontal="right" vertical="center"/>
    </xf>
    <xf numFmtId="2" fontId="0" fillId="0" borderId="0" xfId="0" applyNumberFormat="1" applyAlignment="1">
      <alignment wrapText="1"/>
    </xf>
    <xf numFmtId="167" fontId="0" fillId="0" borderId="0" xfId="0" applyNumberFormat="1"/>
    <xf numFmtId="0" fontId="0" fillId="0" borderId="23" xfId="0" applyBorder="1" applyAlignment="1">
      <alignment horizontal="center"/>
    </xf>
    <xf numFmtId="0" fontId="0" fillId="0" borderId="24" xfId="0" applyBorder="1"/>
    <xf numFmtId="0" fontId="0" fillId="0" borderId="25" xfId="0" applyBorder="1" applyAlignment="1">
      <alignment horizontal="center"/>
    </xf>
    <xf numFmtId="0" fontId="0" fillId="0" borderId="26" xfId="0" applyBorder="1"/>
    <xf numFmtId="0" fontId="1" fillId="0" borderId="27" xfId="0" applyFont="1" applyBorder="1"/>
    <xf numFmtId="0" fontId="1" fillId="0" borderId="28" xfId="0" applyFont="1" applyBorder="1" applyAlignment="1">
      <alignment horizontal="center"/>
    </xf>
    <xf numFmtId="0" fontId="0" fillId="0" borderId="29" xfId="0" applyBorder="1" applyAlignment="1">
      <alignment horizontal="center"/>
    </xf>
    <xf numFmtId="0" fontId="0" fillId="0" borderId="30" xfId="0" applyBorder="1"/>
    <xf numFmtId="10" fontId="0" fillId="0" borderId="0" xfId="2" applyNumberFormat="1" applyFont="1"/>
    <xf numFmtId="8" fontId="16" fillId="5" borderId="13" xfId="0" applyNumberFormat="1" applyFont="1" applyFill="1" applyBorder="1" applyAlignment="1">
      <alignment horizontal="center"/>
    </xf>
    <xf numFmtId="4" fontId="16" fillId="0" borderId="17" xfId="0" applyNumberFormat="1" applyFont="1" applyBorder="1" applyAlignment="1">
      <alignment horizontal="center"/>
    </xf>
    <xf numFmtId="0" fontId="0" fillId="4" borderId="13" xfId="0" applyFill="1" applyBorder="1" applyAlignment="1">
      <alignment horizontal="center"/>
    </xf>
    <xf numFmtId="0" fontId="0" fillId="4" borderId="17" xfId="0" applyFill="1" applyBorder="1" applyAlignment="1">
      <alignment horizontal="center"/>
    </xf>
    <xf numFmtId="0" fontId="0" fillId="0" borderId="0" xfId="0" applyFill="1"/>
    <xf numFmtId="0" fontId="0" fillId="0" borderId="14" xfId="0" applyBorder="1" applyAlignment="1">
      <alignment horizontal="left"/>
    </xf>
    <xf numFmtId="0" fontId="20" fillId="0" borderId="14" xfId="5" applyBorder="1"/>
    <xf numFmtId="8" fontId="16" fillId="5" borderId="22" xfId="0" applyNumberFormat="1" applyFont="1" applyFill="1" applyBorder="1" applyAlignment="1">
      <alignment horizontal="center"/>
    </xf>
    <xf numFmtId="0" fontId="20" fillId="0" borderId="14" xfId="5" applyBorder="1" applyAlignment="1">
      <alignment horizontal="left"/>
    </xf>
    <xf numFmtId="0" fontId="0" fillId="2" borderId="0" xfId="0" applyFill="1"/>
    <xf numFmtId="0" fontId="22" fillId="0" borderId="18" xfId="0" applyFont="1" applyBorder="1"/>
    <xf numFmtId="0" fontId="14" fillId="0" borderId="0" xfId="0" applyFont="1" applyFill="1" applyBorder="1"/>
    <xf numFmtId="0" fontId="0" fillId="0" borderId="0" xfId="0" applyAlignment="1">
      <alignment vertical="center"/>
    </xf>
    <xf numFmtId="1" fontId="0" fillId="0" borderId="0" xfId="0" applyNumberFormat="1"/>
    <xf numFmtId="0" fontId="26" fillId="0" borderId="0" xfId="0" applyFont="1"/>
    <xf numFmtId="0" fontId="1" fillId="12" borderId="32" xfId="0" applyFont="1" applyFill="1" applyBorder="1" applyAlignment="1">
      <alignment horizontal="center" vertical="center"/>
    </xf>
    <xf numFmtId="0" fontId="0" fillId="13" borderId="32" xfId="0" applyFill="1" applyBorder="1" applyAlignment="1">
      <alignment horizontal="center" vertical="center"/>
    </xf>
    <xf numFmtId="0" fontId="0" fillId="13" borderId="32" xfId="0" applyFill="1" applyBorder="1" applyAlignment="1">
      <alignment horizontal="center" vertical="center" wrapText="1"/>
    </xf>
    <xf numFmtId="0" fontId="1" fillId="14" borderId="0" xfId="0" applyFont="1" applyFill="1" applyAlignment="1">
      <alignment horizontal="center" vertical="center"/>
    </xf>
    <xf numFmtId="0" fontId="1" fillId="14" borderId="0" xfId="0" applyFont="1" applyFill="1" applyAlignment="1">
      <alignment horizontal="center" vertical="center" wrapText="1"/>
    </xf>
    <xf numFmtId="0" fontId="0" fillId="15" borderId="0" xfId="0" applyFill="1" applyAlignment="1">
      <alignment horizontal="center" vertical="center"/>
    </xf>
    <xf numFmtId="0" fontId="0" fillId="15" borderId="0" xfId="0" applyFill="1" applyAlignment="1">
      <alignment horizontal="center" vertical="center" wrapText="1"/>
    </xf>
    <xf numFmtId="0" fontId="0" fillId="14" borderId="33" xfId="0" applyFill="1" applyBorder="1"/>
    <xf numFmtId="0" fontId="0" fillId="14" borderId="34" xfId="0" applyFill="1" applyBorder="1"/>
    <xf numFmtId="0" fontId="0" fillId="14" borderId="34" xfId="0" applyFill="1" applyBorder="1" applyAlignment="1">
      <alignment wrapText="1"/>
    </xf>
    <xf numFmtId="0" fontId="0" fillId="14" borderId="34" xfId="0" quotePrefix="1" applyFill="1" applyBorder="1"/>
    <xf numFmtId="0" fontId="0" fillId="14" borderId="6" xfId="0" applyFill="1" applyBorder="1"/>
    <xf numFmtId="0" fontId="0" fillId="0" borderId="0" xfId="0" applyBorder="1"/>
    <xf numFmtId="0" fontId="12" fillId="0" borderId="35" xfId="0" applyFont="1" applyBorder="1"/>
    <xf numFmtId="0" fontId="0" fillId="0" borderId="36" xfId="0" applyBorder="1"/>
    <xf numFmtId="2" fontId="0" fillId="0" borderId="36" xfId="0" applyNumberFormat="1" applyBorder="1"/>
    <xf numFmtId="2" fontId="0" fillId="0" borderId="37" xfId="0" applyNumberFormat="1" applyBorder="1"/>
    <xf numFmtId="0" fontId="12" fillId="0" borderId="38" xfId="0" applyFont="1" applyBorder="1"/>
    <xf numFmtId="2" fontId="0" fillId="0" borderId="0" xfId="0" applyNumberFormat="1" applyBorder="1"/>
    <xf numFmtId="2" fontId="0" fillId="0" borderId="2" xfId="0" applyNumberFormat="1" applyBorder="1"/>
    <xf numFmtId="0" fontId="0" fillId="0" borderId="39" xfId="0" applyBorder="1"/>
    <xf numFmtId="0" fontId="0" fillId="0" borderId="40" xfId="0" applyBorder="1"/>
    <xf numFmtId="0" fontId="0" fillId="0" borderId="41" xfId="0" applyBorder="1"/>
    <xf numFmtId="2" fontId="0" fillId="0" borderId="41" xfId="0" applyNumberFormat="1" applyBorder="1"/>
    <xf numFmtId="2" fontId="0" fillId="0" borderId="19" xfId="0" applyNumberFormat="1" applyBorder="1"/>
    <xf numFmtId="0" fontId="0" fillId="15" borderId="0" xfId="0" applyFill="1"/>
    <xf numFmtId="0" fontId="22" fillId="0" borderId="0" xfId="0" applyFont="1"/>
    <xf numFmtId="0" fontId="27" fillId="0" borderId="0" xfId="0" applyFont="1"/>
    <xf numFmtId="0" fontId="0" fillId="0" borderId="0" xfId="0" applyAlignment="1">
      <alignment horizontal="center"/>
    </xf>
    <xf numFmtId="0" fontId="0" fillId="0" borderId="0" xfId="0" applyAlignment="1">
      <alignment horizontal="center" vertical="center" wrapText="1"/>
    </xf>
    <xf numFmtId="0" fontId="19" fillId="0" borderId="21" xfId="0" applyFont="1" applyBorder="1" applyAlignment="1">
      <alignment horizontal="center"/>
    </xf>
    <xf numFmtId="4" fontId="16" fillId="0" borderId="21" xfId="0" applyNumberFormat="1" applyFont="1" applyBorder="1" applyAlignment="1">
      <alignment horizontal="center"/>
    </xf>
    <xf numFmtId="165" fontId="16" fillId="5" borderId="21" xfId="0" applyNumberFormat="1" applyFont="1" applyFill="1" applyBorder="1" applyAlignment="1">
      <alignment horizontal="center"/>
    </xf>
    <xf numFmtId="14" fontId="16" fillId="0" borderId="13" xfId="0" applyNumberFormat="1" applyFont="1" applyBorder="1" applyAlignment="1">
      <alignment horizontal="center"/>
    </xf>
    <xf numFmtId="0" fontId="16" fillId="0" borderId="20" xfId="0" applyFont="1" applyBorder="1" applyAlignment="1">
      <alignment horizontal="center"/>
    </xf>
    <xf numFmtId="0" fontId="16" fillId="0" borderId="16" xfId="0" applyFont="1" applyBorder="1" applyAlignment="1">
      <alignment horizontal="center"/>
    </xf>
    <xf numFmtId="0" fontId="19" fillId="0" borderId="13" xfId="0" applyFont="1" applyBorder="1" applyAlignment="1">
      <alignment horizontal="center"/>
    </xf>
    <xf numFmtId="8" fontId="16" fillId="5" borderId="21" xfId="0" applyNumberFormat="1" applyFont="1" applyFill="1" applyBorder="1" applyAlignment="1">
      <alignment horizontal="center"/>
    </xf>
    <xf numFmtId="8" fontId="16" fillId="5" borderId="17" xfId="0" applyNumberFormat="1" applyFont="1" applyFill="1" applyBorder="1" applyAlignment="1">
      <alignment horizontal="center"/>
    </xf>
    <xf numFmtId="0" fontId="19" fillId="0" borderId="20" xfId="0" applyFont="1" applyBorder="1" applyAlignment="1">
      <alignment horizontal="center"/>
    </xf>
    <xf numFmtId="0" fontId="16" fillId="0" borderId="13" xfId="0" applyFont="1" applyBorder="1" applyAlignment="1">
      <alignment horizontal="center"/>
    </xf>
    <xf numFmtId="14" fontId="16" fillId="0" borderId="21" xfId="0" applyNumberFormat="1" applyFont="1" applyBorder="1" applyAlignment="1">
      <alignment horizontal="center"/>
    </xf>
    <xf numFmtId="4" fontId="16" fillId="0" borderId="17" xfId="0" applyNumberFormat="1" applyFont="1" applyBorder="1" applyAlignment="1">
      <alignment horizontal="center"/>
    </xf>
    <xf numFmtId="8" fontId="16" fillId="5" borderId="13" xfId="0" applyNumberFormat="1" applyFont="1" applyFill="1" applyBorder="1" applyAlignment="1">
      <alignment horizontal="center"/>
    </xf>
    <xf numFmtId="4" fontId="16" fillId="0" borderId="13" xfId="0" applyNumberFormat="1" applyFont="1" applyBorder="1" applyAlignment="1">
      <alignment horizontal="center"/>
    </xf>
    <xf numFmtId="8" fontId="16" fillId="5" borderId="22" xfId="0" applyNumberFormat="1" applyFont="1" applyFill="1" applyBorder="1" applyAlignment="1">
      <alignment horizontal="center"/>
    </xf>
    <xf numFmtId="0" fontId="0" fillId="0" borderId="13" xfId="0" applyBorder="1" applyAlignment="1">
      <alignment horizontal="left"/>
    </xf>
    <xf numFmtId="0" fontId="0" fillId="0" borderId="14" xfId="0" applyBorder="1" applyAlignment="1">
      <alignment horizontal="left"/>
    </xf>
    <xf numFmtId="0" fontId="20" fillId="0" borderId="13" xfId="5" applyBorder="1" applyAlignment="1">
      <alignment horizontal="left"/>
    </xf>
    <xf numFmtId="0" fontId="20" fillId="0" borderId="14" xfId="5" applyBorder="1" applyAlignment="1">
      <alignment horizontal="left"/>
    </xf>
    <xf numFmtId="0" fontId="0" fillId="0" borderId="21" xfId="0" applyBorder="1" applyAlignment="1">
      <alignment horizontal="left"/>
    </xf>
    <xf numFmtId="0" fontId="25" fillId="0" borderId="13" xfId="0" applyFont="1" applyBorder="1" applyAlignment="1">
      <alignment horizontal="left"/>
    </xf>
    <xf numFmtId="0" fontId="0" fillId="0" borderId="13" xfId="0" applyBorder="1" applyAlignment="1"/>
    <xf numFmtId="0" fontId="0" fillId="0" borderId="17" xfId="0" applyBorder="1" applyAlignment="1">
      <alignment horizontal="left"/>
    </xf>
    <xf numFmtId="0" fontId="0" fillId="0" borderId="31" xfId="0" applyBorder="1" applyAlignment="1">
      <alignment horizontal="left"/>
    </xf>
    <xf numFmtId="0" fontId="0" fillId="0" borderId="0" xfId="0" applyAlignment="1">
      <alignment horizontal="center" vertical="center"/>
    </xf>
  </cellXfs>
  <cellStyles count="6">
    <cellStyle name="Currency" xfId="1" builtinId="4"/>
    <cellStyle name="Heading 1" xfId="3" builtinId="16"/>
    <cellStyle name="Hyperlink" xfId="5" builtinId="8"/>
    <cellStyle name="Linked Cell" xfId="4" builtinId="24"/>
    <cellStyle name="Normal" xfId="0" builtinId="0"/>
    <cellStyle name="Percent" xfId="2" builtinId="5"/>
  </cellStyles>
  <dxfs count="50">
    <dxf>
      <numFmt numFmtId="2" formatCode="0.00"/>
    </dxf>
    <dxf>
      <alignment horizontal="center"/>
    </dxf>
    <dxf>
      <alignment horizontal="center"/>
    </dxf>
    <dxf>
      <alignment horizontal="center"/>
    </dxf>
    <dxf>
      <alignment horizontal="center"/>
    </dxf>
    <dxf>
      <numFmt numFmtId="2" formatCode="0.00"/>
    </dxf>
    <dxf>
      <numFmt numFmtId="2" formatCode="0.00"/>
    </dxf>
    <dxf>
      <numFmt numFmtId="2" formatCode="0.00"/>
    </dxf>
    <dxf>
      <numFmt numFmtId="2" formatCode="0.00"/>
    </dxf>
    <dxf>
      <numFmt numFmtId="2" formatCode="0.00"/>
    </dxf>
    <dxf>
      <numFmt numFmtId="2" formatCode="0.00"/>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000000"/>
        <name val="Calibri"/>
        <family val="2"/>
        <charset val="1"/>
        <scheme val="none"/>
      </font>
      <numFmt numFmtId="2" formatCode="0.00"/>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000000"/>
        <name val="Calibri"/>
        <family val="2"/>
        <charset val="1"/>
        <scheme val="none"/>
      </font>
    </dxf>
    <dxf>
      <border outline="0">
        <top style="thin">
          <color theme="8"/>
        </top>
      </border>
    </dxf>
    <dxf>
      <font>
        <b val="0"/>
        <i val="0"/>
        <strike val="0"/>
        <condense val="0"/>
        <extend val="0"/>
        <outline val="0"/>
        <shadow val="0"/>
        <u val="none"/>
        <vertAlign val="baseline"/>
        <sz val="11"/>
        <color rgb="FF000000"/>
        <name val="Calibri"/>
        <family val="2"/>
        <charset val="1"/>
        <scheme val="none"/>
      </font>
    </dxf>
    <dxf>
      <border outline="0">
        <bottom style="thin">
          <color theme="8"/>
        </bottom>
      </border>
    </dxf>
    <dxf>
      <font>
        <b val="0"/>
        <i val="0"/>
        <strike val="0"/>
        <condense val="0"/>
        <extend val="0"/>
        <outline val="0"/>
        <shadow val="0"/>
        <u val="none"/>
        <vertAlign val="baseline"/>
        <sz val="11"/>
        <color rgb="FF000000"/>
        <name val="Calibri"/>
        <charset val="1"/>
        <scheme val="none"/>
      </font>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000000"/>
        <name val="Calibri"/>
        <family val="2"/>
        <charset val="1"/>
        <scheme val="none"/>
      </font>
      <alignment horizontal="general" vertical="bottom" textRotation="0" wrapText="0" indent="0" justifyLastLine="0" shrinkToFit="0" readingOrder="0"/>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000000"/>
        <name val="Calibri"/>
        <family val="2"/>
        <charset val="1"/>
        <scheme val="none"/>
      </font>
    </dxf>
    <dxf>
      <border outline="0">
        <top style="thin">
          <color theme="8"/>
        </top>
      </border>
    </dxf>
    <dxf>
      <font>
        <b val="0"/>
        <i val="0"/>
        <strike val="0"/>
        <condense val="0"/>
        <extend val="0"/>
        <outline val="0"/>
        <shadow val="0"/>
        <u val="none"/>
        <vertAlign val="baseline"/>
        <sz val="11"/>
        <color rgb="FF000000"/>
        <name val="Calibri"/>
        <family val="2"/>
        <charset val="1"/>
        <scheme val="none"/>
      </font>
    </dxf>
    <dxf>
      <border outline="0">
        <bottom style="thin">
          <color theme="8"/>
        </bottom>
      </border>
    </dxf>
    <dxf>
      <font>
        <b val="0"/>
        <i val="0"/>
        <strike val="0"/>
        <condense val="0"/>
        <extend val="0"/>
        <outline val="0"/>
        <shadow val="0"/>
        <u val="none"/>
        <vertAlign val="baseline"/>
        <sz val="11"/>
        <color rgb="FF000000"/>
        <name val="Calibri"/>
        <charset val="1"/>
        <scheme val="none"/>
      </font>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000000"/>
        <name val="Calibri"/>
        <family val="2"/>
        <charset val="1"/>
        <scheme val="none"/>
      </font>
    </dxf>
    <dxf>
      <font>
        <b val="0"/>
        <i val="0"/>
        <strike val="0"/>
        <condense val="0"/>
        <extend val="0"/>
        <outline val="0"/>
        <shadow val="0"/>
        <u val="none"/>
        <vertAlign val="baseline"/>
        <sz val="11"/>
        <color rgb="FF444444"/>
        <name val="Calibri"/>
        <charset val="1"/>
        <scheme val="none"/>
      </font>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dxf>
    <dxf>
      <font>
        <b val="0"/>
        <i val="0"/>
        <strike val="0"/>
        <condense val="0"/>
        <extend val="0"/>
        <outline val="0"/>
        <shadow val="0"/>
        <u val="none"/>
        <vertAlign val="baseline"/>
        <sz val="11"/>
        <color rgb="FF000000"/>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3.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622.553487384263" createdVersion="7" refreshedVersion="7" minRefreshableVersion="3" recordCount="275" xr:uid="{D99397C8-57A9-4A82-895E-B3D789356FD9}">
  <cacheSource type="worksheet">
    <worksheetSource ref="A4:G279" sheet="A DayProdn"/>
  </cacheSource>
  <cacheFields count="7">
    <cacheField name="BuildYear" numFmtId="0">
      <sharedItems containsSemiMixedTypes="0" containsString="0" containsNumber="1" containsInteger="1" minValue="2018" maxValue="2019" count="2">
        <n v="2018"/>
        <n v="2019"/>
      </sharedItems>
    </cacheField>
    <cacheField name="BuildQtr" numFmtId="0">
      <sharedItems containsSemiMixedTypes="0" containsString="0" containsNumber="1" containsInteger="1" minValue="1" maxValue="4" count="2">
        <n v="4"/>
        <n v="1"/>
      </sharedItems>
    </cacheField>
    <cacheField name="BuildDate" numFmtId="15">
      <sharedItems containsSemiMixedTypes="0" containsNonDate="0" containsDate="1" containsString="0" minDate="2018-10-01T00:00:00" maxDate="2019-03-30T00:00:00"/>
    </cacheField>
    <cacheField name="ProductCode" numFmtId="0">
      <sharedItems count="3">
        <s v="Trackr A"/>
        <s v="Trackr B"/>
        <s v="Trackr C"/>
      </sharedItems>
    </cacheField>
    <cacheField name="UnitProdnCost" numFmtId="8">
      <sharedItems containsSemiMixedTypes="0" containsString="0" containsNumber="1" containsInteger="1" minValue="114" maxValue="123"/>
    </cacheField>
    <cacheField name="Total Quantity" numFmtId="0">
      <sharedItems containsSemiMixedTypes="0" containsString="0" containsNumber="1" containsInteger="1" minValue="24" maxValue="269" count="120">
        <n v="126"/>
        <n v="39"/>
        <n v="117"/>
        <n v="37"/>
        <n v="47"/>
        <n v="222"/>
        <n v="34"/>
        <n v="48"/>
        <n v="40"/>
        <n v="106"/>
        <n v="46"/>
        <n v="56"/>
        <n v="97"/>
        <n v="101"/>
        <n v="98"/>
        <n v="239"/>
        <n v="54"/>
        <n v="132"/>
        <n v="82"/>
        <n v="38"/>
        <n v="95"/>
        <n v="92"/>
        <n v="135"/>
        <n v="200"/>
        <n v="113"/>
        <n v="51"/>
        <n v="111"/>
        <n v="99"/>
        <n v="59"/>
        <n v="183"/>
        <n v="201"/>
        <n v="86"/>
        <n v="35"/>
        <n v="216"/>
        <n v="41"/>
        <n v="73"/>
        <n v="108"/>
        <n v="83"/>
        <n v="42"/>
        <n v="146"/>
        <n v="137"/>
        <n v="197"/>
        <n v="85"/>
        <n v="31"/>
        <n v="93"/>
        <n v="44"/>
        <n v="45"/>
        <n v="30"/>
        <n v="96"/>
        <n v="259"/>
        <n v="65"/>
        <n v="150"/>
        <n v="120"/>
        <n v="49"/>
        <n v="136"/>
        <n v="165"/>
        <n v="155"/>
        <n v="267"/>
        <n v="74"/>
        <n v="29"/>
        <n v="78"/>
        <n v="143"/>
        <n v="61"/>
        <n v="80"/>
        <n v="181"/>
        <n v="139"/>
        <n v="187"/>
        <n v="152"/>
        <n v="159"/>
        <n v="202"/>
        <n v="32"/>
        <n v="27"/>
        <n v="79"/>
        <n v="24"/>
        <n v="36"/>
        <n v="124"/>
        <n v="26"/>
        <n v="88"/>
        <n v="76"/>
        <n v="75"/>
        <n v="67"/>
        <n v="66"/>
        <n v="129"/>
        <n v="77"/>
        <n v="72"/>
        <n v="60"/>
        <n v="91"/>
        <n v="110"/>
        <n v="58"/>
        <n v="153"/>
        <n v="55"/>
        <n v="112"/>
        <n v="53"/>
        <n v="50"/>
        <n v="161"/>
        <n v="104"/>
        <n v="147"/>
        <n v="269"/>
        <n v="62"/>
        <n v="228"/>
        <n v="57"/>
        <n v="175"/>
        <n v="125"/>
        <n v="144"/>
        <n v="191"/>
        <n v="89"/>
        <n v="184"/>
        <n v="43"/>
        <n v="199"/>
        <n v="107"/>
        <n v="52"/>
        <n v="154"/>
        <n v="81"/>
        <n v="171"/>
        <n v="140"/>
        <n v="33"/>
        <n v="123"/>
        <n v="115"/>
        <n v="94"/>
        <n v="178"/>
      </sharedItems>
    </cacheField>
    <cacheField name="Total Daily Production Cost" numFmtId="8">
      <sharedItems containsSemiMixedTypes="0" containsString="0" containsNumber="1" containsInteger="1" minValue="2952" maxValue="3174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5">
  <r>
    <x v="0"/>
    <x v="0"/>
    <d v="2018-10-01T00:00:00"/>
    <x v="0"/>
    <n v="118"/>
    <x v="0"/>
    <n v="14868"/>
  </r>
  <r>
    <x v="0"/>
    <x v="0"/>
    <d v="2018-10-02T00:00:00"/>
    <x v="0"/>
    <n v="118"/>
    <x v="1"/>
    <n v="4602"/>
  </r>
  <r>
    <x v="0"/>
    <x v="0"/>
    <d v="2018-10-03T00:00:00"/>
    <x v="0"/>
    <n v="118"/>
    <x v="2"/>
    <n v="13806"/>
  </r>
  <r>
    <x v="0"/>
    <x v="0"/>
    <d v="2018-10-04T00:00:00"/>
    <x v="0"/>
    <n v="118"/>
    <x v="3"/>
    <n v="4366"/>
  </r>
  <r>
    <x v="0"/>
    <x v="0"/>
    <d v="2018-10-05T00:00:00"/>
    <x v="0"/>
    <n v="118"/>
    <x v="4"/>
    <n v="5546"/>
  </r>
  <r>
    <x v="0"/>
    <x v="0"/>
    <d v="2018-10-10T00:00:00"/>
    <x v="0"/>
    <n v="118"/>
    <x v="5"/>
    <n v="26196"/>
  </r>
  <r>
    <x v="0"/>
    <x v="0"/>
    <d v="2018-10-11T00:00:00"/>
    <x v="0"/>
    <n v="118"/>
    <x v="6"/>
    <n v="4012"/>
  </r>
  <r>
    <x v="0"/>
    <x v="0"/>
    <d v="2018-10-12T00:00:00"/>
    <x v="0"/>
    <n v="118"/>
    <x v="7"/>
    <n v="5664"/>
  </r>
  <r>
    <x v="0"/>
    <x v="0"/>
    <d v="2018-10-15T00:00:00"/>
    <x v="0"/>
    <n v="118"/>
    <x v="8"/>
    <n v="4720"/>
  </r>
  <r>
    <x v="0"/>
    <x v="0"/>
    <d v="2018-10-16T00:00:00"/>
    <x v="0"/>
    <n v="118"/>
    <x v="9"/>
    <n v="12508"/>
  </r>
  <r>
    <x v="0"/>
    <x v="0"/>
    <d v="2018-10-17T00:00:00"/>
    <x v="0"/>
    <n v="118"/>
    <x v="10"/>
    <n v="5428"/>
  </r>
  <r>
    <x v="0"/>
    <x v="0"/>
    <d v="2018-10-18T00:00:00"/>
    <x v="0"/>
    <n v="118"/>
    <x v="11"/>
    <n v="6608"/>
  </r>
  <r>
    <x v="0"/>
    <x v="0"/>
    <d v="2018-10-22T00:00:00"/>
    <x v="0"/>
    <n v="118"/>
    <x v="12"/>
    <n v="11446"/>
  </r>
  <r>
    <x v="0"/>
    <x v="0"/>
    <d v="2018-10-23T00:00:00"/>
    <x v="0"/>
    <n v="118"/>
    <x v="13"/>
    <n v="11918"/>
  </r>
  <r>
    <x v="0"/>
    <x v="0"/>
    <d v="2018-10-24T00:00:00"/>
    <x v="0"/>
    <n v="118"/>
    <x v="14"/>
    <n v="11564"/>
  </r>
  <r>
    <x v="0"/>
    <x v="0"/>
    <d v="2018-10-25T00:00:00"/>
    <x v="0"/>
    <n v="118"/>
    <x v="15"/>
    <n v="28202"/>
  </r>
  <r>
    <x v="0"/>
    <x v="0"/>
    <d v="2018-10-26T00:00:00"/>
    <x v="0"/>
    <n v="118"/>
    <x v="16"/>
    <n v="6372"/>
  </r>
  <r>
    <x v="0"/>
    <x v="0"/>
    <d v="2018-11-02T00:00:00"/>
    <x v="0"/>
    <n v="118"/>
    <x v="17"/>
    <n v="15576"/>
  </r>
  <r>
    <x v="0"/>
    <x v="0"/>
    <d v="2018-11-05T00:00:00"/>
    <x v="0"/>
    <n v="118"/>
    <x v="16"/>
    <n v="6372"/>
  </r>
  <r>
    <x v="0"/>
    <x v="0"/>
    <d v="2018-11-07T00:00:00"/>
    <x v="0"/>
    <n v="118"/>
    <x v="18"/>
    <n v="9676"/>
  </r>
  <r>
    <x v="0"/>
    <x v="0"/>
    <d v="2018-11-08T00:00:00"/>
    <x v="0"/>
    <n v="118"/>
    <x v="4"/>
    <n v="5546"/>
  </r>
  <r>
    <x v="0"/>
    <x v="0"/>
    <d v="2018-11-09T00:00:00"/>
    <x v="0"/>
    <n v="118"/>
    <x v="4"/>
    <n v="5546"/>
  </r>
  <r>
    <x v="0"/>
    <x v="0"/>
    <d v="2018-11-12T00:00:00"/>
    <x v="0"/>
    <n v="118"/>
    <x v="14"/>
    <n v="11564"/>
  </r>
  <r>
    <x v="0"/>
    <x v="0"/>
    <d v="2018-11-13T00:00:00"/>
    <x v="0"/>
    <n v="118"/>
    <x v="19"/>
    <n v="4484"/>
  </r>
  <r>
    <x v="0"/>
    <x v="0"/>
    <d v="2018-11-15T00:00:00"/>
    <x v="0"/>
    <n v="118"/>
    <x v="20"/>
    <n v="11210"/>
  </r>
  <r>
    <x v="0"/>
    <x v="0"/>
    <d v="2018-11-16T00:00:00"/>
    <x v="0"/>
    <n v="118"/>
    <x v="21"/>
    <n v="10856"/>
  </r>
  <r>
    <x v="0"/>
    <x v="0"/>
    <d v="2018-11-19T00:00:00"/>
    <x v="0"/>
    <n v="118"/>
    <x v="9"/>
    <n v="12508"/>
  </r>
  <r>
    <x v="0"/>
    <x v="0"/>
    <d v="2018-11-20T00:00:00"/>
    <x v="0"/>
    <n v="118"/>
    <x v="22"/>
    <n v="15930"/>
  </r>
  <r>
    <x v="0"/>
    <x v="0"/>
    <d v="2018-11-21T00:00:00"/>
    <x v="0"/>
    <n v="118"/>
    <x v="23"/>
    <n v="23600"/>
  </r>
  <r>
    <x v="0"/>
    <x v="0"/>
    <d v="2018-11-22T00:00:00"/>
    <x v="0"/>
    <n v="118"/>
    <x v="19"/>
    <n v="4484"/>
  </r>
  <r>
    <x v="0"/>
    <x v="0"/>
    <d v="2018-11-23T00:00:00"/>
    <x v="0"/>
    <n v="118"/>
    <x v="24"/>
    <n v="13334"/>
  </r>
  <r>
    <x v="0"/>
    <x v="0"/>
    <d v="2018-11-26T00:00:00"/>
    <x v="0"/>
    <n v="118"/>
    <x v="25"/>
    <n v="6018"/>
  </r>
  <r>
    <x v="0"/>
    <x v="0"/>
    <d v="2018-11-27T00:00:00"/>
    <x v="0"/>
    <n v="118"/>
    <x v="26"/>
    <n v="13098"/>
  </r>
  <r>
    <x v="0"/>
    <x v="0"/>
    <d v="2018-11-29T00:00:00"/>
    <x v="0"/>
    <n v="118"/>
    <x v="27"/>
    <n v="11682"/>
  </r>
  <r>
    <x v="0"/>
    <x v="0"/>
    <d v="2018-11-30T00:00:00"/>
    <x v="0"/>
    <n v="118"/>
    <x v="20"/>
    <n v="11210"/>
  </r>
  <r>
    <x v="0"/>
    <x v="0"/>
    <d v="2018-12-03T00:00:00"/>
    <x v="0"/>
    <n v="118"/>
    <x v="28"/>
    <n v="6962"/>
  </r>
  <r>
    <x v="0"/>
    <x v="0"/>
    <d v="2018-12-04T00:00:00"/>
    <x v="0"/>
    <n v="118"/>
    <x v="1"/>
    <n v="4602"/>
  </r>
  <r>
    <x v="0"/>
    <x v="0"/>
    <d v="2018-12-05T00:00:00"/>
    <x v="0"/>
    <n v="118"/>
    <x v="29"/>
    <n v="21594"/>
  </r>
  <r>
    <x v="0"/>
    <x v="0"/>
    <d v="2018-12-06T00:00:00"/>
    <x v="0"/>
    <n v="118"/>
    <x v="30"/>
    <n v="23718"/>
  </r>
  <r>
    <x v="0"/>
    <x v="0"/>
    <d v="2018-12-11T00:00:00"/>
    <x v="0"/>
    <n v="118"/>
    <x v="31"/>
    <n v="10148"/>
  </r>
  <r>
    <x v="0"/>
    <x v="0"/>
    <d v="2018-12-12T00:00:00"/>
    <x v="0"/>
    <n v="118"/>
    <x v="10"/>
    <n v="5428"/>
  </r>
  <r>
    <x v="0"/>
    <x v="0"/>
    <d v="2018-12-13T00:00:00"/>
    <x v="0"/>
    <n v="118"/>
    <x v="32"/>
    <n v="4130"/>
  </r>
  <r>
    <x v="0"/>
    <x v="0"/>
    <d v="2018-12-14T00:00:00"/>
    <x v="0"/>
    <n v="118"/>
    <x v="33"/>
    <n v="25488"/>
  </r>
  <r>
    <x v="0"/>
    <x v="0"/>
    <d v="2018-12-17T00:00:00"/>
    <x v="0"/>
    <n v="118"/>
    <x v="34"/>
    <n v="4838"/>
  </r>
  <r>
    <x v="0"/>
    <x v="0"/>
    <d v="2018-12-19T00:00:00"/>
    <x v="0"/>
    <n v="118"/>
    <x v="35"/>
    <n v="8614"/>
  </r>
  <r>
    <x v="0"/>
    <x v="0"/>
    <d v="2018-12-20T00:00:00"/>
    <x v="0"/>
    <n v="118"/>
    <x v="36"/>
    <n v="12744"/>
  </r>
  <r>
    <x v="0"/>
    <x v="0"/>
    <d v="2018-12-21T00:00:00"/>
    <x v="0"/>
    <n v="118"/>
    <x v="37"/>
    <n v="9794"/>
  </r>
  <r>
    <x v="0"/>
    <x v="0"/>
    <d v="2018-12-25T00:00:00"/>
    <x v="0"/>
    <n v="118"/>
    <x v="38"/>
    <n v="4956"/>
  </r>
  <r>
    <x v="0"/>
    <x v="0"/>
    <d v="2018-12-26T00:00:00"/>
    <x v="0"/>
    <n v="118"/>
    <x v="28"/>
    <n v="6962"/>
  </r>
  <r>
    <x v="0"/>
    <x v="0"/>
    <d v="2018-12-27T00:00:00"/>
    <x v="0"/>
    <n v="118"/>
    <x v="39"/>
    <n v="17228"/>
  </r>
  <r>
    <x v="0"/>
    <x v="0"/>
    <d v="2018-12-28T00:00:00"/>
    <x v="0"/>
    <n v="118"/>
    <x v="40"/>
    <n v="16166"/>
  </r>
  <r>
    <x v="0"/>
    <x v="0"/>
    <d v="2018-12-31T00:00:00"/>
    <x v="0"/>
    <n v="118"/>
    <x v="41"/>
    <n v="23246"/>
  </r>
  <r>
    <x v="0"/>
    <x v="0"/>
    <d v="2018-10-02T00:00:00"/>
    <x v="1"/>
    <n v="114"/>
    <x v="42"/>
    <n v="9690"/>
  </r>
  <r>
    <x v="0"/>
    <x v="0"/>
    <d v="2018-10-03T00:00:00"/>
    <x v="1"/>
    <n v="114"/>
    <x v="10"/>
    <n v="5244"/>
  </r>
  <r>
    <x v="0"/>
    <x v="0"/>
    <d v="2018-10-05T00:00:00"/>
    <x v="1"/>
    <n v="114"/>
    <x v="43"/>
    <n v="3534"/>
  </r>
  <r>
    <x v="0"/>
    <x v="0"/>
    <d v="2018-10-08T00:00:00"/>
    <x v="1"/>
    <n v="114"/>
    <x v="44"/>
    <n v="10602"/>
  </r>
  <r>
    <x v="0"/>
    <x v="0"/>
    <d v="2018-10-09T00:00:00"/>
    <x v="1"/>
    <n v="114"/>
    <x v="32"/>
    <n v="3990"/>
  </r>
  <r>
    <x v="0"/>
    <x v="0"/>
    <d v="2018-10-10T00:00:00"/>
    <x v="1"/>
    <n v="114"/>
    <x v="45"/>
    <n v="5016"/>
  </r>
  <r>
    <x v="0"/>
    <x v="0"/>
    <d v="2018-10-12T00:00:00"/>
    <x v="1"/>
    <n v="114"/>
    <x v="46"/>
    <n v="5130"/>
  </r>
  <r>
    <x v="0"/>
    <x v="0"/>
    <d v="2018-10-15T00:00:00"/>
    <x v="1"/>
    <n v="114"/>
    <x v="42"/>
    <n v="9690"/>
  </r>
  <r>
    <x v="0"/>
    <x v="0"/>
    <d v="2018-10-17T00:00:00"/>
    <x v="1"/>
    <n v="114"/>
    <x v="47"/>
    <n v="3420"/>
  </r>
  <r>
    <x v="0"/>
    <x v="0"/>
    <d v="2018-10-19T00:00:00"/>
    <x v="1"/>
    <n v="114"/>
    <x v="48"/>
    <n v="10944"/>
  </r>
  <r>
    <x v="0"/>
    <x v="0"/>
    <d v="2018-10-22T00:00:00"/>
    <x v="1"/>
    <n v="114"/>
    <x v="49"/>
    <n v="29526"/>
  </r>
  <r>
    <x v="0"/>
    <x v="0"/>
    <d v="2018-10-23T00:00:00"/>
    <x v="1"/>
    <n v="114"/>
    <x v="50"/>
    <n v="7410"/>
  </r>
  <r>
    <x v="0"/>
    <x v="0"/>
    <d v="2018-10-24T00:00:00"/>
    <x v="1"/>
    <n v="114"/>
    <x v="51"/>
    <n v="17100"/>
  </r>
  <r>
    <x v="0"/>
    <x v="0"/>
    <d v="2018-10-25T00:00:00"/>
    <x v="1"/>
    <n v="114"/>
    <x v="47"/>
    <n v="3420"/>
  </r>
  <r>
    <x v="0"/>
    <x v="0"/>
    <d v="2018-10-26T00:00:00"/>
    <x v="1"/>
    <n v="114"/>
    <x v="52"/>
    <n v="13680"/>
  </r>
  <r>
    <x v="0"/>
    <x v="0"/>
    <d v="2018-10-30T00:00:00"/>
    <x v="1"/>
    <n v="114"/>
    <x v="32"/>
    <n v="3990"/>
  </r>
  <r>
    <x v="0"/>
    <x v="0"/>
    <d v="2018-10-31T00:00:00"/>
    <x v="1"/>
    <n v="114"/>
    <x v="32"/>
    <n v="3990"/>
  </r>
  <r>
    <x v="0"/>
    <x v="0"/>
    <d v="2018-11-01T00:00:00"/>
    <x v="1"/>
    <n v="114"/>
    <x v="25"/>
    <n v="5814"/>
  </r>
  <r>
    <x v="0"/>
    <x v="0"/>
    <d v="2018-11-02T00:00:00"/>
    <x v="1"/>
    <n v="114"/>
    <x v="53"/>
    <n v="5586"/>
  </r>
  <r>
    <x v="0"/>
    <x v="0"/>
    <d v="2018-11-06T00:00:00"/>
    <x v="1"/>
    <n v="114"/>
    <x v="54"/>
    <n v="15504"/>
  </r>
  <r>
    <x v="0"/>
    <x v="0"/>
    <d v="2018-11-09T00:00:00"/>
    <x v="1"/>
    <n v="114"/>
    <x v="55"/>
    <n v="18810"/>
  </r>
  <r>
    <x v="0"/>
    <x v="0"/>
    <d v="2018-11-12T00:00:00"/>
    <x v="1"/>
    <n v="114"/>
    <x v="56"/>
    <n v="17670"/>
  </r>
  <r>
    <x v="0"/>
    <x v="0"/>
    <d v="2018-11-13T00:00:00"/>
    <x v="1"/>
    <n v="114"/>
    <x v="38"/>
    <n v="4788"/>
  </r>
  <r>
    <x v="0"/>
    <x v="0"/>
    <d v="2018-11-14T00:00:00"/>
    <x v="1"/>
    <n v="114"/>
    <x v="57"/>
    <n v="30438"/>
  </r>
  <r>
    <x v="0"/>
    <x v="0"/>
    <d v="2018-11-15T00:00:00"/>
    <x v="1"/>
    <n v="114"/>
    <x v="58"/>
    <n v="8436"/>
  </r>
  <r>
    <x v="0"/>
    <x v="0"/>
    <d v="2018-11-16T00:00:00"/>
    <x v="1"/>
    <n v="114"/>
    <x v="27"/>
    <n v="11286"/>
  </r>
  <r>
    <x v="0"/>
    <x v="0"/>
    <d v="2018-11-19T00:00:00"/>
    <x v="1"/>
    <n v="114"/>
    <x v="7"/>
    <n v="5472"/>
  </r>
  <r>
    <x v="0"/>
    <x v="0"/>
    <d v="2018-11-20T00:00:00"/>
    <x v="1"/>
    <n v="114"/>
    <x v="59"/>
    <n v="3306"/>
  </r>
  <r>
    <x v="0"/>
    <x v="0"/>
    <d v="2018-11-21T00:00:00"/>
    <x v="1"/>
    <n v="114"/>
    <x v="45"/>
    <n v="5016"/>
  </r>
  <r>
    <x v="0"/>
    <x v="0"/>
    <d v="2018-11-22T00:00:00"/>
    <x v="1"/>
    <n v="114"/>
    <x v="59"/>
    <n v="3306"/>
  </r>
  <r>
    <x v="0"/>
    <x v="0"/>
    <d v="2018-11-23T00:00:00"/>
    <x v="1"/>
    <n v="114"/>
    <x v="18"/>
    <n v="9348"/>
  </r>
  <r>
    <x v="0"/>
    <x v="0"/>
    <d v="2018-11-26T00:00:00"/>
    <x v="1"/>
    <n v="114"/>
    <x v="60"/>
    <n v="8892"/>
  </r>
  <r>
    <x v="0"/>
    <x v="0"/>
    <d v="2018-11-27T00:00:00"/>
    <x v="1"/>
    <n v="114"/>
    <x v="53"/>
    <n v="5586"/>
  </r>
  <r>
    <x v="0"/>
    <x v="0"/>
    <d v="2018-11-28T00:00:00"/>
    <x v="1"/>
    <n v="114"/>
    <x v="25"/>
    <n v="5814"/>
  </r>
  <r>
    <x v="0"/>
    <x v="0"/>
    <d v="2018-11-29T00:00:00"/>
    <x v="1"/>
    <n v="114"/>
    <x v="38"/>
    <n v="4788"/>
  </r>
  <r>
    <x v="0"/>
    <x v="0"/>
    <d v="2018-11-30T00:00:00"/>
    <x v="1"/>
    <n v="114"/>
    <x v="42"/>
    <n v="9690"/>
  </r>
  <r>
    <x v="0"/>
    <x v="0"/>
    <d v="2018-12-03T00:00:00"/>
    <x v="1"/>
    <n v="114"/>
    <x v="61"/>
    <n v="16302"/>
  </r>
  <r>
    <x v="0"/>
    <x v="0"/>
    <d v="2018-12-05T00:00:00"/>
    <x v="1"/>
    <n v="114"/>
    <x v="31"/>
    <n v="9804"/>
  </r>
  <r>
    <x v="0"/>
    <x v="0"/>
    <d v="2018-12-11T00:00:00"/>
    <x v="1"/>
    <n v="114"/>
    <x v="62"/>
    <n v="6954"/>
  </r>
  <r>
    <x v="0"/>
    <x v="0"/>
    <d v="2018-12-12T00:00:00"/>
    <x v="1"/>
    <n v="114"/>
    <x v="63"/>
    <n v="9120"/>
  </r>
  <r>
    <x v="0"/>
    <x v="0"/>
    <d v="2018-12-13T00:00:00"/>
    <x v="1"/>
    <n v="114"/>
    <x v="25"/>
    <n v="5814"/>
  </r>
  <r>
    <x v="0"/>
    <x v="0"/>
    <d v="2018-12-18T00:00:00"/>
    <x v="1"/>
    <n v="114"/>
    <x v="59"/>
    <n v="3306"/>
  </r>
  <r>
    <x v="0"/>
    <x v="0"/>
    <d v="2018-12-20T00:00:00"/>
    <x v="1"/>
    <n v="114"/>
    <x v="64"/>
    <n v="20634"/>
  </r>
  <r>
    <x v="0"/>
    <x v="0"/>
    <d v="2018-12-28T00:00:00"/>
    <x v="1"/>
    <n v="114"/>
    <x v="65"/>
    <n v="15846"/>
  </r>
  <r>
    <x v="0"/>
    <x v="0"/>
    <d v="2018-12-31T00:00:00"/>
    <x v="1"/>
    <n v="114"/>
    <x v="18"/>
    <n v="9348"/>
  </r>
  <r>
    <x v="0"/>
    <x v="0"/>
    <d v="2018-10-01T00:00:00"/>
    <x v="2"/>
    <n v="123"/>
    <x v="51"/>
    <n v="18450"/>
  </r>
  <r>
    <x v="0"/>
    <x v="0"/>
    <d v="2018-10-02T00:00:00"/>
    <x v="2"/>
    <n v="123"/>
    <x v="66"/>
    <n v="23001"/>
  </r>
  <r>
    <x v="0"/>
    <x v="0"/>
    <d v="2018-10-03T00:00:00"/>
    <x v="2"/>
    <n v="123"/>
    <x v="67"/>
    <n v="18696"/>
  </r>
  <r>
    <x v="0"/>
    <x v="0"/>
    <d v="2018-10-08T00:00:00"/>
    <x v="2"/>
    <n v="123"/>
    <x v="68"/>
    <n v="19557"/>
  </r>
  <r>
    <x v="0"/>
    <x v="0"/>
    <d v="2018-10-09T00:00:00"/>
    <x v="2"/>
    <n v="123"/>
    <x v="69"/>
    <n v="24846"/>
  </r>
  <r>
    <x v="0"/>
    <x v="0"/>
    <d v="2018-10-10T00:00:00"/>
    <x v="2"/>
    <n v="123"/>
    <x v="70"/>
    <n v="3936"/>
  </r>
  <r>
    <x v="0"/>
    <x v="0"/>
    <d v="2018-10-11T00:00:00"/>
    <x v="2"/>
    <n v="123"/>
    <x v="4"/>
    <n v="5781"/>
  </r>
  <r>
    <x v="0"/>
    <x v="0"/>
    <d v="2018-10-12T00:00:00"/>
    <x v="2"/>
    <n v="123"/>
    <x v="18"/>
    <n v="10086"/>
  </r>
  <r>
    <x v="0"/>
    <x v="0"/>
    <d v="2018-10-16T00:00:00"/>
    <x v="2"/>
    <n v="123"/>
    <x v="71"/>
    <n v="3321"/>
  </r>
  <r>
    <x v="0"/>
    <x v="0"/>
    <d v="2018-10-17T00:00:00"/>
    <x v="2"/>
    <n v="123"/>
    <x v="72"/>
    <n v="9717"/>
  </r>
  <r>
    <x v="0"/>
    <x v="0"/>
    <d v="2018-10-18T00:00:00"/>
    <x v="2"/>
    <n v="123"/>
    <x v="73"/>
    <n v="2952"/>
  </r>
  <r>
    <x v="0"/>
    <x v="0"/>
    <d v="2018-10-19T00:00:00"/>
    <x v="2"/>
    <n v="123"/>
    <x v="74"/>
    <n v="4428"/>
  </r>
  <r>
    <x v="0"/>
    <x v="0"/>
    <d v="2018-10-22T00:00:00"/>
    <x v="2"/>
    <n v="123"/>
    <x v="53"/>
    <n v="6027"/>
  </r>
  <r>
    <x v="0"/>
    <x v="0"/>
    <d v="2018-10-23T00:00:00"/>
    <x v="2"/>
    <n v="123"/>
    <x v="73"/>
    <n v="2952"/>
  </r>
  <r>
    <x v="0"/>
    <x v="0"/>
    <d v="2018-10-25T00:00:00"/>
    <x v="2"/>
    <n v="123"/>
    <x v="31"/>
    <n v="10578"/>
  </r>
  <r>
    <x v="0"/>
    <x v="0"/>
    <d v="2018-10-26T00:00:00"/>
    <x v="2"/>
    <n v="123"/>
    <x v="60"/>
    <n v="9594"/>
  </r>
  <r>
    <x v="0"/>
    <x v="0"/>
    <d v="2018-10-29T00:00:00"/>
    <x v="2"/>
    <n v="123"/>
    <x v="75"/>
    <n v="15252"/>
  </r>
  <r>
    <x v="0"/>
    <x v="0"/>
    <d v="2018-11-01T00:00:00"/>
    <x v="2"/>
    <n v="123"/>
    <x v="3"/>
    <n v="4551"/>
  </r>
  <r>
    <x v="0"/>
    <x v="0"/>
    <d v="2018-11-02T00:00:00"/>
    <x v="2"/>
    <n v="123"/>
    <x v="76"/>
    <n v="3198"/>
  </r>
  <r>
    <x v="0"/>
    <x v="0"/>
    <d v="2018-11-06T00:00:00"/>
    <x v="2"/>
    <n v="123"/>
    <x v="77"/>
    <n v="10824"/>
  </r>
  <r>
    <x v="0"/>
    <x v="0"/>
    <d v="2018-11-07T00:00:00"/>
    <x v="2"/>
    <n v="123"/>
    <x v="71"/>
    <n v="3321"/>
  </r>
  <r>
    <x v="0"/>
    <x v="0"/>
    <d v="2018-11-12T00:00:00"/>
    <x v="2"/>
    <n v="123"/>
    <x v="78"/>
    <n v="9348"/>
  </r>
  <r>
    <x v="0"/>
    <x v="0"/>
    <d v="2018-11-13T00:00:00"/>
    <x v="2"/>
    <n v="123"/>
    <x v="59"/>
    <n v="3567"/>
  </r>
  <r>
    <x v="0"/>
    <x v="0"/>
    <d v="2018-11-14T00:00:00"/>
    <x v="2"/>
    <n v="123"/>
    <x v="79"/>
    <n v="9225"/>
  </r>
  <r>
    <x v="0"/>
    <x v="0"/>
    <d v="2018-11-15T00:00:00"/>
    <x v="2"/>
    <n v="123"/>
    <x v="59"/>
    <n v="3567"/>
  </r>
  <r>
    <x v="0"/>
    <x v="0"/>
    <d v="2018-11-16T00:00:00"/>
    <x v="2"/>
    <n v="123"/>
    <x v="0"/>
    <n v="15498"/>
  </r>
  <r>
    <x v="0"/>
    <x v="0"/>
    <d v="2018-11-19T00:00:00"/>
    <x v="2"/>
    <n v="123"/>
    <x v="80"/>
    <n v="8241"/>
  </r>
  <r>
    <x v="0"/>
    <x v="0"/>
    <d v="2018-11-21T00:00:00"/>
    <x v="2"/>
    <n v="123"/>
    <x v="44"/>
    <n v="11439"/>
  </r>
  <r>
    <x v="0"/>
    <x v="0"/>
    <d v="2018-11-22T00:00:00"/>
    <x v="2"/>
    <n v="123"/>
    <x v="21"/>
    <n v="11316"/>
  </r>
  <r>
    <x v="0"/>
    <x v="0"/>
    <d v="2018-11-23T00:00:00"/>
    <x v="2"/>
    <n v="123"/>
    <x v="81"/>
    <n v="8118"/>
  </r>
  <r>
    <x v="0"/>
    <x v="0"/>
    <d v="2018-11-26T00:00:00"/>
    <x v="2"/>
    <n v="123"/>
    <x v="74"/>
    <n v="4428"/>
  </r>
  <r>
    <x v="0"/>
    <x v="0"/>
    <d v="2018-11-27T00:00:00"/>
    <x v="2"/>
    <n v="123"/>
    <x v="34"/>
    <n v="5043"/>
  </r>
  <r>
    <x v="0"/>
    <x v="0"/>
    <d v="2018-11-28T00:00:00"/>
    <x v="2"/>
    <n v="123"/>
    <x v="42"/>
    <n v="10455"/>
  </r>
  <r>
    <x v="0"/>
    <x v="0"/>
    <d v="2018-11-29T00:00:00"/>
    <x v="2"/>
    <n v="123"/>
    <x v="17"/>
    <n v="16236"/>
  </r>
  <r>
    <x v="0"/>
    <x v="0"/>
    <d v="2018-11-30T00:00:00"/>
    <x v="2"/>
    <n v="123"/>
    <x v="37"/>
    <n v="10209"/>
  </r>
  <r>
    <x v="0"/>
    <x v="0"/>
    <d v="2018-12-03T00:00:00"/>
    <x v="2"/>
    <n v="123"/>
    <x v="24"/>
    <n v="13899"/>
  </r>
  <r>
    <x v="0"/>
    <x v="0"/>
    <d v="2018-12-04T00:00:00"/>
    <x v="2"/>
    <n v="123"/>
    <x v="63"/>
    <n v="9840"/>
  </r>
  <r>
    <x v="0"/>
    <x v="0"/>
    <d v="2018-12-05T00:00:00"/>
    <x v="2"/>
    <n v="123"/>
    <x v="62"/>
    <n v="7503"/>
  </r>
  <r>
    <x v="0"/>
    <x v="0"/>
    <d v="2018-12-07T00:00:00"/>
    <x v="2"/>
    <n v="123"/>
    <x v="47"/>
    <n v="3690"/>
  </r>
  <r>
    <x v="0"/>
    <x v="0"/>
    <d v="2018-12-10T00:00:00"/>
    <x v="2"/>
    <n v="123"/>
    <x v="34"/>
    <n v="5043"/>
  </r>
  <r>
    <x v="0"/>
    <x v="0"/>
    <d v="2018-12-12T00:00:00"/>
    <x v="2"/>
    <n v="123"/>
    <x v="82"/>
    <n v="15867"/>
  </r>
  <r>
    <x v="0"/>
    <x v="0"/>
    <d v="2018-12-13T00:00:00"/>
    <x v="2"/>
    <n v="123"/>
    <x v="83"/>
    <n v="9471"/>
  </r>
  <r>
    <x v="0"/>
    <x v="0"/>
    <d v="2018-12-14T00:00:00"/>
    <x v="2"/>
    <n v="123"/>
    <x v="22"/>
    <n v="16605"/>
  </r>
  <r>
    <x v="0"/>
    <x v="0"/>
    <d v="2018-12-17T00:00:00"/>
    <x v="2"/>
    <n v="123"/>
    <x v="16"/>
    <n v="6642"/>
  </r>
  <r>
    <x v="0"/>
    <x v="0"/>
    <d v="2018-12-18T00:00:00"/>
    <x v="2"/>
    <n v="123"/>
    <x v="84"/>
    <n v="8856"/>
  </r>
  <r>
    <x v="0"/>
    <x v="0"/>
    <d v="2018-12-19T00:00:00"/>
    <x v="2"/>
    <n v="123"/>
    <x v="79"/>
    <n v="9225"/>
  </r>
  <r>
    <x v="0"/>
    <x v="0"/>
    <d v="2018-12-20T00:00:00"/>
    <x v="2"/>
    <n v="123"/>
    <x v="59"/>
    <n v="3567"/>
  </r>
  <r>
    <x v="0"/>
    <x v="0"/>
    <d v="2018-12-21T00:00:00"/>
    <x v="2"/>
    <n v="123"/>
    <x v="46"/>
    <n v="5535"/>
  </r>
  <r>
    <x v="0"/>
    <x v="0"/>
    <d v="2018-12-24T00:00:00"/>
    <x v="2"/>
    <n v="123"/>
    <x v="76"/>
    <n v="3198"/>
  </r>
  <r>
    <x v="0"/>
    <x v="0"/>
    <d v="2018-12-25T00:00:00"/>
    <x v="2"/>
    <n v="123"/>
    <x v="85"/>
    <n v="7380"/>
  </r>
  <r>
    <x v="0"/>
    <x v="0"/>
    <d v="2018-12-26T00:00:00"/>
    <x v="2"/>
    <n v="123"/>
    <x v="34"/>
    <n v="5043"/>
  </r>
  <r>
    <x v="0"/>
    <x v="0"/>
    <d v="2018-12-27T00:00:00"/>
    <x v="2"/>
    <n v="123"/>
    <x v="35"/>
    <n v="8979"/>
  </r>
  <r>
    <x v="0"/>
    <x v="0"/>
    <d v="2018-12-28T00:00:00"/>
    <x v="2"/>
    <n v="123"/>
    <x v="4"/>
    <n v="5781"/>
  </r>
  <r>
    <x v="1"/>
    <x v="1"/>
    <d v="2019-01-03T00:00:00"/>
    <x v="0"/>
    <n v="118"/>
    <x v="38"/>
    <n v="4956"/>
  </r>
  <r>
    <x v="1"/>
    <x v="1"/>
    <d v="2019-01-04T00:00:00"/>
    <x v="0"/>
    <n v="118"/>
    <x v="86"/>
    <n v="10738"/>
  </r>
  <r>
    <x v="1"/>
    <x v="1"/>
    <d v="2019-01-07T00:00:00"/>
    <x v="0"/>
    <n v="118"/>
    <x v="87"/>
    <n v="12980"/>
  </r>
  <r>
    <x v="1"/>
    <x v="1"/>
    <d v="2019-01-08T00:00:00"/>
    <x v="0"/>
    <n v="118"/>
    <x v="28"/>
    <n v="6962"/>
  </r>
  <r>
    <x v="1"/>
    <x v="1"/>
    <d v="2019-01-11T00:00:00"/>
    <x v="0"/>
    <n v="118"/>
    <x v="34"/>
    <n v="4838"/>
  </r>
  <r>
    <x v="1"/>
    <x v="1"/>
    <d v="2019-01-14T00:00:00"/>
    <x v="0"/>
    <n v="118"/>
    <x v="51"/>
    <n v="17700"/>
  </r>
  <r>
    <x v="1"/>
    <x v="1"/>
    <d v="2019-01-15T00:00:00"/>
    <x v="0"/>
    <n v="118"/>
    <x v="88"/>
    <n v="6844"/>
  </r>
  <r>
    <x v="1"/>
    <x v="1"/>
    <d v="2019-01-16T00:00:00"/>
    <x v="0"/>
    <n v="118"/>
    <x v="89"/>
    <n v="18054"/>
  </r>
  <r>
    <x v="1"/>
    <x v="1"/>
    <d v="2019-01-18T00:00:00"/>
    <x v="0"/>
    <n v="118"/>
    <x v="66"/>
    <n v="22066"/>
  </r>
  <r>
    <x v="1"/>
    <x v="1"/>
    <d v="2019-01-21T00:00:00"/>
    <x v="0"/>
    <n v="118"/>
    <x v="90"/>
    <n v="6490"/>
  </r>
  <r>
    <x v="1"/>
    <x v="1"/>
    <d v="2019-01-22T00:00:00"/>
    <x v="0"/>
    <n v="118"/>
    <x v="65"/>
    <n v="16402"/>
  </r>
  <r>
    <x v="1"/>
    <x v="1"/>
    <d v="2019-01-25T00:00:00"/>
    <x v="0"/>
    <n v="118"/>
    <x v="91"/>
    <n v="13216"/>
  </r>
  <r>
    <x v="1"/>
    <x v="1"/>
    <d v="2019-01-29T00:00:00"/>
    <x v="0"/>
    <n v="118"/>
    <x v="92"/>
    <n v="6254"/>
  </r>
  <r>
    <x v="1"/>
    <x v="1"/>
    <d v="2019-01-30T00:00:00"/>
    <x v="0"/>
    <n v="118"/>
    <x v="93"/>
    <n v="5900"/>
  </r>
  <r>
    <x v="1"/>
    <x v="1"/>
    <d v="2019-01-31T00:00:00"/>
    <x v="0"/>
    <n v="118"/>
    <x v="94"/>
    <n v="18998"/>
  </r>
  <r>
    <x v="1"/>
    <x v="1"/>
    <d v="2019-02-01T00:00:00"/>
    <x v="0"/>
    <n v="118"/>
    <x v="95"/>
    <n v="12272"/>
  </r>
  <r>
    <x v="1"/>
    <x v="1"/>
    <d v="2019-02-04T00:00:00"/>
    <x v="0"/>
    <n v="118"/>
    <x v="25"/>
    <n v="6018"/>
  </r>
  <r>
    <x v="1"/>
    <x v="1"/>
    <d v="2019-02-06T00:00:00"/>
    <x v="0"/>
    <n v="118"/>
    <x v="88"/>
    <n v="6844"/>
  </r>
  <r>
    <x v="1"/>
    <x v="1"/>
    <d v="2019-02-07T00:00:00"/>
    <x v="0"/>
    <n v="118"/>
    <x v="53"/>
    <n v="5782"/>
  </r>
  <r>
    <x v="1"/>
    <x v="1"/>
    <d v="2019-02-13T00:00:00"/>
    <x v="0"/>
    <n v="118"/>
    <x v="96"/>
    <n v="17346"/>
  </r>
  <r>
    <x v="1"/>
    <x v="1"/>
    <d v="2019-02-14T00:00:00"/>
    <x v="0"/>
    <n v="118"/>
    <x v="87"/>
    <n v="12980"/>
  </r>
  <r>
    <x v="1"/>
    <x v="1"/>
    <d v="2019-02-18T00:00:00"/>
    <x v="0"/>
    <n v="118"/>
    <x v="97"/>
    <n v="31742"/>
  </r>
  <r>
    <x v="1"/>
    <x v="1"/>
    <d v="2019-02-19T00:00:00"/>
    <x v="0"/>
    <n v="118"/>
    <x v="94"/>
    <n v="18998"/>
  </r>
  <r>
    <x v="1"/>
    <x v="1"/>
    <d v="2019-02-20T00:00:00"/>
    <x v="0"/>
    <n v="118"/>
    <x v="98"/>
    <n v="7316"/>
  </r>
  <r>
    <x v="1"/>
    <x v="1"/>
    <d v="2019-02-21T00:00:00"/>
    <x v="0"/>
    <n v="118"/>
    <x v="99"/>
    <n v="26904"/>
  </r>
  <r>
    <x v="1"/>
    <x v="1"/>
    <d v="2019-02-26T00:00:00"/>
    <x v="0"/>
    <n v="118"/>
    <x v="8"/>
    <n v="4720"/>
  </r>
  <r>
    <x v="1"/>
    <x v="1"/>
    <d v="2019-02-27T00:00:00"/>
    <x v="0"/>
    <n v="118"/>
    <x v="27"/>
    <n v="11682"/>
  </r>
  <r>
    <x v="1"/>
    <x v="1"/>
    <d v="2019-03-01T00:00:00"/>
    <x v="0"/>
    <n v="118"/>
    <x v="48"/>
    <n v="11328"/>
  </r>
  <r>
    <x v="1"/>
    <x v="1"/>
    <d v="2019-03-04T00:00:00"/>
    <x v="0"/>
    <n v="118"/>
    <x v="11"/>
    <n v="6608"/>
  </r>
  <r>
    <x v="1"/>
    <x v="1"/>
    <d v="2019-03-05T00:00:00"/>
    <x v="0"/>
    <n v="118"/>
    <x v="100"/>
    <n v="6726"/>
  </r>
  <r>
    <x v="1"/>
    <x v="1"/>
    <d v="2019-03-06T00:00:00"/>
    <x v="0"/>
    <n v="118"/>
    <x v="38"/>
    <n v="4956"/>
  </r>
  <r>
    <x v="1"/>
    <x v="1"/>
    <d v="2019-03-08T00:00:00"/>
    <x v="0"/>
    <n v="118"/>
    <x v="48"/>
    <n v="11328"/>
  </r>
  <r>
    <x v="1"/>
    <x v="1"/>
    <d v="2019-03-12T00:00:00"/>
    <x v="0"/>
    <n v="118"/>
    <x v="93"/>
    <n v="5900"/>
  </r>
  <r>
    <x v="1"/>
    <x v="1"/>
    <d v="2019-03-14T00:00:00"/>
    <x v="0"/>
    <n v="118"/>
    <x v="7"/>
    <n v="5664"/>
  </r>
  <r>
    <x v="1"/>
    <x v="1"/>
    <d v="2019-03-15T00:00:00"/>
    <x v="0"/>
    <n v="118"/>
    <x v="38"/>
    <n v="4956"/>
  </r>
  <r>
    <x v="1"/>
    <x v="1"/>
    <d v="2019-03-21T00:00:00"/>
    <x v="0"/>
    <n v="118"/>
    <x v="101"/>
    <n v="20650"/>
  </r>
  <r>
    <x v="1"/>
    <x v="1"/>
    <d v="2019-03-22T00:00:00"/>
    <x v="0"/>
    <n v="118"/>
    <x v="102"/>
    <n v="14750"/>
  </r>
  <r>
    <x v="1"/>
    <x v="1"/>
    <d v="2019-03-29T00:00:00"/>
    <x v="0"/>
    <n v="118"/>
    <x v="95"/>
    <n v="12272"/>
  </r>
  <r>
    <x v="1"/>
    <x v="1"/>
    <d v="2019-01-01T00:00:00"/>
    <x v="1"/>
    <n v="114"/>
    <x v="103"/>
    <n v="16416"/>
  </r>
  <r>
    <x v="1"/>
    <x v="1"/>
    <d v="2019-01-03T00:00:00"/>
    <x v="1"/>
    <n v="114"/>
    <x v="7"/>
    <n v="5472"/>
  </r>
  <r>
    <x v="1"/>
    <x v="1"/>
    <d v="2019-01-07T00:00:00"/>
    <x v="1"/>
    <n v="114"/>
    <x v="86"/>
    <n v="10374"/>
  </r>
  <r>
    <x v="1"/>
    <x v="1"/>
    <d v="2019-01-08T00:00:00"/>
    <x v="1"/>
    <n v="114"/>
    <x v="7"/>
    <n v="5472"/>
  </r>
  <r>
    <x v="1"/>
    <x v="1"/>
    <d v="2019-01-10T00:00:00"/>
    <x v="1"/>
    <n v="114"/>
    <x v="104"/>
    <n v="21774"/>
  </r>
  <r>
    <x v="1"/>
    <x v="1"/>
    <d v="2019-01-14T00:00:00"/>
    <x v="1"/>
    <n v="114"/>
    <x v="105"/>
    <n v="10146"/>
  </r>
  <r>
    <x v="1"/>
    <x v="1"/>
    <d v="2019-01-15T00:00:00"/>
    <x v="1"/>
    <n v="114"/>
    <x v="106"/>
    <n v="20976"/>
  </r>
  <r>
    <x v="1"/>
    <x v="1"/>
    <d v="2019-01-16T00:00:00"/>
    <x v="1"/>
    <n v="114"/>
    <x v="90"/>
    <n v="6270"/>
  </r>
  <r>
    <x v="1"/>
    <x v="1"/>
    <d v="2019-01-21T00:00:00"/>
    <x v="1"/>
    <n v="114"/>
    <x v="10"/>
    <n v="5244"/>
  </r>
  <r>
    <x v="1"/>
    <x v="1"/>
    <d v="2019-01-22T00:00:00"/>
    <x v="1"/>
    <n v="114"/>
    <x v="12"/>
    <n v="11058"/>
  </r>
  <r>
    <x v="1"/>
    <x v="1"/>
    <d v="2019-01-24T00:00:00"/>
    <x v="1"/>
    <n v="114"/>
    <x v="78"/>
    <n v="8664"/>
  </r>
  <r>
    <x v="1"/>
    <x v="1"/>
    <d v="2019-01-25T00:00:00"/>
    <x v="1"/>
    <n v="114"/>
    <x v="105"/>
    <n v="10146"/>
  </r>
  <r>
    <x v="1"/>
    <x v="1"/>
    <d v="2019-01-29T00:00:00"/>
    <x v="1"/>
    <n v="114"/>
    <x v="16"/>
    <n v="6156"/>
  </r>
  <r>
    <x v="1"/>
    <x v="1"/>
    <d v="2019-01-30T00:00:00"/>
    <x v="1"/>
    <n v="114"/>
    <x v="107"/>
    <n v="4902"/>
  </r>
  <r>
    <x v="1"/>
    <x v="1"/>
    <d v="2019-01-31T00:00:00"/>
    <x v="1"/>
    <n v="114"/>
    <x v="16"/>
    <n v="6156"/>
  </r>
  <r>
    <x v="1"/>
    <x v="1"/>
    <d v="2019-02-01T00:00:00"/>
    <x v="1"/>
    <n v="114"/>
    <x v="12"/>
    <n v="11058"/>
  </r>
  <r>
    <x v="1"/>
    <x v="1"/>
    <d v="2019-02-04T00:00:00"/>
    <x v="1"/>
    <n v="114"/>
    <x v="69"/>
    <n v="23028"/>
  </r>
  <r>
    <x v="1"/>
    <x v="1"/>
    <d v="2019-02-06T00:00:00"/>
    <x v="1"/>
    <n v="114"/>
    <x v="55"/>
    <n v="18810"/>
  </r>
  <r>
    <x v="1"/>
    <x v="1"/>
    <d v="2019-02-07T00:00:00"/>
    <x v="1"/>
    <n v="114"/>
    <x v="108"/>
    <n v="22686"/>
  </r>
  <r>
    <x v="1"/>
    <x v="1"/>
    <d v="2019-02-08T00:00:00"/>
    <x v="1"/>
    <n v="114"/>
    <x v="11"/>
    <n v="6384"/>
  </r>
  <r>
    <x v="1"/>
    <x v="1"/>
    <d v="2019-02-11T00:00:00"/>
    <x v="1"/>
    <n v="114"/>
    <x v="4"/>
    <n v="5358"/>
  </r>
  <r>
    <x v="1"/>
    <x v="1"/>
    <d v="2019-02-13T00:00:00"/>
    <x v="1"/>
    <n v="114"/>
    <x v="1"/>
    <n v="4446"/>
  </r>
  <r>
    <x v="1"/>
    <x v="1"/>
    <d v="2019-02-14T00:00:00"/>
    <x v="1"/>
    <n v="114"/>
    <x v="109"/>
    <n v="12198"/>
  </r>
  <r>
    <x v="1"/>
    <x v="1"/>
    <d v="2019-02-18T00:00:00"/>
    <x v="1"/>
    <n v="114"/>
    <x v="86"/>
    <n v="10374"/>
  </r>
  <r>
    <x v="1"/>
    <x v="1"/>
    <d v="2019-02-21T00:00:00"/>
    <x v="1"/>
    <n v="114"/>
    <x v="72"/>
    <n v="9006"/>
  </r>
  <r>
    <x v="1"/>
    <x v="1"/>
    <d v="2019-02-25T00:00:00"/>
    <x v="1"/>
    <n v="114"/>
    <x v="100"/>
    <n v="6498"/>
  </r>
  <r>
    <x v="1"/>
    <x v="1"/>
    <d v="2019-02-26T00:00:00"/>
    <x v="1"/>
    <n v="114"/>
    <x v="85"/>
    <n v="6840"/>
  </r>
  <r>
    <x v="1"/>
    <x v="1"/>
    <d v="2019-02-27T00:00:00"/>
    <x v="1"/>
    <n v="114"/>
    <x v="28"/>
    <n v="6726"/>
  </r>
  <r>
    <x v="1"/>
    <x v="1"/>
    <d v="2019-02-28T00:00:00"/>
    <x v="1"/>
    <n v="114"/>
    <x v="34"/>
    <n v="4674"/>
  </r>
  <r>
    <x v="1"/>
    <x v="1"/>
    <d v="2019-03-01T00:00:00"/>
    <x v="1"/>
    <n v="114"/>
    <x v="27"/>
    <n v="11286"/>
  </r>
  <r>
    <x v="1"/>
    <x v="1"/>
    <d v="2019-03-04T00:00:00"/>
    <x v="1"/>
    <n v="114"/>
    <x v="4"/>
    <n v="5358"/>
  </r>
  <r>
    <x v="1"/>
    <x v="1"/>
    <d v="2019-03-05T00:00:00"/>
    <x v="1"/>
    <n v="114"/>
    <x v="4"/>
    <n v="5358"/>
  </r>
  <r>
    <x v="1"/>
    <x v="1"/>
    <d v="2019-03-06T00:00:00"/>
    <x v="1"/>
    <n v="114"/>
    <x v="1"/>
    <n v="4446"/>
  </r>
  <r>
    <x v="1"/>
    <x v="1"/>
    <d v="2019-03-07T00:00:00"/>
    <x v="1"/>
    <n v="114"/>
    <x v="107"/>
    <n v="4902"/>
  </r>
  <r>
    <x v="1"/>
    <x v="1"/>
    <d v="2019-03-08T00:00:00"/>
    <x v="1"/>
    <n v="114"/>
    <x v="90"/>
    <n v="6270"/>
  </r>
  <r>
    <x v="1"/>
    <x v="1"/>
    <d v="2019-03-11T00:00:00"/>
    <x v="1"/>
    <n v="114"/>
    <x v="6"/>
    <n v="3876"/>
  </r>
  <r>
    <x v="1"/>
    <x v="1"/>
    <d v="2019-03-12T00:00:00"/>
    <x v="1"/>
    <n v="114"/>
    <x v="67"/>
    <n v="17328"/>
  </r>
  <r>
    <x v="1"/>
    <x v="1"/>
    <d v="2019-03-14T00:00:00"/>
    <x v="1"/>
    <n v="114"/>
    <x v="11"/>
    <n v="6384"/>
  </r>
  <r>
    <x v="1"/>
    <x v="1"/>
    <d v="2019-03-19T00:00:00"/>
    <x v="1"/>
    <n v="114"/>
    <x v="110"/>
    <n v="5928"/>
  </r>
  <r>
    <x v="1"/>
    <x v="1"/>
    <d v="2019-03-20T00:00:00"/>
    <x v="1"/>
    <n v="114"/>
    <x v="107"/>
    <n v="4902"/>
  </r>
  <r>
    <x v="1"/>
    <x v="1"/>
    <d v="2019-03-21T00:00:00"/>
    <x v="1"/>
    <n v="114"/>
    <x v="44"/>
    <n v="10602"/>
  </r>
  <r>
    <x v="1"/>
    <x v="1"/>
    <d v="2019-03-22T00:00:00"/>
    <x v="1"/>
    <n v="114"/>
    <x v="111"/>
    <n v="17556"/>
  </r>
  <r>
    <x v="1"/>
    <x v="1"/>
    <d v="2019-03-26T00:00:00"/>
    <x v="1"/>
    <n v="114"/>
    <x v="3"/>
    <n v="4218"/>
  </r>
  <r>
    <x v="1"/>
    <x v="1"/>
    <d v="2019-03-27T00:00:00"/>
    <x v="1"/>
    <n v="114"/>
    <x v="38"/>
    <n v="4788"/>
  </r>
  <r>
    <x v="1"/>
    <x v="1"/>
    <d v="2019-03-28T00:00:00"/>
    <x v="1"/>
    <n v="114"/>
    <x v="6"/>
    <n v="3876"/>
  </r>
  <r>
    <x v="1"/>
    <x v="1"/>
    <d v="2019-03-29T00:00:00"/>
    <x v="1"/>
    <n v="114"/>
    <x v="38"/>
    <n v="4788"/>
  </r>
  <r>
    <x v="1"/>
    <x v="1"/>
    <d v="2019-01-01T00:00:00"/>
    <x v="2"/>
    <n v="123"/>
    <x v="112"/>
    <n v="9963"/>
  </r>
  <r>
    <x v="1"/>
    <x v="1"/>
    <d v="2019-01-03T00:00:00"/>
    <x v="2"/>
    <n v="123"/>
    <x v="22"/>
    <n v="16605"/>
  </r>
  <r>
    <x v="1"/>
    <x v="1"/>
    <d v="2019-01-04T00:00:00"/>
    <x v="2"/>
    <n v="123"/>
    <x v="46"/>
    <n v="5535"/>
  </r>
  <r>
    <x v="1"/>
    <x v="1"/>
    <d v="2019-01-07T00:00:00"/>
    <x v="2"/>
    <n v="123"/>
    <x v="91"/>
    <n v="13776"/>
  </r>
  <r>
    <x v="1"/>
    <x v="1"/>
    <d v="2019-01-09T00:00:00"/>
    <x v="2"/>
    <n v="123"/>
    <x v="70"/>
    <n v="3936"/>
  </r>
  <r>
    <x v="1"/>
    <x v="1"/>
    <d v="2019-01-10T00:00:00"/>
    <x v="2"/>
    <n v="123"/>
    <x v="74"/>
    <n v="4428"/>
  </r>
  <r>
    <x v="1"/>
    <x v="1"/>
    <d v="2019-01-11T00:00:00"/>
    <x v="2"/>
    <n v="123"/>
    <x v="10"/>
    <n v="5658"/>
  </r>
  <r>
    <x v="1"/>
    <x v="1"/>
    <d v="2019-01-14T00:00:00"/>
    <x v="2"/>
    <n v="123"/>
    <x v="27"/>
    <n v="12177"/>
  </r>
  <r>
    <x v="1"/>
    <x v="1"/>
    <d v="2019-01-15T00:00:00"/>
    <x v="2"/>
    <n v="123"/>
    <x v="70"/>
    <n v="3936"/>
  </r>
  <r>
    <x v="1"/>
    <x v="1"/>
    <d v="2019-01-18T00:00:00"/>
    <x v="2"/>
    <n v="123"/>
    <x v="113"/>
    <n v="21033"/>
  </r>
  <r>
    <x v="1"/>
    <x v="1"/>
    <d v="2019-01-22T00:00:00"/>
    <x v="2"/>
    <n v="123"/>
    <x v="46"/>
    <n v="5535"/>
  </r>
  <r>
    <x v="1"/>
    <x v="1"/>
    <d v="2019-01-23T00:00:00"/>
    <x v="2"/>
    <n v="123"/>
    <x v="110"/>
    <n v="6396"/>
  </r>
  <r>
    <x v="1"/>
    <x v="1"/>
    <d v="2019-01-25T00:00:00"/>
    <x v="2"/>
    <n v="123"/>
    <x v="17"/>
    <n v="16236"/>
  </r>
  <r>
    <x v="1"/>
    <x v="1"/>
    <d v="2019-01-28T00:00:00"/>
    <x v="2"/>
    <n v="123"/>
    <x v="114"/>
    <n v="17220"/>
  </r>
  <r>
    <x v="1"/>
    <x v="1"/>
    <d v="2019-01-29T00:00:00"/>
    <x v="2"/>
    <n v="123"/>
    <x v="42"/>
    <n v="10455"/>
  </r>
  <r>
    <x v="1"/>
    <x v="1"/>
    <d v="2019-01-30T00:00:00"/>
    <x v="2"/>
    <n v="123"/>
    <x v="43"/>
    <n v="3813"/>
  </r>
  <r>
    <x v="1"/>
    <x v="1"/>
    <d v="2019-01-31T00:00:00"/>
    <x v="2"/>
    <n v="123"/>
    <x v="115"/>
    <n v="4059"/>
  </r>
  <r>
    <x v="1"/>
    <x v="1"/>
    <d v="2019-02-04T00:00:00"/>
    <x v="2"/>
    <n v="123"/>
    <x v="34"/>
    <n v="5043"/>
  </r>
  <r>
    <x v="1"/>
    <x v="1"/>
    <d v="2019-02-05T00:00:00"/>
    <x v="2"/>
    <n v="123"/>
    <x v="105"/>
    <n v="10947"/>
  </r>
  <r>
    <x v="1"/>
    <x v="1"/>
    <d v="2019-02-06T00:00:00"/>
    <x v="2"/>
    <n v="123"/>
    <x v="116"/>
    <n v="15129"/>
  </r>
  <r>
    <x v="1"/>
    <x v="1"/>
    <d v="2019-02-07T00:00:00"/>
    <x v="2"/>
    <n v="123"/>
    <x v="43"/>
    <n v="3813"/>
  </r>
  <r>
    <x v="1"/>
    <x v="1"/>
    <d v="2019-02-08T00:00:00"/>
    <x v="2"/>
    <n v="123"/>
    <x v="18"/>
    <n v="10086"/>
  </r>
  <r>
    <x v="1"/>
    <x v="1"/>
    <d v="2019-02-12T00:00:00"/>
    <x v="2"/>
    <n v="123"/>
    <x v="44"/>
    <n v="11439"/>
  </r>
  <r>
    <x v="1"/>
    <x v="1"/>
    <d v="2019-02-13T00:00:00"/>
    <x v="2"/>
    <n v="123"/>
    <x v="105"/>
    <n v="10947"/>
  </r>
  <r>
    <x v="1"/>
    <x v="1"/>
    <d v="2019-02-14T00:00:00"/>
    <x v="2"/>
    <n v="123"/>
    <x v="77"/>
    <n v="10824"/>
  </r>
  <r>
    <x v="1"/>
    <x v="1"/>
    <d v="2019-02-15T00:00:00"/>
    <x v="2"/>
    <n v="123"/>
    <x v="117"/>
    <n v="14145"/>
  </r>
  <r>
    <x v="1"/>
    <x v="1"/>
    <d v="2019-02-21T00:00:00"/>
    <x v="2"/>
    <n v="123"/>
    <x v="8"/>
    <n v="4920"/>
  </r>
  <r>
    <x v="1"/>
    <x v="1"/>
    <d v="2019-02-26T00:00:00"/>
    <x v="2"/>
    <n v="123"/>
    <x v="118"/>
    <n v="11562"/>
  </r>
  <r>
    <x v="1"/>
    <x v="1"/>
    <d v="2019-02-27T00:00:00"/>
    <x v="2"/>
    <n v="123"/>
    <x v="43"/>
    <n v="3813"/>
  </r>
  <r>
    <x v="1"/>
    <x v="1"/>
    <d v="2019-03-01T00:00:00"/>
    <x v="2"/>
    <n v="123"/>
    <x v="110"/>
    <n v="6396"/>
  </r>
  <r>
    <x v="1"/>
    <x v="1"/>
    <d v="2019-03-04T00:00:00"/>
    <x v="2"/>
    <n v="123"/>
    <x v="8"/>
    <n v="4920"/>
  </r>
  <r>
    <x v="1"/>
    <x v="1"/>
    <d v="2019-03-08T00:00:00"/>
    <x v="2"/>
    <n v="123"/>
    <x v="19"/>
    <n v="4674"/>
  </r>
  <r>
    <x v="1"/>
    <x v="1"/>
    <d v="2019-03-12T00:00:00"/>
    <x v="2"/>
    <n v="123"/>
    <x v="7"/>
    <n v="5904"/>
  </r>
  <r>
    <x v="1"/>
    <x v="1"/>
    <d v="2019-03-14T00:00:00"/>
    <x v="2"/>
    <n v="123"/>
    <x v="8"/>
    <n v="4920"/>
  </r>
  <r>
    <x v="1"/>
    <x v="1"/>
    <d v="2019-03-15T00:00:00"/>
    <x v="2"/>
    <n v="123"/>
    <x v="32"/>
    <n v="4305"/>
  </r>
  <r>
    <x v="1"/>
    <x v="1"/>
    <d v="2019-03-19T00:00:00"/>
    <x v="2"/>
    <n v="123"/>
    <x v="54"/>
    <n v="16728"/>
  </r>
  <r>
    <x v="1"/>
    <x v="1"/>
    <d v="2019-03-20T00:00:00"/>
    <x v="2"/>
    <n v="123"/>
    <x v="3"/>
    <n v="4551"/>
  </r>
  <r>
    <x v="1"/>
    <x v="1"/>
    <d v="2019-03-21T00:00:00"/>
    <x v="2"/>
    <n v="123"/>
    <x v="78"/>
    <n v="9348"/>
  </r>
  <r>
    <x v="1"/>
    <x v="1"/>
    <d v="2019-03-22T00:00:00"/>
    <x v="2"/>
    <n v="123"/>
    <x v="38"/>
    <n v="5166"/>
  </r>
  <r>
    <x v="1"/>
    <x v="1"/>
    <d v="2019-03-28T00:00:00"/>
    <x v="2"/>
    <n v="123"/>
    <x v="96"/>
    <n v="18081"/>
  </r>
  <r>
    <x v="1"/>
    <x v="1"/>
    <d v="2019-03-29T00:00:00"/>
    <x v="2"/>
    <n v="123"/>
    <x v="119"/>
    <n v="218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4D1F29-642F-4494-B7C4-B6B762E94D95}" name="PivotTable1" cacheId="3"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location ref="A4:E12" firstHeaderRow="0" firstDataRow="1" firstDataCol="3"/>
  <pivotFields count="7">
    <pivotField axis="axisRow" compact="0" outline="0" showAll="0" defaultSubtotal="0">
      <items count="2">
        <item x="0"/>
        <item x="1"/>
      </items>
    </pivotField>
    <pivotField axis="axisRow" compact="0" outline="0" showAll="0">
      <items count="3">
        <item x="1"/>
        <item x="0"/>
        <item t="default"/>
      </items>
    </pivotField>
    <pivotField compact="0" numFmtId="15" outline="0" showAll="0"/>
    <pivotField axis="axisRow" compact="0" outline="0" showAll="0">
      <items count="4">
        <item x="0"/>
        <item x="1"/>
        <item x="2"/>
        <item t="default"/>
      </items>
    </pivotField>
    <pivotField compact="0" numFmtId="8" outline="0" showAll="0"/>
    <pivotField dataField="1" compact="0" outline="0" showAll="0">
      <items count="121">
        <item x="73"/>
        <item x="76"/>
        <item x="71"/>
        <item x="59"/>
        <item x="47"/>
        <item x="43"/>
        <item x="70"/>
        <item x="115"/>
        <item x="6"/>
        <item x="32"/>
        <item x="74"/>
        <item x="3"/>
        <item x="19"/>
        <item x="1"/>
        <item x="8"/>
        <item x="34"/>
        <item x="38"/>
        <item x="107"/>
        <item x="45"/>
        <item x="46"/>
        <item x="10"/>
        <item x="4"/>
        <item x="7"/>
        <item x="53"/>
        <item x="93"/>
        <item x="25"/>
        <item x="110"/>
        <item x="92"/>
        <item x="16"/>
        <item x="90"/>
        <item x="11"/>
        <item x="100"/>
        <item x="88"/>
        <item x="28"/>
        <item x="85"/>
        <item x="62"/>
        <item x="98"/>
        <item x="50"/>
        <item x="81"/>
        <item x="80"/>
        <item x="84"/>
        <item x="35"/>
        <item x="58"/>
        <item x="79"/>
        <item x="78"/>
        <item x="83"/>
        <item x="60"/>
        <item x="72"/>
        <item x="63"/>
        <item x="112"/>
        <item x="18"/>
        <item x="37"/>
        <item x="42"/>
        <item x="31"/>
        <item x="77"/>
        <item x="105"/>
        <item x="86"/>
        <item x="21"/>
        <item x="44"/>
        <item x="118"/>
        <item x="20"/>
        <item x="48"/>
        <item x="12"/>
        <item x="14"/>
        <item x="27"/>
        <item x="13"/>
        <item x="95"/>
        <item x="9"/>
        <item x="109"/>
        <item x="36"/>
        <item x="87"/>
        <item x="26"/>
        <item x="91"/>
        <item x="24"/>
        <item x="117"/>
        <item x="2"/>
        <item x="52"/>
        <item x="116"/>
        <item x="75"/>
        <item x="102"/>
        <item x="0"/>
        <item x="82"/>
        <item x="17"/>
        <item x="22"/>
        <item x="54"/>
        <item x="40"/>
        <item x="65"/>
        <item x="114"/>
        <item x="61"/>
        <item x="103"/>
        <item x="39"/>
        <item x="96"/>
        <item x="51"/>
        <item x="67"/>
        <item x="89"/>
        <item x="111"/>
        <item x="56"/>
        <item x="68"/>
        <item x="94"/>
        <item x="55"/>
        <item x="113"/>
        <item x="101"/>
        <item x="119"/>
        <item x="64"/>
        <item x="29"/>
        <item x="106"/>
        <item x="66"/>
        <item x="104"/>
        <item x="41"/>
        <item x="108"/>
        <item x="23"/>
        <item x="30"/>
        <item x="69"/>
        <item x="33"/>
        <item x="5"/>
        <item x="99"/>
        <item x="15"/>
        <item x="49"/>
        <item x="57"/>
        <item x="97"/>
        <item t="default"/>
      </items>
    </pivotField>
    <pivotField dataField="1" compact="0" numFmtId="8" outline="0" showAll="0"/>
  </pivotFields>
  <rowFields count="3">
    <field x="0"/>
    <field x="1"/>
    <field x="3"/>
  </rowFields>
  <rowItems count="8">
    <i>
      <x/>
      <x v="1"/>
      <x/>
    </i>
    <i r="2">
      <x v="1"/>
    </i>
    <i r="2">
      <x v="2"/>
    </i>
    <i t="default" r="1">
      <x v="1"/>
    </i>
    <i>
      <x v="1"/>
      <x/>
      <x/>
    </i>
    <i r="2">
      <x v="1"/>
    </i>
    <i r="2">
      <x v="2"/>
    </i>
    <i t="default" r="1">
      <x/>
    </i>
  </rowItems>
  <colFields count="1">
    <field x="-2"/>
  </colFields>
  <colItems count="2">
    <i>
      <x/>
    </i>
    <i i="1">
      <x v="1"/>
    </i>
  </colItems>
  <dataFields count="2">
    <dataField name="Average of Total Quantity" fld="5" subtotal="average" baseField="0" baseItem="0"/>
    <dataField name="Average of Total Daily Production Cost" fld="6" subtotal="average" baseField="0" baseItem="0" numFmtId="2"/>
  </dataFields>
  <formats count="11">
    <format dxfId="10">
      <pivotArea outline="0" fieldPosition="0">
        <references count="4">
          <reference field="4294967294" count="1" selected="0">
            <x v="0"/>
          </reference>
          <reference field="0" count="1" selected="0">
            <x v="0"/>
          </reference>
          <reference field="1" count="1" selected="0">
            <x v="1"/>
          </reference>
          <reference field="3" count="1" selected="0">
            <x v="0"/>
          </reference>
        </references>
      </pivotArea>
    </format>
    <format dxfId="9">
      <pivotArea outline="0" fieldPosition="0">
        <references count="4">
          <reference field="4294967294" count="1" selected="0">
            <x v="0"/>
          </reference>
          <reference field="0" count="1" selected="0">
            <x v="0"/>
          </reference>
          <reference field="1" count="1" selected="0">
            <x v="1"/>
          </reference>
          <reference field="3" count="2" selected="0">
            <x v="1"/>
            <x v="2"/>
          </reference>
        </references>
      </pivotArea>
    </format>
    <format dxfId="8">
      <pivotArea outline="0" fieldPosition="0">
        <references count="3">
          <reference field="4294967294" count="1" selected="0">
            <x v="0"/>
          </reference>
          <reference field="0" count="1" selected="0">
            <x v="0"/>
          </reference>
          <reference field="1" count="1" selected="0" defaultSubtotal="1">
            <x v="1"/>
          </reference>
        </references>
      </pivotArea>
    </format>
    <format dxfId="7">
      <pivotArea outline="0" fieldPosition="0">
        <references count="2">
          <reference field="4294967294" count="1" selected="0">
            <x v="0"/>
          </reference>
          <reference field="0" count="1" selected="0" defaultSubtotal="1">
            <x v="0"/>
          </reference>
        </references>
      </pivotArea>
    </format>
    <format dxfId="6">
      <pivotArea outline="0" fieldPosition="0">
        <references count="2">
          <reference field="4294967294" count="1" selected="0">
            <x v="0"/>
          </reference>
          <reference field="0" count="1" selected="0" defaultSubtotal="1">
            <x v="1"/>
          </reference>
        </references>
      </pivotArea>
    </format>
    <format dxfId="5">
      <pivotArea outline="0" fieldPosition="0">
        <references count="1">
          <reference field="4294967294" count="1" selected="0">
            <x v="1"/>
          </reference>
        </references>
      </pivotArea>
    </format>
    <format dxfId="4">
      <pivotArea outline="0" fieldPosition="0">
        <references count="1">
          <reference field="4294967294" count="1" selected="0">
            <x v="0"/>
          </reference>
        </references>
      </pivotArea>
    </format>
    <format dxfId="3">
      <pivotArea dataOnly="0" labelOnly="1" outline="0" fieldPosition="0">
        <references count="1">
          <reference field="4294967294" count="1">
            <x v="0"/>
          </reference>
        </references>
      </pivotArea>
    </format>
    <format dxfId="2">
      <pivotArea outline="0" fieldPosition="0">
        <references count="1">
          <reference field="4294967294" count="1" selected="0">
            <x v="1"/>
          </reference>
        </references>
      </pivotArea>
    </format>
    <format dxfId="1">
      <pivotArea dataOnly="0" labelOnly="1" outline="0" fieldPosition="0">
        <references count="1">
          <reference field="4294967294" count="1">
            <x v="1"/>
          </reference>
        </references>
      </pivotArea>
    </format>
    <format dxfId="0">
      <pivotArea outline="0" fieldPosition="0">
        <references count="4">
          <reference field="4294967294" count="1" selected="0">
            <x v="0"/>
          </reference>
          <reference field="0" count="1" selected="0">
            <x v="1"/>
          </reference>
          <reference field="1" count="1" selected="0">
            <x v="0"/>
          </reference>
          <reference field="3"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EAED0B8-BA05-4974-B8D4-48961BEF67E0}" name="Table6" displayName="Table6" ref="K3:M6" totalsRowShown="0">
  <autoFilter ref="K3:M6" xr:uid="{4EAED0B8-BA05-4974-B8D4-48961BEF67E0}"/>
  <tableColumns count="3">
    <tableColumn id="1" xr3:uid="{9A1BE26C-57A2-4CDB-B6D2-82683767006B}" name="Column1" dataDxfId="49"/>
    <tableColumn id="2" xr3:uid="{A87C4865-7CD1-4F9F-91EB-8B837C4B829A}" name="Min"/>
    <tableColumn id="3" xr3:uid="{A4E2A978-6F43-49AB-8C23-E2AF447222E7}" name="Max"/>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551D06-3853-4828-8402-4F8E8742B31F}" name="Table7" displayName="Table7" ref="A3:I20" totalsRowShown="0">
  <autoFilter ref="A3:I20" xr:uid="{39551D06-3853-4828-8402-4F8E8742B31F}"/>
  <tableColumns count="9">
    <tableColumn id="1" xr3:uid="{0F3F01E5-548A-4DA6-99BD-B005070178B9}" name="ID #" dataDxfId="48"/>
    <tableColumn id="2" xr3:uid="{9EDAE688-AE24-4585-B97B-8EB6FFD4F9DB}" name="Manufacturer" dataDxfId="47"/>
    <tableColumn id="3" xr3:uid="{930216EA-E8C8-46F0-AEDD-1C64FBFA898D}" name="Part Number" dataDxfId="46"/>
    <tableColumn id="4" xr3:uid="{D0EAFEDD-1AA6-44D1-9577-0256A0CBBE3F}" name="Description" dataDxfId="45"/>
    <tableColumn id="5" xr3:uid="{F3A40BA2-6982-41CF-9178-579D1D0A80E7}" name="TrackR Version" dataDxfId="44"/>
    <tableColumn id="6" xr3:uid="{6FC69279-16B0-4F5F-8E45-275C058F91A0}" name="Shelf" dataDxfId="43"/>
    <tableColumn id="7" xr3:uid="{54151082-FAAF-4AED-BE39-5673A3707490}" name="Bay" dataDxfId="42"/>
    <tableColumn id="8" xr3:uid="{89E48A5A-A8A7-4532-A8E5-E60AB84530E7}" name="Min"/>
    <tableColumn id="9" xr3:uid="{27895CD2-2F25-4C35-9324-28304DD0C889}" name="Max" dataDxfId="41"/>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2DB3476-FF0D-4A83-9777-41A6A50E6989}" name="Table2" displayName="Table2" ref="C8:G15" totalsRowShown="0" headerRowDxfId="40" dataDxfId="39">
  <autoFilter ref="C8:G15" xr:uid="{F2DB3476-FF0D-4A83-9777-41A6A50E6989}"/>
  <tableColumns count="5">
    <tableColumn id="1" xr3:uid="{D2610D5F-340A-4C2F-829F-2DBBBB757631}" name="Division" dataDxfId="38"/>
    <tableColumn id="2" xr3:uid="{9011F108-EB9D-4186-A8BF-7AA7BA251344}" name="Role" dataDxfId="37"/>
    <tableColumn id="3" xr3:uid="{F150A0B6-6997-4A6E-A679-C56C4303E6D8}" name="Number of Employees"/>
    <tableColumn id="4" xr3:uid="{A37CDB5E-DC32-4C06-BA86-29B82309600A}" name="Amount" dataDxfId="36"/>
    <tableColumn id="5" xr3:uid="{ECC629BA-4E51-46C5-A02F-10130FD2F163}" name="Per" dataDxfId="3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539769E-86FD-4AC2-90ED-C565225FC96B}" name="Table3" displayName="Table3" ref="C20:G23" totalsRowShown="0" headerRowDxfId="34" dataDxfId="32" headerRowBorderDxfId="33" tableBorderDxfId="31">
  <autoFilter ref="C20:G23" xr:uid="{9539769E-86FD-4AC2-90ED-C565225FC96B}"/>
  <tableColumns count="5">
    <tableColumn id="1" xr3:uid="{719D8627-90CC-4866-9CBD-D5BFB30691C5}" name="Division" dataDxfId="30"/>
    <tableColumn id="2" xr3:uid="{C5EA06F8-A925-49A5-8545-3D1764094417}" name="Role" dataDxfId="29"/>
    <tableColumn id="3" xr3:uid="{B111773E-39B7-4C40-82B2-7A0D1D6629DB}" name="Number of Employees"/>
    <tableColumn id="4" xr3:uid="{3233CCA4-45BB-41FB-AF1D-8329D0533ED5}" name="Amount" dataDxfId="28"/>
    <tableColumn id="5" xr3:uid="{4160E583-9630-4276-822C-BB2F12204CA8}" name="Per" dataDxfId="27"/>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239115-23F5-4DB2-B145-99F96C690837}" name="Table1" displayName="Table1" ref="P14:Q20" totalsRowShown="0">
  <autoFilter ref="P14:Q20" xr:uid="{91239115-23F5-4DB2-B145-99F96C690837}"/>
  <tableColumns count="2">
    <tableColumn id="1" xr3:uid="{39EC180E-164A-4525-A4B6-1793C482D65D}" name="Code"/>
    <tableColumn id="2" xr3:uid="{03B2FEFB-D2A0-4C90-AAFF-8EE6DF1FB34D}" name="Of Attitude toward changes of as of March 24, 2019" dataDxfId="2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27213F5-F7CA-4443-8B34-56AC6B6E4E63}" name="Table4" displayName="Table4" ref="J5:N41" totalsRowShown="0" headerRowDxfId="25" dataDxfId="24">
  <autoFilter ref="J5:N41" xr:uid="{427213F5-F7CA-4443-8B34-56AC6B6E4E63}"/>
  <tableColumns count="5">
    <tableColumn id="1" xr3:uid="{71C1F976-5DE6-4644-A603-62ECCB519249}" name="Role" dataDxfId="23"/>
    <tableColumn id="2" xr3:uid="{0EC79D83-B08B-4524-93A0-BC99A2B726BF}" name="Employee #" dataDxfId="22"/>
    <tableColumn id="3" xr3:uid="{B394C136-F319-4F1D-BEAA-EE9CE3E835D0}" name="Years Old" dataDxfId="21"/>
    <tableColumn id="4" xr3:uid="{8A5AAF87-B2F9-4E80-AE1C-C5989EFFFF5E}" name="Shift" dataDxfId="20"/>
    <tableColumn id="5" xr3:uid="{4826EAAF-DB80-42AB-B39B-323A75AC27EA}" name="Attitude Code" dataDxfId="1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DE2D4FC-1919-42F9-90A1-3D4737064852}" name="Table36" displayName="Table36" ref="C26:G29" totalsRowShown="0" headerRowDxfId="18" dataDxfId="16" headerRowBorderDxfId="17" tableBorderDxfId="15">
  <autoFilter ref="C26:G29" xr:uid="{2DE2D4FC-1919-42F9-90A1-3D4737064852}"/>
  <tableColumns count="5">
    <tableColumn id="1" xr3:uid="{0C8EB7C6-35AC-476C-860C-2AD53002C4F6}" name="Division" dataDxfId="14"/>
    <tableColumn id="2" xr3:uid="{9373B34C-DDAB-47F6-BC71-C41E2A16A4E3}" name="Role" dataDxfId="13"/>
    <tableColumn id="3" xr3:uid="{6C6E9159-1069-4B8E-98D7-C6083A76B579}" name="Number of Employees"/>
    <tableColumn id="4" xr3:uid="{2EE71337-210A-42A8-BFBE-00D712C338F5}" name="Amount" dataDxfId="12"/>
    <tableColumn id="5" xr3:uid="{A12C7391-94F5-4030-9D5B-C1B05DDA55EC}" name="Per" dataDxfId="1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healthline.com/health/exercise-fitness/average-walking-speed" TargetMode="External"/><Relationship Id="rId2" Type="http://schemas.openxmlformats.org/officeDocument/2006/relationships/hyperlink" Target="https://www.healthline.com/health/exercise-fitness/average-walking-speed" TargetMode="External"/><Relationship Id="rId1" Type="http://schemas.openxmlformats.org/officeDocument/2006/relationships/hyperlink" Target="https://www.hoodmwr.com/how-fast-am-i-walking/"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6.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8" Type="http://schemas.openxmlformats.org/officeDocument/2006/relationships/hyperlink" Target="http://www.mitchellplastics.com/" TargetMode="External"/><Relationship Id="rId3" Type="http://schemas.openxmlformats.org/officeDocument/2006/relationships/hyperlink" Target="http://www.americanvanadium.com/" TargetMode="External"/><Relationship Id="rId7" Type="http://schemas.openxmlformats.org/officeDocument/2006/relationships/hyperlink" Target="http://www.sandisk.com/" TargetMode="External"/><Relationship Id="rId2" Type="http://schemas.openxmlformats.org/officeDocument/2006/relationships/hyperlink" Target="http://www.st.com/" TargetMode="External"/><Relationship Id="rId1" Type="http://schemas.openxmlformats.org/officeDocument/2006/relationships/hyperlink" Target="http://www.samsung.com/" TargetMode="External"/><Relationship Id="rId6" Type="http://schemas.openxmlformats.org/officeDocument/2006/relationships/hyperlink" Target="http://www.qualcomm.com/" TargetMode="External"/><Relationship Id="rId5" Type="http://schemas.openxmlformats.org/officeDocument/2006/relationships/hyperlink" Target="http://www.bluegiga.com/" TargetMode="External"/><Relationship Id="rId4" Type="http://schemas.openxmlformats.org/officeDocument/2006/relationships/hyperlink" Target="http://www.banda.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healthline.com/health/exercise-fitness/average-walking-speed" TargetMode="External"/><Relationship Id="rId2" Type="http://schemas.openxmlformats.org/officeDocument/2006/relationships/hyperlink" Target="https://www.healthline.com/health/exercise-fitness/average-walking-speed" TargetMode="External"/><Relationship Id="rId1" Type="http://schemas.openxmlformats.org/officeDocument/2006/relationships/hyperlink" Target="https://www.hoodmwr.com/how-fast-am-i-walking/" TargetMode="External"/><Relationship Id="rId4"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6C4DF-B45F-4B8E-BF81-2ADBA94A843D}">
  <dimension ref="A1:E44"/>
  <sheetViews>
    <sheetView topLeftCell="A19" workbookViewId="0">
      <selection activeCell="C38" sqref="C38"/>
    </sheetView>
  </sheetViews>
  <sheetFormatPr baseColWidth="10" defaultColWidth="8.83203125" defaultRowHeight="15"/>
  <cols>
    <col min="2" max="2" width="19.33203125" customWidth="1"/>
    <col min="3" max="3" width="55.33203125" customWidth="1"/>
    <col min="4" max="4" width="26.5" customWidth="1"/>
    <col min="5" max="5" width="34" customWidth="1"/>
  </cols>
  <sheetData>
    <row r="1" spans="1:3" ht="21">
      <c r="A1" s="10" t="s">
        <v>0</v>
      </c>
    </row>
    <row r="3" spans="1:3">
      <c r="B3" t="s">
        <v>1</v>
      </c>
      <c r="C3" s="4">
        <v>44609</v>
      </c>
    </row>
    <row r="4" spans="1:3">
      <c r="B4" t="s">
        <v>2</v>
      </c>
      <c r="C4" t="s">
        <v>3</v>
      </c>
    </row>
    <row r="5" spans="1:3">
      <c r="C5" s="1" t="s">
        <v>4</v>
      </c>
    </row>
    <row r="6" spans="1:3">
      <c r="C6" s="1" t="s">
        <v>5</v>
      </c>
    </row>
    <row r="7" spans="1:3">
      <c r="C7" s="1" t="s">
        <v>6</v>
      </c>
    </row>
    <row r="8" spans="1:3">
      <c r="C8" s="1" t="s">
        <v>7</v>
      </c>
    </row>
    <row r="9" spans="1:3">
      <c r="C9" s="1" t="s">
        <v>8</v>
      </c>
    </row>
    <row r="10" spans="1:3">
      <c r="C10" s="1" t="s">
        <v>9</v>
      </c>
    </row>
    <row r="11" spans="1:3">
      <c r="C11" s="1" t="s">
        <v>10</v>
      </c>
    </row>
    <row r="12" spans="1:3">
      <c r="C12" s="1" t="s">
        <v>11</v>
      </c>
    </row>
    <row r="13" spans="1:3">
      <c r="C13" s="1"/>
    </row>
    <row r="14" spans="1:3">
      <c r="B14" t="s">
        <v>12</v>
      </c>
    </row>
    <row r="15" spans="1:3">
      <c r="B15" t="s">
        <v>13</v>
      </c>
    </row>
    <row r="17" spans="1:5" ht="19">
      <c r="B17" s="9" t="s">
        <v>14</v>
      </c>
    </row>
    <row r="18" spans="1:5">
      <c r="A18">
        <v>1</v>
      </c>
      <c r="B18" t="s">
        <v>15</v>
      </c>
      <c r="C18" t="s">
        <v>16</v>
      </c>
    </row>
    <row r="19" spans="1:5">
      <c r="A19">
        <v>2</v>
      </c>
      <c r="B19" t="s">
        <v>17</v>
      </c>
      <c r="C19" t="s">
        <v>18</v>
      </c>
    </row>
    <row r="20" spans="1:5">
      <c r="A20">
        <v>3</v>
      </c>
      <c r="B20" t="s">
        <v>19</v>
      </c>
      <c r="C20" t="s">
        <v>20</v>
      </c>
    </row>
    <row r="21" spans="1:5">
      <c r="A21">
        <v>4</v>
      </c>
      <c r="B21" t="s">
        <v>21</v>
      </c>
      <c r="C21" t="s">
        <v>22</v>
      </c>
    </row>
    <row r="22" spans="1:5">
      <c r="A22">
        <v>5</v>
      </c>
      <c r="B22" t="s">
        <v>23</v>
      </c>
      <c r="C22" t="s">
        <v>24</v>
      </c>
    </row>
    <row r="23" spans="1:5">
      <c r="A23">
        <v>6</v>
      </c>
      <c r="B23" t="s">
        <v>25</v>
      </c>
      <c r="C23" t="s">
        <v>26</v>
      </c>
    </row>
    <row r="25" spans="1:5" ht="19">
      <c r="B25" s="9" t="s">
        <v>27</v>
      </c>
    </row>
    <row r="27" spans="1:5">
      <c r="A27" s="2" t="s">
        <v>28</v>
      </c>
      <c r="B27" s="2" t="s">
        <v>29</v>
      </c>
      <c r="C27" s="2" t="s">
        <v>30</v>
      </c>
      <c r="D27" s="2" t="s">
        <v>31</v>
      </c>
      <c r="E27" s="5" t="s">
        <v>32</v>
      </c>
    </row>
    <row r="28" spans="1:5">
      <c r="A28" s="3" t="s">
        <v>33</v>
      </c>
      <c r="B28" s="3" t="s">
        <v>34</v>
      </c>
      <c r="C28" s="3"/>
      <c r="D28" s="2"/>
    </row>
    <row r="29" spans="1:5">
      <c r="A29" s="3" t="s">
        <v>35</v>
      </c>
      <c r="B29" s="3" t="s">
        <v>36</v>
      </c>
      <c r="C29" s="3" t="s">
        <v>37</v>
      </c>
      <c r="D29" s="3"/>
    </row>
    <row r="30" spans="1:5">
      <c r="A30" s="3" t="s">
        <v>38</v>
      </c>
      <c r="B30" s="3" t="s">
        <v>39</v>
      </c>
      <c r="C30" s="3" t="s">
        <v>40</v>
      </c>
      <c r="D30" s="3"/>
    </row>
    <row r="31" spans="1:5">
      <c r="A31" s="3" t="s">
        <v>41</v>
      </c>
      <c r="B31" s="3" t="s">
        <v>42</v>
      </c>
      <c r="C31" s="3" t="s">
        <v>43</v>
      </c>
      <c r="D31" s="3"/>
      <c r="E31" s="11" t="s">
        <v>44</v>
      </c>
    </row>
    <row r="32" spans="1:5">
      <c r="A32" s="3" t="s">
        <v>45</v>
      </c>
      <c r="B32" s="3" t="s">
        <v>46</v>
      </c>
      <c r="C32" s="3" t="s">
        <v>47</v>
      </c>
      <c r="D32" s="3"/>
    </row>
    <row r="33" spans="1:5">
      <c r="A33" s="3" t="s">
        <v>48</v>
      </c>
      <c r="B33" s="3" t="s">
        <v>49</v>
      </c>
      <c r="C33" s="3" t="s">
        <v>50</v>
      </c>
      <c r="D33" s="3"/>
    </row>
    <row r="34" spans="1:5">
      <c r="A34" s="3" t="s">
        <v>51</v>
      </c>
      <c r="B34" s="3" t="s">
        <v>52</v>
      </c>
      <c r="C34" s="3" t="s">
        <v>53</v>
      </c>
      <c r="D34" s="3"/>
      <c r="E34" s="6" t="s">
        <v>54</v>
      </c>
    </row>
    <row r="35" spans="1:5">
      <c r="A35" s="3" t="s">
        <v>55</v>
      </c>
      <c r="B35" s="3" t="s">
        <v>56</v>
      </c>
      <c r="C35" s="3" t="s">
        <v>57</v>
      </c>
      <c r="D35" s="3"/>
    </row>
    <row r="36" spans="1:5">
      <c r="A36" s="3" t="s">
        <v>58</v>
      </c>
      <c r="B36" s="3" t="s">
        <v>59</v>
      </c>
      <c r="C36" s="3" t="s">
        <v>60</v>
      </c>
      <c r="D36" s="3"/>
    </row>
    <row r="37" spans="1:5">
      <c r="A37" s="3" t="s">
        <v>61</v>
      </c>
      <c r="B37" s="3" t="s">
        <v>62</v>
      </c>
      <c r="C37" s="3" t="s">
        <v>63</v>
      </c>
      <c r="D37" s="3"/>
      <c r="E37" t="s">
        <v>64</v>
      </c>
    </row>
    <row r="38" spans="1:5">
      <c r="A38" s="3" t="s">
        <v>65</v>
      </c>
      <c r="B38" s="3" t="s">
        <v>66</v>
      </c>
      <c r="C38" s="3" t="s">
        <v>67</v>
      </c>
      <c r="D38" s="3"/>
    </row>
    <row r="40" spans="1:5" ht="19">
      <c r="B40" s="9" t="s">
        <v>68</v>
      </c>
      <c r="C40" t="s">
        <v>69</v>
      </c>
    </row>
    <row r="41" spans="1:5">
      <c r="A41">
        <v>1</v>
      </c>
      <c r="B41" t="s">
        <v>70</v>
      </c>
    </row>
    <row r="42" spans="1:5">
      <c r="B42" s="7" t="s">
        <v>71</v>
      </c>
      <c r="C42" t="s">
        <v>72</v>
      </c>
    </row>
    <row r="43" spans="1:5">
      <c r="B43" s="7" t="s">
        <v>73</v>
      </c>
      <c r="C43" t="s">
        <v>74</v>
      </c>
    </row>
    <row r="44" spans="1:5">
      <c r="B44" s="8" t="s">
        <v>75</v>
      </c>
      <c r="C44"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7BFC8-B305-4F04-B72C-58536E2270CC}">
  <dimension ref="A1:Q62"/>
  <sheetViews>
    <sheetView workbookViewId="0">
      <selection activeCell="D17" sqref="D17"/>
    </sheetView>
  </sheetViews>
  <sheetFormatPr baseColWidth="10" defaultColWidth="8.83203125" defaultRowHeight="15"/>
  <cols>
    <col min="2" max="2" width="23.5" bestFit="1" customWidth="1"/>
    <col min="3" max="3" width="15.5" bestFit="1" customWidth="1"/>
    <col min="4" max="4" width="39.33203125" bestFit="1" customWidth="1"/>
    <col min="5" max="5" width="16.83203125" customWidth="1"/>
    <col min="6" max="6" width="7.83203125" customWidth="1"/>
    <col min="7" max="7" width="7.33203125" customWidth="1"/>
    <col min="11" max="11" width="11.5" bestFit="1" customWidth="1"/>
    <col min="12" max="12" width="15.5" bestFit="1" customWidth="1"/>
    <col min="13" max="13" width="39.33203125" bestFit="1" customWidth="1"/>
    <col min="14" max="14" width="20" customWidth="1"/>
  </cols>
  <sheetData>
    <row r="1" spans="1:17">
      <c r="A1" t="s">
        <v>76</v>
      </c>
      <c r="K1" t="s">
        <v>77</v>
      </c>
    </row>
    <row r="2" spans="1:17">
      <c r="H2" t="s">
        <v>78</v>
      </c>
    </row>
    <row r="3" spans="1:17">
      <c r="A3" t="s">
        <v>79</v>
      </c>
      <c r="B3" t="s">
        <v>80</v>
      </c>
      <c r="C3" t="s">
        <v>81</v>
      </c>
      <c r="D3" t="s">
        <v>82</v>
      </c>
      <c r="E3" t="s">
        <v>83</v>
      </c>
      <c r="F3" t="s">
        <v>84</v>
      </c>
      <c r="G3" t="s">
        <v>85</v>
      </c>
      <c r="H3" t="s">
        <v>86</v>
      </c>
      <c r="I3" t="s">
        <v>87</v>
      </c>
      <c r="K3" t="s">
        <v>88</v>
      </c>
      <c r="L3" s="102" t="s">
        <v>86</v>
      </c>
      <c r="M3" s="102" t="s">
        <v>87</v>
      </c>
    </row>
    <row r="4" spans="1:17">
      <c r="A4" s="38">
        <v>1</v>
      </c>
      <c r="B4" s="37" t="s">
        <v>89</v>
      </c>
      <c r="C4" s="37" t="s">
        <v>90</v>
      </c>
      <c r="D4" s="37" t="s">
        <v>91</v>
      </c>
      <c r="E4" s="37" t="s">
        <v>92</v>
      </c>
      <c r="F4" s="38">
        <v>10</v>
      </c>
      <c r="G4" s="38" t="s">
        <v>38</v>
      </c>
      <c r="H4">
        <f>VLOOKUP(C4,'A POs'!E4:H49,4,0)</f>
        <v>6.61</v>
      </c>
      <c r="I4">
        <f>VLOOKUP(C4,'A POs'!E4:H1048576,4,0)</f>
        <v>6.61</v>
      </c>
      <c r="K4" s="61" t="s">
        <v>93</v>
      </c>
      <c r="L4" cm="1">
        <f t="array" ref="L4">SUM(SUMIFS($H$4:$H$20,$E$4:$E$20,{"TrackR A","TrackR A, B, C"}))</f>
        <v>99.16</v>
      </c>
      <c r="M4" cm="1">
        <f t="array" ref="M4">SUM(SUMIFS($I$4:$I$20,$E$4:$E$20,{"TrackR A","TrackR A, B, C"}))</f>
        <v>99.16</v>
      </c>
      <c r="O4" t="s">
        <v>94</v>
      </c>
    </row>
    <row r="5" spans="1:17">
      <c r="A5" s="38">
        <v>2</v>
      </c>
      <c r="B5" s="61" t="s">
        <v>89</v>
      </c>
      <c r="C5" s="61" t="s">
        <v>95</v>
      </c>
      <c r="D5" s="61" t="s">
        <v>96</v>
      </c>
      <c r="E5" s="37" t="s">
        <v>92</v>
      </c>
      <c r="F5" s="80">
        <v>10</v>
      </c>
      <c r="G5" s="80" t="s">
        <v>45</v>
      </c>
      <c r="H5">
        <f>VLOOKUP(C5,'A POs'!E4:H1048576,4,0)</f>
        <v>0.08</v>
      </c>
      <c r="I5">
        <f>VLOOKUP(C5,'A POs'!E4:H1048576,4,0)</f>
        <v>0.08</v>
      </c>
      <c r="K5" s="61" t="s">
        <v>97</v>
      </c>
      <c r="L5" cm="1">
        <f t="array" ref="L5">SUM(SUMIFS($H$4:$H$20,$E$4:$E$20,{"TrackR B","TrackR A, B, C"}))</f>
        <v>95.16</v>
      </c>
      <c r="M5" cm="1">
        <f t="array" ref="M5">SUM(SUMIFS($I$4:$I$20,$E$4:$E$20,{"TrackR B","TrackR A, B, C"}))</f>
        <v>95.16</v>
      </c>
    </row>
    <row r="6" spans="1:17">
      <c r="A6" s="38">
        <v>3</v>
      </c>
      <c r="B6" s="61" t="s">
        <v>98</v>
      </c>
      <c r="C6" s="61" t="s">
        <v>99</v>
      </c>
      <c r="D6" s="61" t="s">
        <v>100</v>
      </c>
      <c r="E6" s="37" t="s">
        <v>92</v>
      </c>
      <c r="F6" s="80">
        <v>2</v>
      </c>
      <c r="G6" s="80" t="s">
        <v>33</v>
      </c>
      <c r="H6">
        <f>VLOOKUP(C6,'A POs'!E4:H1048576,4,0)</f>
        <v>17.420000000000002</v>
      </c>
      <c r="I6">
        <f>VLOOKUP(C6,'A POs'!E4:H1048576,4,0)</f>
        <v>17.420000000000002</v>
      </c>
      <c r="K6" s="61" t="s">
        <v>101</v>
      </c>
      <c r="L6" cm="1">
        <f t="array" ref="L6">SUM(SUMIFS($H$4:$H$20,$E$4:$E$20,{"TrackR C","TrackR A, B, C"}))</f>
        <v>104.16</v>
      </c>
      <c r="M6" cm="1">
        <f t="array" ref="M6">SUM(SUMIFS($I$4:$I$20,$E$4:$E$20,{"TrackR C","TrackR A, B, C"}))</f>
        <v>104.16</v>
      </c>
    </row>
    <row r="7" spans="1:17">
      <c r="A7" s="38">
        <v>4</v>
      </c>
      <c r="B7" s="61" t="s">
        <v>102</v>
      </c>
      <c r="C7" s="61" t="s">
        <v>103</v>
      </c>
      <c r="D7" s="61" t="s">
        <v>104</v>
      </c>
      <c r="E7" s="37" t="s">
        <v>92</v>
      </c>
      <c r="F7" s="80">
        <v>4</v>
      </c>
      <c r="G7" s="80" t="s">
        <v>41</v>
      </c>
      <c r="H7">
        <f>VLOOKUP(C7,'A POs'!F4:H81,3,0)</f>
        <v>14.99</v>
      </c>
      <c r="I7">
        <f>VLOOKUP(C7,'A POs'!F4:H48,3,0)</f>
        <v>14.99</v>
      </c>
      <c r="K7" s="61"/>
      <c r="Q7" cm="1">
        <f t="array" ref="Q7:Q8">SUMIFS(I4:I20,E4:E20,E14:E15)</f>
        <v>90.16</v>
      </c>
    </row>
    <row r="8" spans="1:17">
      <c r="A8" s="38">
        <v>5</v>
      </c>
      <c r="B8" s="61" t="s">
        <v>105</v>
      </c>
      <c r="C8" s="61" t="s">
        <v>106</v>
      </c>
      <c r="D8" s="61" t="s">
        <v>107</v>
      </c>
      <c r="E8" s="37" t="s">
        <v>92</v>
      </c>
      <c r="F8" s="80">
        <v>5</v>
      </c>
      <c r="G8" s="80" t="s">
        <v>45</v>
      </c>
      <c r="H8">
        <f>VLOOKUP(C8,'A POs'!E4:H48,4,0)</f>
        <v>4.1500000000000004</v>
      </c>
      <c r="I8">
        <f>VLOOKUP(C8,'A POs'!E4:H49,4,0)</f>
        <v>4.1500000000000004</v>
      </c>
      <c r="K8" s="61"/>
      <c r="Q8">
        <v>5</v>
      </c>
    </row>
    <row r="9" spans="1:17">
      <c r="A9" s="38">
        <v>6</v>
      </c>
      <c r="B9" s="61" t="s">
        <v>105</v>
      </c>
      <c r="C9" s="61" t="s">
        <v>108</v>
      </c>
      <c r="D9" s="61" t="s">
        <v>109</v>
      </c>
      <c r="E9" s="37" t="s">
        <v>92</v>
      </c>
      <c r="F9" s="80">
        <v>6</v>
      </c>
      <c r="G9" s="80" t="s">
        <v>35</v>
      </c>
      <c r="H9">
        <f>VLOOKUP(C9,'A POs'!E5:H48,4,0)</f>
        <v>1.88</v>
      </c>
      <c r="I9">
        <f>VLOOKUP(C9,'A POs'!E4:H49,4,0)</f>
        <v>1.88</v>
      </c>
    </row>
    <row r="10" spans="1:17">
      <c r="A10" s="38">
        <v>7</v>
      </c>
      <c r="B10" s="37" t="s">
        <v>110</v>
      </c>
      <c r="C10" s="37" t="s">
        <v>111</v>
      </c>
      <c r="D10" s="37" t="s">
        <v>112</v>
      </c>
      <c r="E10" s="37" t="s">
        <v>92</v>
      </c>
      <c r="F10" s="38">
        <v>7</v>
      </c>
      <c r="G10" s="38" t="s">
        <v>35</v>
      </c>
      <c r="H10">
        <f>VLOOKUP(C10,'A POs'!E4:H48,4,0)</f>
        <v>0.56999999999999995</v>
      </c>
      <c r="I10">
        <f>VLOOKUP(C10,'A POs'!E4:H48,4,0)</f>
        <v>0.56999999999999995</v>
      </c>
    </row>
    <row r="11" spans="1:17">
      <c r="A11" s="38">
        <v>8</v>
      </c>
      <c r="B11" s="61" t="s">
        <v>110</v>
      </c>
      <c r="C11" s="61" t="s">
        <v>113</v>
      </c>
      <c r="D11" s="61" t="s">
        <v>114</v>
      </c>
      <c r="E11" s="37" t="s">
        <v>92</v>
      </c>
      <c r="F11" s="80">
        <v>8</v>
      </c>
      <c r="G11" s="80" t="s">
        <v>45</v>
      </c>
      <c r="H11">
        <f>VLOOKUP(C11,'A POs'!E4:H48,4,0)</f>
        <v>0.31</v>
      </c>
      <c r="I11">
        <f>VLOOKUP(C11,'A POs'!E4:H48,4,0)</f>
        <v>0.31</v>
      </c>
    </row>
    <row r="12" spans="1:17">
      <c r="A12" s="38">
        <v>9</v>
      </c>
      <c r="B12" s="61" t="s">
        <v>115</v>
      </c>
      <c r="C12" s="61" t="s">
        <v>116</v>
      </c>
      <c r="D12" s="61" t="s">
        <v>117</v>
      </c>
      <c r="E12" s="37" t="s">
        <v>92</v>
      </c>
      <c r="F12" s="80">
        <v>7</v>
      </c>
      <c r="G12" s="80" t="s">
        <v>45</v>
      </c>
      <c r="H12">
        <f>VLOOKUP(C12,'A POs'!E4:H48,4,0)</f>
        <v>38.15</v>
      </c>
      <c r="I12">
        <f>VLOOKUP(C12,'A POs'!E4:H49,4,0)</f>
        <v>38.15</v>
      </c>
    </row>
    <row r="13" spans="1:17">
      <c r="A13" s="38">
        <v>10</v>
      </c>
      <c r="B13" s="37" t="s">
        <v>118</v>
      </c>
      <c r="C13" s="37" t="s">
        <v>119</v>
      </c>
      <c r="D13" s="37" t="s">
        <v>120</v>
      </c>
      <c r="E13" s="37" t="s">
        <v>92</v>
      </c>
      <c r="F13" s="38">
        <v>3</v>
      </c>
      <c r="G13" s="38" t="s">
        <v>38</v>
      </c>
      <c r="H13">
        <f>VLOOKUP(C13,'A POs'!E4:H48,4,0)</f>
        <v>4</v>
      </c>
      <c r="I13">
        <f>VLOOKUP(C13,'A POs'!E4:H48,4,0)</f>
        <v>4</v>
      </c>
      <c r="K13" s="61"/>
    </row>
    <row r="14" spans="1:17">
      <c r="A14" s="38">
        <v>11</v>
      </c>
      <c r="B14" s="37" t="s">
        <v>121</v>
      </c>
      <c r="C14" s="37" t="s">
        <v>122</v>
      </c>
      <c r="D14" s="37" t="s">
        <v>123</v>
      </c>
      <c r="E14" s="37" t="s">
        <v>92</v>
      </c>
      <c r="F14" s="38">
        <v>1</v>
      </c>
      <c r="G14" s="38" t="s">
        <v>33</v>
      </c>
      <c r="H14">
        <f>VLOOKUP(C14,'A POs'!E4:H49,4,0)</f>
        <v>2</v>
      </c>
      <c r="I14">
        <f>VLOOKUP(C14,'A POs'!E4:H49,4,0)</f>
        <v>2</v>
      </c>
    </row>
    <row r="15" spans="1:17">
      <c r="A15" s="38">
        <v>12</v>
      </c>
      <c r="B15" s="37" t="s">
        <v>124</v>
      </c>
      <c r="C15" s="37"/>
      <c r="D15" s="61" t="s">
        <v>125</v>
      </c>
      <c r="E15" s="61" t="s">
        <v>97</v>
      </c>
      <c r="F15" s="38">
        <v>14</v>
      </c>
      <c r="G15" s="38" t="s">
        <v>33</v>
      </c>
      <c r="H15">
        <f>VLOOKUP(B15,'A POs'!E4:H48,4,0)</f>
        <v>3</v>
      </c>
      <c r="I15">
        <f>VLOOKUP(B15,'A POs'!E4:H48,4,0)</f>
        <v>3</v>
      </c>
    </row>
    <row r="16" spans="1:17">
      <c r="A16" s="80">
        <v>13</v>
      </c>
      <c r="B16" s="61" t="s">
        <v>126</v>
      </c>
      <c r="C16" s="61"/>
      <c r="D16" s="61" t="s">
        <v>127</v>
      </c>
      <c r="E16" s="61" t="s">
        <v>93</v>
      </c>
      <c r="F16" s="80">
        <v>14</v>
      </c>
      <c r="G16" s="80" t="s">
        <v>33</v>
      </c>
      <c r="H16">
        <f>VLOOKUP(B16,'A POs'!E4:H49,4,0)</f>
        <v>6</v>
      </c>
      <c r="I16">
        <f>VLOOKUP(B16,'A POs'!E4:H49,4,0)</f>
        <v>6</v>
      </c>
    </row>
    <row r="17" spans="1:9">
      <c r="A17" s="80">
        <v>14</v>
      </c>
      <c r="B17" s="61" t="s">
        <v>128</v>
      </c>
      <c r="C17" s="61"/>
      <c r="D17" s="61" t="s">
        <v>129</v>
      </c>
      <c r="E17" s="61" t="s">
        <v>101</v>
      </c>
      <c r="F17" s="80">
        <v>14</v>
      </c>
      <c r="G17" s="80" t="s">
        <v>33</v>
      </c>
      <c r="H17">
        <f>VLOOKUP(B17,'A POs'!E4:H49,4,0)</f>
        <v>10</v>
      </c>
      <c r="I17">
        <f>VLOOKUP(B17,'A POs'!E4:H49,4,0)</f>
        <v>10</v>
      </c>
    </row>
    <row r="18" spans="1:9">
      <c r="A18" s="80">
        <v>15</v>
      </c>
      <c r="B18" s="61" t="s">
        <v>130</v>
      </c>
      <c r="C18" s="61" t="s">
        <v>131</v>
      </c>
      <c r="D18" s="61" t="s">
        <v>132</v>
      </c>
      <c r="E18" s="61" t="s">
        <v>97</v>
      </c>
      <c r="F18" s="80"/>
      <c r="G18" s="80"/>
      <c r="H18" s="23">
        <f>VLOOKUP(C18,'A POs'!E4:H48,4,0)</f>
        <v>2</v>
      </c>
      <c r="I18" s="23">
        <f>VLOOKUP(C18,'A POs'!E4:H48,4,0)</f>
        <v>2</v>
      </c>
    </row>
    <row r="19" spans="1:9">
      <c r="A19" s="80">
        <v>16</v>
      </c>
      <c r="B19" s="61" t="s">
        <v>130</v>
      </c>
      <c r="C19" s="61" t="s">
        <v>133</v>
      </c>
      <c r="D19" s="61" t="s">
        <v>134</v>
      </c>
      <c r="E19" s="61" t="s">
        <v>93</v>
      </c>
      <c r="F19" s="80"/>
      <c r="G19" s="80"/>
      <c r="H19">
        <f>VLOOKUP(C19,'A POs'!E4:H48,4,0)</f>
        <v>3</v>
      </c>
      <c r="I19" s="23">
        <f>VLOOKUP(C19,'A POs'!E4:H48,4,0)</f>
        <v>3</v>
      </c>
    </row>
    <row r="20" spans="1:9">
      <c r="A20" s="80">
        <v>17</v>
      </c>
      <c r="B20" s="61" t="s">
        <v>130</v>
      </c>
      <c r="C20" s="61" t="s">
        <v>135</v>
      </c>
      <c r="D20" s="61" t="s">
        <v>136</v>
      </c>
      <c r="E20" s="61" t="s">
        <v>101</v>
      </c>
      <c r="F20" s="80"/>
      <c r="G20" s="80"/>
      <c r="H20">
        <f>VLOOKUP(C20,'A POs'!E4:H48,4,0)</f>
        <v>4</v>
      </c>
      <c r="I20" s="23">
        <f>VLOOKUP(C20,'A POs'!E4:H48,4,0)</f>
        <v>4</v>
      </c>
    </row>
    <row r="36" spans="1:16">
      <c r="A36" s="38"/>
      <c r="B36" s="37"/>
      <c r="C36" s="37"/>
      <c r="D36" s="37"/>
      <c r="E36" s="37"/>
      <c r="F36" s="38"/>
      <c r="G36" s="38"/>
      <c r="K36" s="38">
        <v>1</v>
      </c>
      <c r="L36" s="37" t="s">
        <v>90</v>
      </c>
      <c r="M36" s="37" t="s">
        <v>91</v>
      </c>
      <c r="N36" s="61" t="s">
        <v>92</v>
      </c>
      <c r="O36">
        <f>SUMIF(D36:D59,M36,H36:H59)</f>
        <v>0</v>
      </c>
      <c r="P36">
        <f>SUMIF(D36:D59,M36,I36:I59)</f>
        <v>0</v>
      </c>
    </row>
    <row r="37" spans="1:16">
      <c r="A37" s="80"/>
      <c r="B37" s="61"/>
      <c r="C37" s="61"/>
      <c r="D37" s="61"/>
      <c r="E37" s="61"/>
      <c r="F37" s="80"/>
      <c r="G37" s="80"/>
      <c r="K37" s="38">
        <v>2</v>
      </c>
      <c r="L37" s="37" t="s">
        <v>95</v>
      </c>
      <c r="M37" s="37" t="s">
        <v>96</v>
      </c>
      <c r="N37" s="61" t="s">
        <v>92</v>
      </c>
      <c r="O37">
        <f>SUMIF(D37:D59,M37,H37:H59)</f>
        <v>0</v>
      </c>
      <c r="P37">
        <f>SUMIF(D37:D59,M37,I37:I59)</f>
        <v>0</v>
      </c>
    </row>
    <row r="38" spans="1:16">
      <c r="A38" s="80"/>
      <c r="B38" s="61"/>
      <c r="C38" s="61"/>
      <c r="D38" s="61"/>
      <c r="E38" s="61"/>
      <c r="F38" s="80"/>
      <c r="G38" s="80"/>
      <c r="K38" s="38">
        <v>3</v>
      </c>
      <c r="L38" s="37" t="s">
        <v>99</v>
      </c>
      <c r="M38" s="37" t="s">
        <v>100</v>
      </c>
      <c r="N38" s="61" t="s">
        <v>92</v>
      </c>
      <c r="O38">
        <f>SUMIF(D38:D59,M38,H38:H59)</f>
        <v>0</v>
      </c>
      <c r="P38">
        <f>SUMIF(D38:D59,M38,I38:I59)</f>
        <v>0</v>
      </c>
    </row>
    <row r="39" spans="1:16">
      <c r="A39" s="80"/>
      <c r="B39" s="61"/>
      <c r="C39" s="61"/>
      <c r="D39" s="61"/>
      <c r="E39" s="61"/>
      <c r="F39" s="80"/>
      <c r="G39" s="80"/>
      <c r="K39" s="38">
        <v>4</v>
      </c>
      <c r="L39" s="37">
        <f>VLOOKUP(K39,Components!A3:I20,8,0)</f>
        <v>14.99</v>
      </c>
      <c r="M39" s="37" t="s">
        <v>104</v>
      </c>
      <c r="N39" s="61" t="s">
        <v>92</v>
      </c>
      <c r="O39">
        <f t="shared" ref="O39:O49" si="0">SUMIF(D39:D59,M39,H39:H59)</f>
        <v>0</v>
      </c>
      <c r="P39">
        <f t="shared" ref="P39:P49" si="1">SUMIF(D39:D59,M39,I39:I59)</f>
        <v>0</v>
      </c>
    </row>
    <row r="40" spans="1:16">
      <c r="A40" s="80"/>
      <c r="B40" s="61"/>
      <c r="C40" s="61"/>
      <c r="D40" s="61"/>
      <c r="E40" s="61"/>
      <c r="F40" s="80"/>
      <c r="G40" s="80"/>
      <c r="K40" s="38">
        <v>5</v>
      </c>
      <c r="L40" s="37" t="s">
        <v>106</v>
      </c>
      <c r="M40" s="37" t="s">
        <v>107</v>
      </c>
      <c r="N40" s="61" t="s">
        <v>92</v>
      </c>
      <c r="O40">
        <f t="shared" si="0"/>
        <v>0</v>
      </c>
      <c r="P40">
        <f t="shared" si="1"/>
        <v>0</v>
      </c>
    </row>
    <row r="41" spans="1:16">
      <c r="A41" s="80"/>
      <c r="B41" s="61"/>
      <c r="C41" s="61"/>
      <c r="D41" s="61"/>
      <c r="E41" s="61"/>
      <c r="F41" s="80"/>
      <c r="G41" s="80"/>
      <c r="K41" s="38">
        <v>6</v>
      </c>
      <c r="L41" s="37" t="s">
        <v>108</v>
      </c>
      <c r="M41" s="37" t="s">
        <v>109</v>
      </c>
      <c r="N41" s="61" t="s">
        <v>92</v>
      </c>
      <c r="O41">
        <f t="shared" si="0"/>
        <v>0</v>
      </c>
      <c r="P41">
        <f t="shared" si="1"/>
        <v>0</v>
      </c>
    </row>
    <row r="42" spans="1:16">
      <c r="A42" s="80"/>
      <c r="B42" s="61"/>
      <c r="C42" s="61"/>
      <c r="D42" s="61"/>
      <c r="E42" s="61"/>
      <c r="F42" s="80"/>
      <c r="G42" s="80"/>
      <c r="K42" s="38">
        <v>7</v>
      </c>
      <c r="L42" s="37" t="s">
        <v>111</v>
      </c>
      <c r="M42" s="37" t="s">
        <v>112</v>
      </c>
      <c r="N42" s="61" t="s">
        <v>92</v>
      </c>
      <c r="O42">
        <f t="shared" si="0"/>
        <v>0</v>
      </c>
      <c r="P42">
        <f t="shared" si="1"/>
        <v>0</v>
      </c>
    </row>
    <row r="43" spans="1:16">
      <c r="A43" s="80"/>
      <c r="B43" s="61"/>
      <c r="C43" s="61"/>
      <c r="D43" s="61"/>
      <c r="E43" s="61"/>
      <c r="F43" s="80"/>
      <c r="G43" s="80"/>
      <c r="K43" s="38">
        <v>8</v>
      </c>
      <c r="L43" s="37" t="s">
        <v>113</v>
      </c>
      <c r="M43" s="37" t="s">
        <v>114</v>
      </c>
      <c r="N43" s="61" t="s">
        <v>92</v>
      </c>
      <c r="O43">
        <f t="shared" si="0"/>
        <v>0</v>
      </c>
      <c r="P43">
        <f t="shared" si="1"/>
        <v>0</v>
      </c>
    </row>
    <row r="44" spans="1:16">
      <c r="A44" s="80"/>
      <c r="B44" s="61"/>
      <c r="C44" s="61"/>
      <c r="D44" s="61"/>
      <c r="E44" s="61"/>
      <c r="F44" s="80"/>
      <c r="G44" s="80"/>
      <c r="K44" s="38">
        <v>9</v>
      </c>
      <c r="L44" s="37" t="s">
        <v>116</v>
      </c>
      <c r="M44" s="37" t="s">
        <v>117</v>
      </c>
      <c r="N44" s="61" t="s">
        <v>92</v>
      </c>
      <c r="O44">
        <f t="shared" si="0"/>
        <v>0</v>
      </c>
      <c r="P44">
        <f t="shared" si="1"/>
        <v>0</v>
      </c>
    </row>
    <row r="45" spans="1:16">
      <c r="A45" s="80"/>
      <c r="B45" s="61"/>
      <c r="C45" s="61"/>
      <c r="D45" s="61"/>
      <c r="E45" s="61"/>
      <c r="F45" s="80"/>
      <c r="G45" s="80"/>
      <c r="K45" s="38">
        <v>10</v>
      </c>
      <c r="L45" s="37" t="s">
        <v>119</v>
      </c>
      <c r="M45" s="37" t="s">
        <v>120</v>
      </c>
      <c r="N45" s="61" t="s">
        <v>92</v>
      </c>
      <c r="O45">
        <f t="shared" si="0"/>
        <v>0</v>
      </c>
      <c r="P45">
        <f t="shared" si="1"/>
        <v>0</v>
      </c>
    </row>
    <row r="46" spans="1:16">
      <c r="A46" s="80"/>
      <c r="B46" s="61"/>
      <c r="C46" s="61"/>
      <c r="D46" s="61"/>
      <c r="E46" s="61"/>
      <c r="F46" s="80"/>
      <c r="G46" s="80"/>
      <c r="K46" s="38">
        <v>11</v>
      </c>
      <c r="L46" s="37" t="s">
        <v>122</v>
      </c>
      <c r="M46" s="37" t="s">
        <v>123</v>
      </c>
      <c r="N46" s="61" t="s">
        <v>92</v>
      </c>
      <c r="O46">
        <f t="shared" si="0"/>
        <v>0</v>
      </c>
      <c r="P46">
        <f t="shared" si="1"/>
        <v>0</v>
      </c>
    </row>
    <row r="47" spans="1:16">
      <c r="A47" s="80"/>
      <c r="B47" s="61"/>
      <c r="C47" s="61"/>
      <c r="D47" s="61"/>
      <c r="E47" s="61"/>
      <c r="F47" s="80"/>
      <c r="G47" s="80"/>
      <c r="K47" s="38">
        <v>12</v>
      </c>
      <c r="L47" s="37" t="s">
        <v>124</v>
      </c>
      <c r="M47" s="37" t="s">
        <v>125</v>
      </c>
      <c r="N47" s="61" t="s">
        <v>97</v>
      </c>
      <c r="O47">
        <f t="shared" si="0"/>
        <v>0</v>
      </c>
      <c r="P47">
        <f t="shared" si="1"/>
        <v>0</v>
      </c>
    </row>
    <row r="48" spans="1:16">
      <c r="A48" s="80"/>
      <c r="B48" s="61"/>
      <c r="C48" s="61"/>
      <c r="D48" s="61"/>
      <c r="E48" s="61"/>
      <c r="F48" s="80"/>
      <c r="G48" s="80"/>
      <c r="K48" s="80">
        <v>13</v>
      </c>
      <c r="L48" s="61" t="s">
        <v>126</v>
      </c>
      <c r="M48" s="61" t="s">
        <v>127</v>
      </c>
      <c r="N48" s="61" t="s">
        <v>93</v>
      </c>
      <c r="O48">
        <f t="shared" si="0"/>
        <v>0</v>
      </c>
      <c r="P48">
        <f t="shared" si="1"/>
        <v>0</v>
      </c>
    </row>
    <row r="49" spans="1:16">
      <c r="A49" s="80"/>
      <c r="B49" s="61"/>
      <c r="C49" s="61"/>
      <c r="D49" s="61"/>
      <c r="E49" s="61"/>
      <c r="F49" s="80"/>
      <c r="G49" s="80"/>
      <c r="K49" s="80">
        <v>14</v>
      </c>
      <c r="L49" s="61" t="s">
        <v>128</v>
      </c>
      <c r="M49" s="61" t="s">
        <v>129</v>
      </c>
      <c r="N49" s="61" t="s">
        <v>101</v>
      </c>
      <c r="O49">
        <f t="shared" si="0"/>
        <v>0</v>
      </c>
      <c r="P49">
        <f t="shared" si="1"/>
        <v>0</v>
      </c>
    </row>
    <row r="50" spans="1:16">
      <c r="A50" s="80"/>
      <c r="B50" s="61"/>
      <c r="C50" s="61"/>
      <c r="D50" s="61"/>
      <c r="E50" s="61"/>
      <c r="F50" s="80"/>
      <c r="G50" s="80"/>
      <c r="K50" s="80">
        <v>15</v>
      </c>
      <c r="L50" s="61" t="s">
        <v>130</v>
      </c>
      <c r="M50" s="61" t="s">
        <v>132</v>
      </c>
      <c r="N50" s="61" t="s">
        <v>97</v>
      </c>
      <c r="O50">
        <f>VLOOKUP(M50,'A POs'!F4:H47,3,0)</f>
        <v>2</v>
      </c>
      <c r="P50">
        <f>VLOOKUP(M50,'A POs'!F4:H47,3,0)</f>
        <v>2</v>
      </c>
    </row>
    <row r="51" spans="1:16">
      <c r="A51" s="80"/>
      <c r="B51" s="61"/>
      <c r="C51" s="61"/>
      <c r="D51" s="61"/>
      <c r="E51" s="61"/>
      <c r="F51" s="80"/>
      <c r="G51" s="80"/>
      <c r="K51" s="80">
        <v>16</v>
      </c>
      <c r="L51" s="61" t="s">
        <v>130</v>
      </c>
      <c r="M51" s="61" t="s">
        <v>134</v>
      </c>
      <c r="N51" s="61" t="s">
        <v>93</v>
      </c>
      <c r="O51">
        <f>VLOOKUP(M51,'A POs'!F5:H48,3,0)</f>
        <v>3</v>
      </c>
      <c r="P51">
        <f>VLOOKUP(M51,'A POs'!F5:H48,3,0)</f>
        <v>3</v>
      </c>
    </row>
    <row r="52" spans="1:16">
      <c r="A52" s="80"/>
      <c r="B52" s="61"/>
      <c r="C52" s="61"/>
      <c r="D52" s="61"/>
      <c r="E52" s="61"/>
      <c r="F52" s="80"/>
      <c r="G52" s="80"/>
      <c r="K52" s="80">
        <v>17</v>
      </c>
      <c r="L52" s="61" t="s">
        <v>130</v>
      </c>
      <c r="M52" s="61" t="s">
        <v>136</v>
      </c>
      <c r="N52" s="61" t="s">
        <v>101</v>
      </c>
      <c r="O52">
        <f>VLOOKUP(M52,'A POs'!F6:H49,3,0)</f>
        <v>4</v>
      </c>
      <c r="P52">
        <f>VLOOKUP(M52,'A POs'!F6:H49,3,0)</f>
        <v>4</v>
      </c>
    </row>
    <row r="53" spans="1:16">
      <c r="A53" s="80"/>
      <c r="B53" s="61"/>
      <c r="C53" s="61"/>
      <c r="D53" s="61"/>
      <c r="E53" s="61"/>
      <c r="F53" s="80"/>
      <c r="G53" s="80"/>
    </row>
    <row r="54" spans="1:16">
      <c r="A54" s="80"/>
      <c r="B54" s="37"/>
      <c r="C54" s="37"/>
      <c r="D54" s="37"/>
      <c r="E54" s="61"/>
      <c r="F54" s="38"/>
      <c r="G54" s="38"/>
    </row>
    <row r="55" spans="1:16">
      <c r="A55" s="80"/>
      <c r="B55" s="61"/>
      <c r="C55" s="61"/>
      <c r="D55" s="61"/>
      <c r="E55" s="61"/>
      <c r="F55" s="80"/>
      <c r="G55" s="80"/>
    </row>
    <row r="56" spans="1:16">
      <c r="A56" s="80"/>
      <c r="B56" s="61"/>
      <c r="C56" s="61"/>
      <c r="D56" s="61"/>
      <c r="E56" s="61"/>
      <c r="F56" s="80"/>
      <c r="G56" s="80"/>
    </row>
    <row r="57" spans="1:16">
      <c r="A57" s="80"/>
      <c r="B57" s="61"/>
      <c r="C57" s="61"/>
      <c r="D57" s="61"/>
      <c r="E57" s="61"/>
      <c r="F57" s="80"/>
      <c r="G57" s="80"/>
    </row>
    <row r="58" spans="1:16">
      <c r="A58" s="80"/>
      <c r="B58" s="61"/>
      <c r="C58" s="61"/>
      <c r="D58" s="61"/>
      <c r="E58" s="61"/>
      <c r="F58" s="80"/>
      <c r="G58" s="80"/>
    </row>
    <row r="59" spans="1:16">
      <c r="A59" s="80"/>
      <c r="B59" s="61"/>
      <c r="C59" s="61"/>
      <c r="D59" s="61"/>
      <c r="E59" s="61"/>
      <c r="F59" s="80"/>
      <c r="G59" s="80"/>
    </row>
    <row r="60" spans="1:16">
      <c r="A60" s="80"/>
      <c r="B60" s="61"/>
      <c r="C60" s="61"/>
      <c r="D60" s="61"/>
      <c r="E60" s="61"/>
      <c r="F60" s="80"/>
      <c r="G60" s="80"/>
    </row>
    <row r="61" spans="1:16">
      <c r="A61" s="80"/>
      <c r="B61" s="61"/>
      <c r="C61" s="61"/>
      <c r="D61" s="61"/>
      <c r="E61" s="61"/>
      <c r="F61" s="80"/>
      <c r="G61" s="80"/>
    </row>
    <row r="62" spans="1:16">
      <c r="A62" s="80"/>
      <c r="B62" s="61"/>
      <c r="C62" s="61"/>
      <c r="D62" s="61"/>
      <c r="E62" s="61"/>
      <c r="F62" s="80"/>
      <c r="G62" s="80"/>
    </row>
  </sheetData>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A4D45-3C24-44C3-874D-4E2DD4F736A5}">
  <dimension ref="A2:AD54"/>
  <sheetViews>
    <sheetView topLeftCell="D1" workbookViewId="0">
      <selection activeCell="L16" sqref="L16"/>
    </sheetView>
  </sheetViews>
  <sheetFormatPr baseColWidth="10" defaultColWidth="8.83203125" defaultRowHeight="15"/>
  <cols>
    <col min="1" max="1" width="3.33203125" customWidth="1"/>
    <col min="2" max="2" width="23.5" customWidth="1"/>
    <col min="4" max="4" width="17.5" customWidth="1"/>
    <col min="5" max="5" width="29.1640625" customWidth="1"/>
    <col min="7" max="7" width="19.6640625" customWidth="1"/>
    <col min="8" max="8" width="15" customWidth="1"/>
    <col min="9" max="9" width="14.33203125" customWidth="1"/>
    <col min="10" max="10" width="19.33203125" customWidth="1"/>
    <col min="11" max="11" width="25.33203125" bestFit="1" customWidth="1"/>
    <col min="13" max="13" width="90.6640625" bestFit="1" customWidth="1"/>
    <col min="15" max="15" width="40.5" bestFit="1" customWidth="1"/>
    <col min="20" max="20" width="19.5" customWidth="1"/>
    <col min="21" max="21" width="14.33203125" customWidth="1"/>
    <col min="22" max="22" width="14.6640625" customWidth="1"/>
    <col min="24" max="24" width="18.83203125" customWidth="1"/>
    <col min="25" max="25" width="14.33203125" customWidth="1"/>
    <col min="26" max="26" width="22.6640625" customWidth="1"/>
    <col min="28" max="29" width="16.5" customWidth="1"/>
    <col min="30" max="30" width="16.6640625" customWidth="1"/>
  </cols>
  <sheetData>
    <row r="2" spans="1:30">
      <c r="A2" t="s">
        <v>137</v>
      </c>
    </row>
    <row r="3" spans="1:30">
      <c r="B3" t="s">
        <v>138</v>
      </c>
      <c r="T3" s="59" t="s">
        <v>139</v>
      </c>
      <c r="U3" s="60" t="s">
        <v>140</v>
      </c>
      <c r="V3" s="60" t="s">
        <v>141</v>
      </c>
      <c r="W3" s="61"/>
      <c r="X3" s="62" t="s">
        <v>142</v>
      </c>
      <c r="Y3" s="63" t="s">
        <v>140</v>
      </c>
      <c r="Z3" s="63" t="s">
        <v>141</v>
      </c>
      <c r="AB3" s="68" t="s">
        <v>143</v>
      </c>
      <c r="AC3" s="69" t="s">
        <v>140</v>
      </c>
      <c r="AD3" s="69" t="s">
        <v>141</v>
      </c>
    </row>
    <row r="4" spans="1:30">
      <c r="T4" s="64" t="s">
        <v>144</v>
      </c>
      <c r="U4" s="65">
        <v>59.17</v>
      </c>
      <c r="V4" s="66" t="s">
        <v>122</v>
      </c>
      <c r="W4" s="61"/>
      <c r="X4" s="64" t="s">
        <v>145</v>
      </c>
      <c r="Y4" s="65">
        <v>54.95</v>
      </c>
      <c r="Z4" s="66" t="s">
        <v>122</v>
      </c>
      <c r="AB4" s="64" t="s">
        <v>145</v>
      </c>
      <c r="AC4" s="65">
        <v>52.01</v>
      </c>
      <c r="AD4" s="66" t="s">
        <v>122</v>
      </c>
    </row>
    <row r="5" spans="1:30">
      <c r="A5" t="s">
        <v>146</v>
      </c>
      <c r="C5" t="s">
        <v>147</v>
      </c>
      <c r="H5" s="14" t="s">
        <v>148</v>
      </c>
      <c r="I5" t="s">
        <v>82</v>
      </c>
      <c r="L5" t="s">
        <v>149</v>
      </c>
      <c r="M5" t="s">
        <v>150</v>
      </c>
      <c r="T5" s="64" t="s">
        <v>151</v>
      </c>
      <c r="U5" s="65">
        <v>0.72</v>
      </c>
      <c r="V5" s="66" t="s">
        <v>99</v>
      </c>
      <c r="W5" s="61"/>
      <c r="X5" s="64" t="s">
        <v>151</v>
      </c>
      <c r="Y5" s="65">
        <v>0.68</v>
      </c>
      <c r="Z5" s="66" t="s">
        <v>99</v>
      </c>
      <c r="AB5" s="64" t="s">
        <v>151</v>
      </c>
      <c r="AC5" s="65">
        <v>2.0299999999999998</v>
      </c>
      <c r="AD5" s="66" t="s">
        <v>99</v>
      </c>
    </row>
    <row r="6" spans="1:30">
      <c r="B6">
        <v>1</v>
      </c>
      <c r="C6" t="s">
        <v>152</v>
      </c>
      <c r="K6" t="s">
        <v>153</v>
      </c>
      <c r="L6" s="39">
        <f>AVERAGE(I7:I9)</f>
        <v>1.1933333333333334</v>
      </c>
      <c r="N6" t="s">
        <v>154</v>
      </c>
      <c r="O6" t="s">
        <v>155</v>
      </c>
      <c r="T6" s="64" t="s">
        <v>156</v>
      </c>
      <c r="U6" s="65">
        <v>8.17</v>
      </c>
      <c r="V6" s="66" t="s">
        <v>119</v>
      </c>
      <c r="W6" s="61"/>
      <c r="X6" s="64" t="s">
        <v>156</v>
      </c>
      <c r="Y6" s="65">
        <v>10.27</v>
      </c>
      <c r="Z6" s="66" t="s">
        <v>119</v>
      </c>
      <c r="AB6" s="64" t="s">
        <v>156</v>
      </c>
      <c r="AC6" s="65">
        <v>11.76</v>
      </c>
      <c r="AD6" s="66" t="s">
        <v>119</v>
      </c>
    </row>
    <row r="7" spans="1:30">
      <c r="H7">
        <v>1</v>
      </c>
      <c r="I7">
        <v>1.1299999999999999</v>
      </c>
      <c r="J7" t="s">
        <v>154</v>
      </c>
      <c r="M7" s="81" t="s">
        <v>157</v>
      </c>
      <c r="T7" s="64" t="s">
        <v>158</v>
      </c>
      <c r="U7" s="65">
        <v>8.64</v>
      </c>
      <c r="V7" s="66" t="s">
        <v>103</v>
      </c>
      <c r="W7" s="61"/>
      <c r="X7" s="64" t="s">
        <v>158</v>
      </c>
      <c r="Y7" s="65">
        <v>7.22</v>
      </c>
      <c r="Z7" s="66" t="s">
        <v>103</v>
      </c>
      <c r="AB7" s="64" t="s">
        <v>158</v>
      </c>
      <c r="AC7" s="65">
        <v>6.8</v>
      </c>
      <c r="AD7" s="66" t="s">
        <v>103</v>
      </c>
    </row>
    <row r="8" spans="1:30">
      <c r="H8">
        <v>2</v>
      </c>
      <c r="I8">
        <v>1.2</v>
      </c>
      <c r="J8" t="s">
        <v>154</v>
      </c>
      <c r="M8" s="81" t="s">
        <v>159</v>
      </c>
      <c r="T8" s="64" t="s">
        <v>160</v>
      </c>
      <c r="U8" s="65">
        <v>3.5</v>
      </c>
      <c r="V8" s="66" t="s">
        <v>106</v>
      </c>
      <c r="W8" s="61"/>
      <c r="X8" s="64" t="s">
        <v>160</v>
      </c>
      <c r="Y8" s="65">
        <v>4</v>
      </c>
      <c r="Z8" s="66" t="s">
        <v>106</v>
      </c>
      <c r="AB8" s="64" t="s">
        <v>160</v>
      </c>
      <c r="AC8" s="65">
        <v>6</v>
      </c>
      <c r="AD8" s="66" t="s">
        <v>106</v>
      </c>
    </row>
    <row r="9" spans="1:30">
      <c r="H9">
        <v>3</v>
      </c>
      <c r="I9">
        <v>1.25</v>
      </c>
      <c r="J9" t="s">
        <v>154</v>
      </c>
      <c r="T9" s="64" t="s">
        <v>161</v>
      </c>
      <c r="U9" s="65">
        <v>1.57</v>
      </c>
      <c r="V9" s="66" t="s">
        <v>108</v>
      </c>
      <c r="W9" s="61"/>
      <c r="X9" s="64" t="s">
        <v>161</v>
      </c>
      <c r="Y9" s="65">
        <v>2.6</v>
      </c>
      <c r="Z9" s="66" t="s">
        <v>108</v>
      </c>
      <c r="AB9" s="64" t="s">
        <v>161</v>
      </c>
      <c r="AC9" s="65">
        <v>2.13</v>
      </c>
      <c r="AD9" s="66" t="s">
        <v>108</v>
      </c>
    </row>
    <row r="10" spans="1:30">
      <c r="T10" s="64" t="s">
        <v>162</v>
      </c>
      <c r="U10" s="65">
        <v>8.65</v>
      </c>
      <c r="V10" s="67" t="s">
        <v>111</v>
      </c>
      <c r="W10" s="61"/>
      <c r="X10" s="64" t="s">
        <v>162</v>
      </c>
      <c r="Y10" s="65">
        <v>10.54</v>
      </c>
      <c r="Z10" s="67" t="s">
        <v>111</v>
      </c>
      <c r="AB10" s="64" t="s">
        <v>162</v>
      </c>
      <c r="AC10" s="65">
        <v>9.01</v>
      </c>
      <c r="AD10" s="67" t="s">
        <v>111</v>
      </c>
    </row>
    <row r="11" spans="1:30">
      <c r="B11">
        <v>2</v>
      </c>
      <c r="C11" t="s">
        <v>163</v>
      </c>
      <c r="K11" t="s">
        <v>153</v>
      </c>
      <c r="L11" s="39">
        <f>AVERAGE(I12:I14)</f>
        <v>2.1333333333333333</v>
      </c>
      <c r="N11" t="s">
        <v>154</v>
      </c>
      <c r="O11" t="s">
        <v>164</v>
      </c>
      <c r="T11" s="64" t="s">
        <v>165</v>
      </c>
      <c r="U11" s="65">
        <v>7.45</v>
      </c>
      <c r="V11" s="66" t="s">
        <v>116</v>
      </c>
      <c r="W11" s="61"/>
      <c r="X11" s="64" t="s">
        <v>165</v>
      </c>
      <c r="Y11" s="65">
        <v>7.32</v>
      </c>
      <c r="Z11" s="66" t="s">
        <v>116</v>
      </c>
      <c r="AB11" s="64" t="s">
        <v>165</v>
      </c>
      <c r="AC11" s="65">
        <v>7.29</v>
      </c>
      <c r="AD11" s="66" t="s">
        <v>116</v>
      </c>
    </row>
    <row r="12" spans="1:30">
      <c r="H12">
        <v>1</v>
      </c>
      <c r="I12">
        <v>2</v>
      </c>
      <c r="J12" t="s">
        <v>154</v>
      </c>
      <c r="M12" s="81" t="s">
        <v>159</v>
      </c>
      <c r="T12" s="64" t="s">
        <v>166</v>
      </c>
      <c r="U12" s="65">
        <v>4</v>
      </c>
      <c r="V12" s="66" t="s">
        <v>124</v>
      </c>
      <c r="W12" s="61"/>
      <c r="X12" s="64" t="s">
        <v>166</v>
      </c>
      <c r="Y12" s="65">
        <v>6.1</v>
      </c>
      <c r="Z12" s="66" t="s">
        <v>124</v>
      </c>
      <c r="AB12" s="64" t="s">
        <v>166</v>
      </c>
      <c r="AC12" s="65">
        <v>5.42</v>
      </c>
      <c r="AD12" s="66" t="s">
        <v>124</v>
      </c>
    </row>
    <row r="13" spans="1:30">
      <c r="H13">
        <v>2</v>
      </c>
      <c r="I13">
        <v>2.1</v>
      </c>
      <c r="J13" t="s">
        <v>154</v>
      </c>
      <c r="T13" s="64" t="s">
        <v>167</v>
      </c>
      <c r="U13" s="65">
        <v>14.93</v>
      </c>
      <c r="V13" s="67" t="s">
        <v>113</v>
      </c>
      <c r="W13" s="61"/>
      <c r="X13" s="64" t="s">
        <v>167</v>
      </c>
      <c r="Y13" s="65">
        <v>15.53</v>
      </c>
      <c r="Z13" s="67" t="s">
        <v>113</v>
      </c>
      <c r="AB13" s="64" t="s">
        <v>167</v>
      </c>
      <c r="AC13" s="65">
        <v>12.71</v>
      </c>
      <c r="AD13" s="67" t="s">
        <v>113</v>
      </c>
    </row>
    <row r="14" spans="1:30">
      <c r="H14">
        <v>3</v>
      </c>
      <c r="I14">
        <v>2.2999999999999998</v>
      </c>
      <c r="J14" t="s">
        <v>154</v>
      </c>
      <c r="T14" s="64" t="s">
        <v>168</v>
      </c>
      <c r="U14" s="65">
        <v>9.85</v>
      </c>
      <c r="V14" s="66" t="s">
        <v>90</v>
      </c>
      <c r="W14" s="61"/>
      <c r="X14" s="64" t="s">
        <v>168</v>
      </c>
      <c r="Y14" s="65">
        <v>10.1</v>
      </c>
      <c r="Z14" s="66" t="s">
        <v>90</v>
      </c>
      <c r="AB14" s="64" t="s">
        <v>168</v>
      </c>
      <c r="AC14" s="65">
        <v>9.09</v>
      </c>
      <c r="AD14" s="66" t="s">
        <v>90</v>
      </c>
    </row>
    <row r="15" spans="1:30">
      <c r="T15" s="64" t="s">
        <v>169</v>
      </c>
      <c r="U15" s="65">
        <v>5.5</v>
      </c>
      <c r="V15" s="66" t="s">
        <v>95</v>
      </c>
      <c r="W15" s="61"/>
      <c r="X15" s="64" t="s">
        <v>169</v>
      </c>
      <c r="Y15" s="65">
        <v>5.68</v>
      </c>
      <c r="Z15" s="66" t="s">
        <v>95</v>
      </c>
      <c r="AB15" s="64" t="s">
        <v>169</v>
      </c>
      <c r="AC15" s="65">
        <v>4.9800000000000004</v>
      </c>
      <c r="AD15" s="66" t="s">
        <v>95</v>
      </c>
    </row>
    <row r="16" spans="1:30">
      <c r="B16">
        <v>3</v>
      </c>
      <c r="C16" t="s">
        <v>170</v>
      </c>
      <c r="K16" t="s">
        <v>171</v>
      </c>
      <c r="L16">
        <f>AVERAGE(I17:I18)</f>
        <v>10</v>
      </c>
      <c r="T16" s="64" t="s">
        <v>172</v>
      </c>
      <c r="U16" s="65">
        <v>47.16</v>
      </c>
      <c r="V16" s="65" t="s">
        <v>173</v>
      </c>
      <c r="W16" s="61"/>
      <c r="X16" s="64" t="s">
        <v>174</v>
      </c>
      <c r="Y16" s="65">
        <v>42.23</v>
      </c>
      <c r="Z16" s="65" t="s">
        <v>173</v>
      </c>
      <c r="AB16" s="64" t="s">
        <v>175</v>
      </c>
      <c r="AC16" s="65">
        <v>39.72</v>
      </c>
      <c r="AD16" s="65" t="s">
        <v>173</v>
      </c>
    </row>
    <row r="17" spans="1:30">
      <c r="H17">
        <v>1</v>
      </c>
      <c r="I17">
        <v>5</v>
      </c>
      <c r="J17" t="s">
        <v>176</v>
      </c>
      <c r="M17" t="s">
        <v>177</v>
      </c>
      <c r="T17" s="71" t="s">
        <v>178</v>
      </c>
      <c r="U17" s="72">
        <v>179.31</v>
      </c>
      <c r="V17" s="72" t="s">
        <v>173</v>
      </c>
      <c r="W17" s="61"/>
      <c r="X17" s="62" t="s">
        <v>178</v>
      </c>
      <c r="Y17" s="63">
        <v>177.22</v>
      </c>
      <c r="Z17" s="63" t="s">
        <v>173</v>
      </c>
      <c r="AB17" s="68" t="s">
        <v>178</v>
      </c>
      <c r="AC17" s="68">
        <v>168.95</v>
      </c>
      <c r="AD17" s="68" t="s">
        <v>173</v>
      </c>
    </row>
    <row r="18" spans="1:30">
      <c r="H18">
        <v>2</v>
      </c>
      <c r="I18">
        <v>15</v>
      </c>
      <c r="J18" t="s">
        <v>176</v>
      </c>
    </row>
    <row r="20" spans="1:30">
      <c r="A20" t="s">
        <v>179</v>
      </c>
    </row>
    <row r="21" spans="1:30" ht="48">
      <c r="B21">
        <v>1</v>
      </c>
      <c r="C21" t="s">
        <v>180</v>
      </c>
      <c r="E21" s="13" t="s">
        <v>181</v>
      </c>
      <c r="G21" t="s">
        <v>182</v>
      </c>
    </row>
    <row r="22" spans="1:30">
      <c r="C22" t="s">
        <v>183</v>
      </c>
    </row>
    <row r="23" spans="1:30">
      <c r="C23" s="12" t="s">
        <v>184</v>
      </c>
    </row>
    <row r="25" spans="1:30">
      <c r="A25" t="s">
        <v>185</v>
      </c>
    </row>
    <row r="27" spans="1:30" ht="32">
      <c r="C27" t="s">
        <v>186</v>
      </c>
      <c r="G27" s="13" t="s">
        <v>187</v>
      </c>
      <c r="H27" s="12" t="s">
        <v>188</v>
      </c>
      <c r="K27" t="s">
        <v>189</v>
      </c>
    </row>
    <row r="28" spans="1:30">
      <c r="B28" t="s">
        <v>190</v>
      </c>
      <c r="C28" t="s">
        <v>191</v>
      </c>
      <c r="D28" t="s">
        <v>192</v>
      </c>
      <c r="E28" t="s">
        <v>84</v>
      </c>
      <c r="F28" t="s">
        <v>85</v>
      </c>
      <c r="G28" t="s">
        <v>193</v>
      </c>
      <c r="H28" t="s">
        <v>194</v>
      </c>
      <c r="I28" t="s">
        <v>195</v>
      </c>
      <c r="J28" t="s">
        <v>196</v>
      </c>
      <c r="K28" t="s">
        <v>197</v>
      </c>
      <c r="L28" t="s">
        <v>198</v>
      </c>
    </row>
    <row r="29" spans="1:30">
      <c r="B29" t="s">
        <v>144</v>
      </c>
      <c r="C29">
        <v>1</v>
      </c>
      <c r="D29" t="s">
        <v>122</v>
      </c>
      <c r="E29" t="s">
        <v>199</v>
      </c>
      <c r="F29" t="s">
        <v>33</v>
      </c>
      <c r="G29" s="39">
        <f>AVERAGE(U4,Y4,AC4)</f>
        <v>55.376666666666665</v>
      </c>
      <c r="H29" s="39">
        <f t="shared" ref="H29:H41" si="0">G29/$L$6</f>
        <v>46.405027932960891</v>
      </c>
      <c r="I29" s="39">
        <f t="shared" ref="I29:I41" si="1">G29/$L$11</f>
        <v>25.957812499999999</v>
      </c>
      <c r="J29">
        <f t="shared" ref="J29:J41" si="2">$L$16</f>
        <v>10</v>
      </c>
      <c r="K29" s="39">
        <f>SUM(SUM($H$29),J29)</f>
        <v>56.405027932960891</v>
      </c>
      <c r="L29" s="39">
        <f>SUM($I29,J29)</f>
        <v>35.957812500000003</v>
      </c>
    </row>
    <row r="30" spans="1:30">
      <c r="B30" t="s">
        <v>151</v>
      </c>
      <c r="C30">
        <v>2</v>
      </c>
      <c r="D30" t="s">
        <v>99</v>
      </c>
      <c r="E30" t="s">
        <v>200</v>
      </c>
      <c r="F30" t="s">
        <v>33</v>
      </c>
      <c r="G30" s="39">
        <f t="shared" ref="G30:G41" si="3">AVERAGE(U5,Y5,AC5)</f>
        <v>1.1433333333333333</v>
      </c>
      <c r="H30" s="39">
        <f t="shared" si="0"/>
        <v>0.95810055865921784</v>
      </c>
      <c r="I30" s="39">
        <f t="shared" si="1"/>
        <v>0.53593749999999996</v>
      </c>
      <c r="J30">
        <f t="shared" si="2"/>
        <v>10</v>
      </c>
      <c r="K30" s="39">
        <f>SUM(SUM($H$29:H30),SUM($J$29:J30))</f>
        <v>67.363128491620103</v>
      </c>
      <c r="L30" s="39">
        <f>SUM(SUM($I$29:I30),SUM($J$29:J30))</f>
        <v>46.493749999999999</v>
      </c>
    </row>
    <row r="31" spans="1:30">
      <c r="B31" t="s">
        <v>156</v>
      </c>
      <c r="C31">
        <v>3</v>
      </c>
      <c r="D31" t="s">
        <v>119</v>
      </c>
      <c r="E31" t="s">
        <v>201</v>
      </c>
      <c r="F31" t="s">
        <v>38</v>
      </c>
      <c r="G31" s="39">
        <f t="shared" si="3"/>
        <v>10.066666666666665</v>
      </c>
      <c r="H31" s="39">
        <f t="shared" si="0"/>
        <v>8.4357541899441326</v>
      </c>
      <c r="I31" s="39">
        <f t="shared" si="1"/>
        <v>4.7187499999999991</v>
      </c>
      <c r="J31">
        <f t="shared" si="2"/>
        <v>10</v>
      </c>
      <c r="K31" s="39">
        <f>SUM(SUM($H$29:H31),SUM($J$29:J31))</f>
        <v>85.798882681564237</v>
      </c>
      <c r="L31" s="39">
        <f>SUM(SUM($I$29:I31),SUM($J$29:J31))</f>
        <v>61.212499999999999</v>
      </c>
    </row>
    <row r="32" spans="1:30">
      <c r="B32" t="s">
        <v>158</v>
      </c>
      <c r="C32">
        <v>4</v>
      </c>
      <c r="D32" t="s">
        <v>103</v>
      </c>
      <c r="E32" t="s">
        <v>202</v>
      </c>
      <c r="F32" t="s">
        <v>41</v>
      </c>
      <c r="G32" s="39">
        <f t="shared" si="3"/>
        <v>7.5533333333333337</v>
      </c>
      <c r="H32" s="39">
        <f t="shared" si="0"/>
        <v>6.3296089385474863</v>
      </c>
      <c r="I32" s="39">
        <f t="shared" si="1"/>
        <v>3.5406250000000004</v>
      </c>
      <c r="J32">
        <f t="shared" si="2"/>
        <v>10</v>
      </c>
      <c r="K32" s="39">
        <f>SUM(SUM($H$29:H32),SUM($J$29:J32))</f>
        <v>102.12849162011173</v>
      </c>
      <c r="L32" s="39">
        <f>SUM(SUM($I$29:I32),SUM($J$29:J32))</f>
        <v>74.753124999999997</v>
      </c>
    </row>
    <row r="33" spans="2:12">
      <c r="B33" t="s">
        <v>160</v>
      </c>
      <c r="C33">
        <v>5</v>
      </c>
      <c r="D33" t="s">
        <v>106</v>
      </c>
      <c r="E33" t="s">
        <v>203</v>
      </c>
      <c r="F33" t="s">
        <v>45</v>
      </c>
      <c r="G33" s="39">
        <f t="shared" si="3"/>
        <v>4.5</v>
      </c>
      <c r="H33" s="39">
        <f t="shared" si="0"/>
        <v>3.7709497206703908</v>
      </c>
      <c r="I33" s="39">
        <f t="shared" si="1"/>
        <v>2.109375</v>
      </c>
      <c r="J33">
        <f t="shared" si="2"/>
        <v>10</v>
      </c>
      <c r="K33" s="39">
        <f>SUM(SUM($H$29:H33),SUM($J$29:J33))</f>
        <v>115.89944134078212</v>
      </c>
      <c r="L33" s="39">
        <f>SUM(SUM($I$29:I33),SUM($J$29:J33))</f>
        <v>86.862499999999997</v>
      </c>
    </row>
    <row r="34" spans="2:12">
      <c r="B34" t="s">
        <v>161</v>
      </c>
      <c r="C34">
        <v>6</v>
      </c>
      <c r="D34" t="s">
        <v>108</v>
      </c>
      <c r="E34" t="s">
        <v>204</v>
      </c>
      <c r="F34" t="s">
        <v>35</v>
      </c>
      <c r="G34" s="39">
        <f t="shared" si="3"/>
        <v>2.1</v>
      </c>
      <c r="H34" s="39">
        <f t="shared" si="0"/>
        <v>1.7597765363128492</v>
      </c>
      <c r="I34" s="39">
        <f t="shared" si="1"/>
        <v>0.984375</v>
      </c>
      <c r="J34">
        <f t="shared" si="2"/>
        <v>10</v>
      </c>
      <c r="K34" s="39">
        <f>SUM(SUM($H$29:H34),SUM($J$29:J34))</f>
        <v>127.65921787709497</v>
      </c>
      <c r="L34" s="39">
        <f>SUM(SUM($I$29:I34),SUM($J$29:J34))</f>
        <v>97.846874999999997</v>
      </c>
    </row>
    <row r="35" spans="2:12">
      <c r="B35" t="s">
        <v>162</v>
      </c>
      <c r="C35">
        <v>7</v>
      </c>
      <c r="D35" t="s">
        <v>111</v>
      </c>
      <c r="E35" t="s">
        <v>205</v>
      </c>
      <c r="F35" t="s">
        <v>35</v>
      </c>
      <c r="G35" s="39">
        <f t="shared" si="3"/>
        <v>9.3999999999999986</v>
      </c>
      <c r="H35" s="39">
        <f t="shared" si="0"/>
        <v>7.877094972067038</v>
      </c>
      <c r="I35" s="39">
        <f t="shared" si="1"/>
        <v>4.4062499999999991</v>
      </c>
      <c r="J35">
        <f t="shared" si="2"/>
        <v>10</v>
      </c>
      <c r="K35" s="39">
        <f>SUM(SUM($H$29:H35),SUM($J$29:J35))</f>
        <v>145.53631284916202</v>
      </c>
      <c r="L35" s="39">
        <f>SUM(SUM($I$29:I35),SUM($J$29:J35))</f>
        <v>112.253125</v>
      </c>
    </row>
    <row r="36" spans="2:12">
      <c r="B36" t="s">
        <v>165</v>
      </c>
      <c r="C36">
        <v>8</v>
      </c>
      <c r="D36" t="s">
        <v>116</v>
      </c>
      <c r="E36" t="s">
        <v>205</v>
      </c>
      <c r="F36" t="s">
        <v>45</v>
      </c>
      <c r="G36" s="39">
        <f t="shared" si="3"/>
        <v>7.3533333333333326</v>
      </c>
      <c r="H36" s="39">
        <f t="shared" si="0"/>
        <v>6.1620111731843572</v>
      </c>
      <c r="I36" s="39">
        <f t="shared" si="1"/>
        <v>3.4468749999999999</v>
      </c>
      <c r="J36">
        <f t="shared" si="2"/>
        <v>10</v>
      </c>
      <c r="K36" s="39">
        <f>SUM(SUM($H$29:H36),SUM($J$29:J36))</f>
        <v>161.69832402234636</v>
      </c>
      <c r="L36" s="39">
        <f>SUM(SUM($I$29:I36),SUM($J$29:J36))</f>
        <v>125.69999999999999</v>
      </c>
    </row>
    <row r="37" spans="2:12">
      <c r="B37" t="s">
        <v>166</v>
      </c>
      <c r="C37">
        <v>9</v>
      </c>
      <c r="D37" t="s">
        <v>124</v>
      </c>
      <c r="E37" t="s">
        <v>206</v>
      </c>
      <c r="F37" t="s">
        <v>33</v>
      </c>
      <c r="G37" s="39">
        <f t="shared" si="3"/>
        <v>5.1733333333333329</v>
      </c>
      <c r="H37" s="39">
        <f t="shared" si="0"/>
        <v>4.3351955307262564</v>
      </c>
      <c r="I37" s="39">
        <f t="shared" si="1"/>
        <v>2.4249999999999998</v>
      </c>
      <c r="J37">
        <f t="shared" si="2"/>
        <v>10</v>
      </c>
      <c r="K37" s="39">
        <f>SUM(SUM($H$29:H37),SUM($J$29:J37))</f>
        <v>176.03351955307261</v>
      </c>
      <c r="L37" s="39">
        <f>SUM(SUM($I$29:I37),SUM($J$29:J37))</f>
        <v>138.125</v>
      </c>
    </row>
    <row r="38" spans="2:12">
      <c r="B38" t="s">
        <v>167</v>
      </c>
      <c r="C38">
        <v>10</v>
      </c>
      <c r="D38" t="s">
        <v>113</v>
      </c>
      <c r="E38" t="s">
        <v>207</v>
      </c>
      <c r="F38" t="s">
        <v>45</v>
      </c>
      <c r="G38" s="39">
        <f t="shared" si="3"/>
        <v>14.39</v>
      </c>
      <c r="H38" s="39">
        <f t="shared" si="0"/>
        <v>12.058659217877095</v>
      </c>
      <c r="I38" s="39">
        <f t="shared" si="1"/>
        <v>6.7453125000000007</v>
      </c>
      <c r="J38">
        <f t="shared" si="2"/>
        <v>10</v>
      </c>
      <c r="K38" s="39">
        <f>SUM(SUM($H$29:H38),SUM($J$29:J38))</f>
        <v>198.09217877094972</v>
      </c>
      <c r="L38" s="39">
        <f>SUM(SUM($I$29:I38),SUM($J$29:J38))</f>
        <v>154.87031250000001</v>
      </c>
    </row>
    <row r="39" spans="2:12">
      <c r="B39" t="s">
        <v>168</v>
      </c>
      <c r="C39">
        <v>11</v>
      </c>
      <c r="D39" t="s">
        <v>90</v>
      </c>
      <c r="E39" t="s">
        <v>208</v>
      </c>
      <c r="F39" t="s">
        <v>38</v>
      </c>
      <c r="G39" s="39">
        <f t="shared" si="3"/>
        <v>9.68</v>
      </c>
      <c r="H39" s="39">
        <f t="shared" si="0"/>
        <v>8.1117318435754182</v>
      </c>
      <c r="I39" s="39">
        <f t="shared" si="1"/>
        <v>4.5374999999999996</v>
      </c>
      <c r="J39">
        <f t="shared" si="2"/>
        <v>10</v>
      </c>
      <c r="K39" s="39">
        <f>SUM(SUM($H$29:H39),SUM($J$29:J39))</f>
        <v>216.20391061452511</v>
      </c>
      <c r="L39" s="39">
        <f>SUM(SUM($I$29:I39),SUM($J$29:J39))</f>
        <v>169.40781250000001</v>
      </c>
    </row>
    <row r="40" spans="2:12">
      <c r="B40" t="s">
        <v>169</v>
      </c>
      <c r="C40">
        <v>12</v>
      </c>
      <c r="D40" t="s">
        <v>95</v>
      </c>
      <c r="E40" t="s">
        <v>208</v>
      </c>
      <c r="F40" t="s">
        <v>45</v>
      </c>
      <c r="G40" s="39">
        <f t="shared" si="3"/>
        <v>5.3866666666666667</v>
      </c>
      <c r="H40" s="39">
        <f t="shared" si="0"/>
        <v>4.5139664804469275</v>
      </c>
      <c r="I40" s="39">
        <f t="shared" si="1"/>
        <v>2.5249999999999999</v>
      </c>
      <c r="J40">
        <f t="shared" si="2"/>
        <v>10</v>
      </c>
      <c r="K40" s="39">
        <f>SUM(SUM($H$29:H40),SUM($J$29:J40))</f>
        <v>230.71787709497204</v>
      </c>
      <c r="L40" s="39">
        <f>SUM(SUM($I$29:I40),SUM($J$29:J40))</f>
        <v>181.93281250000001</v>
      </c>
    </row>
    <row r="41" spans="2:12">
      <c r="B41" t="s">
        <v>172</v>
      </c>
      <c r="E41" t="s">
        <v>209</v>
      </c>
      <c r="F41" t="s">
        <v>209</v>
      </c>
      <c r="G41" s="39">
        <f t="shared" si="3"/>
        <v>43.036666666666662</v>
      </c>
      <c r="H41" s="39">
        <f t="shared" si="0"/>
        <v>36.064245810055858</v>
      </c>
      <c r="I41" s="39">
        <f t="shared" si="1"/>
        <v>20.173437499999999</v>
      </c>
      <c r="J41">
        <f t="shared" si="2"/>
        <v>10</v>
      </c>
      <c r="K41" s="39">
        <f>SUM(SUM($H$29:H41),SUM($J$29:J41))</f>
        <v>276.7821229050279</v>
      </c>
      <c r="L41" s="39">
        <f>SUM(SUM($I$29:I41),SUM($J$29:J41))</f>
        <v>212.10624999999999</v>
      </c>
    </row>
    <row r="42" spans="2:12">
      <c r="J42">
        <f>SUM(J29:J41)</f>
        <v>130</v>
      </c>
    </row>
    <row r="49" spans="2:6">
      <c r="B49" t="s">
        <v>210</v>
      </c>
    </row>
    <row r="50" spans="2:6">
      <c r="B50" t="s">
        <v>211</v>
      </c>
      <c r="C50" s="39">
        <f>K41</f>
        <v>276.7821229050279</v>
      </c>
      <c r="E50" t="s">
        <v>212</v>
      </c>
      <c r="F50" s="39">
        <f>L41</f>
        <v>212.10624999999999</v>
      </c>
    </row>
    <row r="52" spans="2:6">
      <c r="C52" s="39"/>
      <c r="F52" s="39"/>
    </row>
    <row r="54" spans="2:6">
      <c r="C54" s="39"/>
    </row>
  </sheetData>
  <hyperlinks>
    <hyperlink ref="M7" r:id="rId1" xr:uid="{2333EEB0-CDF1-4C9A-995F-213059307EEC}"/>
    <hyperlink ref="M8" r:id="rId2" location="average-speed-by-age" xr:uid="{DFC6E494-0068-4B8B-A834-9E0BB2E3B365}"/>
    <hyperlink ref="M12" r:id="rId3" location="average-speed-by-age" xr:uid="{4FB8A508-19A7-46A2-B19C-252A1C7E5BB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08816-4B48-4F71-8F01-AFA37B12A7B2}">
  <dimension ref="A1:L108"/>
  <sheetViews>
    <sheetView topLeftCell="A9" zoomScale="86" zoomScaleNormal="86" workbookViewId="0">
      <selection activeCell="C21" sqref="C21"/>
    </sheetView>
  </sheetViews>
  <sheetFormatPr baseColWidth="10" defaultColWidth="8.83203125" defaultRowHeight="15"/>
  <cols>
    <col min="1" max="1" width="4.1640625" customWidth="1"/>
    <col min="3" max="3" width="57.33203125" customWidth="1"/>
    <col min="4" max="4" width="14.6640625" style="93" customWidth="1"/>
    <col min="5" max="5" width="13.33203125" customWidth="1"/>
    <col min="6" max="6" width="12.5" bestFit="1" customWidth="1"/>
    <col min="7" max="7" width="8.5" customWidth="1"/>
    <col min="9" max="9" width="27.6640625" customWidth="1"/>
    <col min="10" max="10" width="10.6640625" bestFit="1" customWidth="1"/>
    <col min="14" max="14" width="49.33203125" bestFit="1" customWidth="1"/>
    <col min="17" max="17" width="17.33203125" bestFit="1" customWidth="1"/>
    <col min="18" max="18" width="9.6640625" bestFit="1" customWidth="1"/>
    <col min="19" max="20" width="16.1640625" bestFit="1" customWidth="1"/>
  </cols>
  <sheetData>
    <row r="1" spans="1:9" ht="20">
      <c r="A1" t="s">
        <v>213</v>
      </c>
      <c r="B1" s="18"/>
      <c r="C1" s="17"/>
    </row>
    <row r="2" spans="1:9" ht="13.25" customHeight="1">
      <c r="A2" s="18"/>
      <c r="B2" s="18"/>
      <c r="C2" s="17"/>
    </row>
    <row r="3" spans="1:9" ht="13.25" customHeight="1">
      <c r="A3" t="s">
        <v>146</v>
      </c>
      <c r="C3" t="s">
        <v>147</v>
      </c>
      <c r="D3" s="94" t="s">
        <v>148</v>
      </c>
      <c r="E3" t="s">
        <v>82</v>
      </c>
      <c r="H3" t="s">
        <v>149</v>
      </c>
      <c r="I3" t="s">
        <v>150</v>
      </c>
    </row>
    <row r="4" spans="1:9" ht="13.25" customHeight="1">
      <c r="B4">
        <v>1</v>
      </c>
      <c r="C4" t="s">
        <v>214</v>
      </c>
      <c r="H4" t="s">
        <v>215</v>
      </c>
      <c r="I4" t="s">
        <v>216</v>
      </c>
    </row>
    <row r="5" spans="1:9" ht="13.25" customHeight="1">
      <c r="C5" t="s">
        <v>217</v>
      </c>
      <c r="D5" s="93">
        <v>1</v>
      </c>
      <c r="E5" t="s">
        <v>218</v>
      </c>
    </row>
    <row r="6" spans="1:9" ht="13" customHeight="1">
      <c r="D6" s="93">
        <v>2</v>
      </c>
      <c r="E6" t="s">
        <v>215</v>
      </c>
    </row>
    <row r="7" spans="1:9" ht="13" customHeight="1"/>
    <row r="8" spans="1:9" ht="13" customHeight="1">
      <c r="B8">
        <v>2</v>
      </c>
      <c r="C8" t="s">
        <v>219</v>
      </c>
      <c r="H8" t="s">
        <v>215</v>
      </c>
      <c r="I8" t="s">
        <v>216</v>
      </c>
    </row>
    <row r="9" spans="1:9" ht="13" customHeight="1">
      <c r="C9" t="s">
        <v>220</v>
      </c>
      <c r="D9" s="93">
        <v>1</v>
      </c>
      <c r="E9" t="s">
        <v>218</v>
      </c>
    </row>
    <row r="10" spans="1:9" ht="13" customHeight="1">
      <c r="D10" s="93">
        <v>2</v>
      </c>
      <c r="E10" t="s">
        <v>215</v>
      </c>
    </row>
    <row r="11" spans="1:9" ht="13" customHeight="1"/>
    <row r="12" spans="1:9" ht="13" customHeight="1">
      <c r="B12">
        <v>3</v>
      </c>
      <c r="C12" t="s">
        <v>221</v>
      </c>
      <c r="H12" t="s">
        <v>215</v>
      </c>
      <c r="I12" t="s">
        <v>222</v>
      </c>
    </row>
    <row r="13" spans="1:9" ht="13" customHeight="1">
      <c r="D13" s="93">
        <v>1</v>
      </c>
      <c r="E13" t="s">
        <v>218</v>
      </c>
    </row>
    <row r="14" spans="1:9" ht="13" customHeight="1">
      <c r="D14" s="93">
        <v>2</v>
      </c>
      <c r="E14" t="s">
        <v>215</v>
      </c>
    </row>
    <row r="15" spans="1:9" ht="13.25" customHeight="1"/>
    <row r="16" spans="1:9" ht="13.25" customHeight="1">
      <c r="A16" t="s">
        <v>179</v>
      </c>
    </row>
    <row r="17" spans="2:3" ht="13.25" customHeight="1">
      <c r="B17">
        <v>1</v>
      </c>
      <c r="C17" t="s">
        <v>223</v>
      </c>
    </row>
    <row r="18" spans="2:3" ht="13.25" customHeight="1">
      <c r="C18" t="s">
        <v>224</v>
      </c>
    </row>
    <row r="19" spans="2:3" ht="13.25" customHeight="1">
      <c r="C19" t="s">
        <v>225</v>
      </c>
    </row>
    <row r="20" spans="2:3" ht="13.25" customHeight="1">
      <c r="C20" t="s">
        <v>226</v>
      </c>
    </row>
    <row r="21" spans="2:3" ht="13.25" customHeight="1"/>
    <row r="22" spans="2:3" ht="13.25" customHeight="1">
      <c r="B22">
        <v>2</v>
      </c>
      <c r="C22" t="s">
        <v>227</v>
      </c>
    </row>
    <row r="23" spans="2:3" ht="13.25" customHeight="1">
      <c r="C23" t="s">
        <v>228</v>
      </c>
    </row>
    <row r="24" spans="2:3" ht="13.25" customHeight="1">
      <c r="C24" t="s">
        <v>229</v>
      </c>
    </row>
    <row r="25" spans="2:3" ht="13.25" customHeight="1">
      <c r="C25" t="s">
        <v>230</v>
      </c>
    </row>
    <row r="26" spans="2:3" ht="13.25" customHeight="1">
      <c r="C26" t="s">
        <v>226</v>
      </c>
    </row>
    <row r="27" spans="2:3" ht="13.25" customHeight="1"/>
    <row r="28" spans="2:3" ht="13.25" customHeight="1">
      <c r="B28">
        <v>3</v>
      </c>
      <c r="C28" t="s">
        <v>231</v>
      </c>
    </row>
    <row r="29" spans="2:3" ht="13.25" customHeight="1">
      <c r="C29" t="s">
        <v>232</v>
      </c>
    </row>
    <row r="30" spans="2:3" ht="13.25" customHeight="1">
      <c r="C30" t="s">
        <v>226</v>
      </c>
    </row>
    <row r="31" spans="2:3" ht="13.25" customHeight="1"/>
    <row r="32" spans="2:3" ht="13.25" customHeight="1"/>
    <row r="33" spans="1:5">
      <c r="A33" t="s">
        <v>233</v>
      </c>
    </row>
    <row r="34" spans="1:5">
      <c r="B34">
        <v>1</v>
      </c>
      <c r="C34" t="s">
        <v>234</v>
      </c>
      <c r="D34" s="39">
        <f>AVERAGE('A Assembly'!F72,'A Assembly'!W72)/60</f>
        <v>7.2001666666666662</v>
      </c>
      <c r="E34" t="s">
        <v>235</v>
      </c>
    </row>
    <row r="35" spans="1:5">
      <c r="B35">
        <v>2</v>
      </c>
      <c r="C35" t="s">
        <v>236</v>
      </c>
      <c r="D35" s="39">
        <f>AVERAGE('A Picking'!C50,'A Picking'!F50)/60</f>
        <v>4.0740697742085654</v>
      </c>
      <c r="E35" t="s">
        <v>235</v>
      </c>
    </row>
    <row r="36" spans="1:5">
      <c r="B36">
        <v>3</v>
      </c>
      <c r="C36" t="s">
        <v>237</v>
      </c>
      <c r="D36">
        <v>8</v>
      </c>
      <c r="E36" t="s">
        <v>238</v>
      </c>
    </row>
    <row r="37" spans="1:5">
      <c r="B37">
        <v>4</v>
      </c>
      <c r="C37" t="s">
        <v>239</v>
      </c>
      <c r="D37">
        <v>3</v>
      </c>
      <c r="E37" t="s">
        <v>240</v>
      </c>
    </row>
    <row r="38" spans="1:5">
      <c r="B38">
        <v>5</v>
      </c>
      <c r="C38" t="s">
        <v>241</v>
      </c>
      <c r="D38">
        <v>2</v>
      </c>
      <c r="E38" t="s">
        <v>242</v>
      </c>
    </row>
    <row r="39" spans="1:5">
      <c r="B39">
        <v>6</v>
      </c>
      <c r="C39" t="s">
        <v>243</v>
      </c>
      <c r="D39" s="100">
        <f>'A Assembly'!P71/100</f>
        <v>0.02</v>
      </c>
    </row>
    <row r="40" spans="1:5">
      <c r="B40">
        <v>7</v>
      </c>
      <c r="C40" t="s">
        <v>244</v>
      </c>
      <c r="D40" s="100">
        <f>'A Assembly'!P67/100</f>
        <v>9.5000000000000001E-2</v>
      </c>
    </row>
    <row r="41" spans="1:5">
      <c r="B41">
        <v>8</v>
      </c>
      <c r="C41" t="s">
        <v>245</v>
      </c>
      <c r="D41" s="93">
        <v>10</v>
      </c>
    </row>
    <row r="43" spans="1:5">
      <c r="A43" t="s">
        <v>246</v>
      </c>
    </row>
    <row r="45" spans="1:5">
      <c r="B45" t="s">
        <v>247</v>
      </c>
      <c r="E45" s="19"/>
    </row>
    <row r="46" spans="1:5">
      <c r="C46" t="s">
        <v>248</v>
      </c>
      <c r="D46">
        <v>1</v>
      </c>
      <c r="E46" t="s">
        <v>238</v>
      </c>
    </row>
    <row r="47" spans="1:5">
      <c r="C47" t="s">
        <v>249</v>
      </c>
      <c r="D47">
        <v>8</v>
      </c>
      <c r="E47" t="s">
        <v>238</v>
      </c>
    </row>
    <row r="48" spans="1:5">
      <c r="D48"/>
    </row>
    <row r="49" spans="3:6">
      <c r="C49" t="s">
        <v>250</v>
      </c>
      <c r="D49" s="39">
        <f>D46/(D34/60)</f>
        <v>8.3331404365639692</v>
      </c>
      <c r="E49" t="s">
        <v>251</v>
      </c>
    </row>
    <row r="50" spans="3:6">
      <c r="C50" t="s">
        <v>252</v>
      </c>
      <c r="D50" s="39">
        <f>D49*D47</f>
        <v>66.665123492511754</v>
      </c>
      <c r="E50" t="s">
        <v>253</v>
      </c>
    </row>
    <row r="51" spans="3:6">
      <c r="C51" t="str">
        <f>"TrackRs made by "&amp;D37&amp;" tables Per Shift"</f>
        <v>TrackRs made by 3 tables Per Shift</v>
      </c>
      <c r="D51" s="39">
        <f>D50*D37</f>
        <v>199.99537047753526</v>
      </c>
      <c r="E51" t="s">
        <v>254</v>
      </c>
    </row>
    <row r="52" spans="3:6">
      <c r="C52" t="str">
        <f>"TrackRs per day in "&amp;D38&amp;" shifts"</f>
        <v>TrackRs per day in 2 shifts</v>
      </c>
      <c r="D52" s="39">
        <f>D51*D38</f>
        <v>399.99074095507052</v>
      </c>
      <c r="E52" t="s">
        <v>254</v>
      </c>
    </row>
    <row r="53" spans="3:6">
      <c r="C53" t="s">
        <v>255</v>
      </c>
      <c r="D53" s="113">
        <f>D39+D40</f>
        <v>0.115</v>
      </c>
    </row>
    <row r="54" spans="3:6">
      <c r="C54" t="s">
        <v>256</v>
      </c>
      <c r="D54" s="39">
        <f>D52*(1-D53)</f>
        <v>353.9918057452374</v>
      </c>
      <c r="E54" t="s">
        <v>254</v>
      </c>
    </row>
    <row r="56" spans="3:6">
      <c r="C56" t="s">
        <v>257</v>
      </c>
    </row>
    <row r="57" spans="3:6">
      <c r="C57" t="s">
        <v>258</v>
      </c>
    </row>
    <row r="59" spans="3:6">
      <c r="D59" s="93" t="s">
        <v>93</v>
      </c>
      <c r="E59" t="s">
        <v>97</v>
      </c>
      <c r="F59" t="s">
        <v>101</v>
      </c>
    </row>
    <row r="60" spans="3:6">
      <c r="C60" t="s">
        <v>259</v>
      </c>
      <c r="D60" s="95">
        <f>'A WholeSale'!G6</f>
        <v>140</v>
      </c>
      <c r="E60" s="16">
        <f>'A WholeSale'!G7</f>
        <v>115</v>
      </c>
      <c r="F60" s="16">
        <f>'A WholeSale'!G8</f>
        <v>155</v>
      </c>
    </row>
    <row r="61" spans="3:6">
      <c r="C61" t="s">
        <v>260</v>
      </c>
      <c r="D61" s="95">
        <f>Components!L4</f>
        <v>99.16</v>
      </c>
      <c r="E61" s="16">
        <f>Components!L5</f>
        <v>95.16</v>
      </c>
      <c r="F61" s="16">
        <f>Components!L6</f>
        <v>104.16</v>
      </c>
    </row>
    <row r="62" spans="3:6">
      <c r="C62" t="s">
        <v>261</v>
      </c>
      <c r="D62" s="95">
        <f>D41</f>
        <v>10</v>
      </c>
      <c r="E62" s="16">
        <f>D41</f>
        <v>10</v>
      </c>
      <c r="F62" s="16">
        <f>D41</f>
        <v>10</v>
      </c>
    </row>
    <row r="63" spans="3:6">
      <c r="C63" t="s">
        <v>262</v>
      </c>
      <c r="D63" s="39">
        <f>'A VerAvgProdn'!D18</f>
        <v>96.107793522267201</v>
      </c>
      <c r="E63" s="39">
        <f>'A VerAvgProdn'!D19</f>
        <v>81.200724637681162</v>
      </c>
      <c r="F63" s="39">
        <f>'A VerAvgProdn'!D20</f>
        <v>74.820524620340549</v>
      </c>
    </row>
    <row r="64" spans="3:6">
      <c r="C64" t="s">
        <v>263</v>
      </c>
      <c r="D64" s="113">
        <f>D63/SUM($D$63:$F$63)</f>
        <v>0.38118493792885955</v>
      </c>
      <c r="E64" s="20">
        <f>E63/SUM($D$63:$F$63)</f>
        <v>0.32206017895543021</v>
      </c>
      <c r="F64" s="20">
        <f t="shared" ref="F64" si="0">F63/SUM($D$63:$F$63)</f>
        <v>0.2967548831157103</v>
      </c>
    </row>
    <row r="65" spans="2:12">
      <c r="C65" t="s">
        <v>264</v>
      </c>
      <c r="D65" s="95">
        <f>D60-(D61+D62)</f>
        <v>30.840000000000003</v>
      </c>
      <c r="E65" s="16">
        <f>E60-(E61+E62)</f>
        <v>9.8400000000000034</v>
      </c>
      <c r="F65" s="16">
        <f>F60-(F61+F62)</f>
        <v>40.840000000000003</v>
      </c>
    </row>
    <row r="67" spans="2:12">
      <c r="B67" t="s">
        <v>265</v>
      </c>
    </row>
    <row r="68" spans="2:12">
      <c r="C68" t="s">
        <v>266</v>
      </c>
      <c r="D68" s="95">
        <f>D65*D64*$D54</f>
        <v>4161.4368643899688</v>
      </c>
      <c r="E68" s="16">
        <f t="shared" ref="E68:F68" si="1">E65*E64*$D54</f>
        <v>1121.8255767815401</v>
      </c>
      <c r="F68" s="16">
        <f t="shared" si="1"/>
        <v>4290.1928669416784</v>
      </c>
    </row>
    <row r="69" spans="2:12">
      <c r="C69" t="s">
        <v>267</v>
      </c>
    </row>
    <row r="71" spans="2:12">
      <c r="C71" t="s">
        <v>268</v>
      </c>
      <c r="D71" s="93">
        <f>D61*(D52-D54)*D64</f>
        <v>1738.6814812146736</v>
      </c>
      <c r="E71" s="15">
        <f>E61*(D52-D54)*E64</f>
        <v>1409.7407120654891</v>
      </c>
      <c r="F71" s="15">
        <f>F61*(D52-D54)*F64</f>
        <v>1421.826564113343</v>
      </c>
    </row>
    <row r="73" spans="2:12">
      <c r="C73" t="s">
        <v>269</v>
      </c>
      <c r="D73" s="95">
        <f>SUM(D68:F68)-SUM(D71:F71)</f>
        <v>5003.2065507196812</v>
      </c>
      <c r="J73" s="21"/>
      <c r="K73" s="21"/>
      <c r="L73" s="21"/>
    </row>
    <row r="74" spans="2:12">
      <c r="J74" s="21"/>
      <c r="K74" s="21"/>
      <c r="L74" s="21"/>
    </row>
    <row r="75" spans="2:12">
      <c r="B75" t="s">
        <v>270</v>
      </c>
      <c r="D75" s="93" t="s">
        <v>271</v>
      </c>
      <c r="F75" t="s">
        <v>272</v>
      </c>
    </row>
    <row r="76" spans="2:12">
      <c r="C76" t="s">
        <v>273</v>
      </c>
      <c r="D76" s="95">
        <f>'A Employees'!F10</f>
        <v>22</v>
      </c>
      <c r="E76" t="s">
        <v>274</v>
      </c>
      <c r="F76">
        <f>'A Employees'!E10</f>
        <v>12</v>
      </c>
    </row>
    <row r="77" spans="2:12">
      <c r="C77" t="s">
        <v>275</v>
      </c>
      <c r="D77" s="95">
        <f>'A Employees'!F9</f>
        <v>26</v>
      </c>
      <c r="E77" t="s">
        <v>274</v>
      </c>
      <c r="F77">
        <f>'A Employees'!E9</f>
        <v>6</v>
      </c>
    </row>
    <row r="78" spans="2:12">
      <c r="C78" t="s">
        <v>276</v>
      </c>
      <c r="D78" s="95">
        <f>'A Employees'!F11</f>
        <v>26</v>
      </c>
      <c r="E78" t="s">
        <v>274</v>
      </c>
      <c r="F78">
        <f>'A Employees'!E11</f>
        <v>6</v>
      </c>
    </row>
    <row r="80" spans="2:12">
      <c r="C80" t="s">
        <v>277</v>
      </c>
      <c r="D80" s="100">
        <v>0.2</v>
      </c>
    </row>
    <row r="82" spans="2:10">
      <c r="C82" t="s">
        <v>278</v>
      </c>
      <c r="D82" s="95">
        <f>(D76*F76+D77*F77+D78*F78)*D36*(1+D80)</f>
        <v>5529.5999999999995</v>
      </c>
    </row>
    <row r="84" spans="2:10">
      <c r="B84" t="s">
        <v>279</v>
      </c>
      <c r="I84" s="61" t="s">
        <v>280</v>
      </c>
    </row>
    <row r="85" spans="2:10" ht="32">
      <c r="C85" s="22" t="s">
        <v>281</v>
      </c>
      <c r="D85" s="96" t="s">
        <v>282</v>
      </c>
      <c r="E85" s="13" t="s">
        <v>283</v>
      </c>
      <c r="F85" t="s">
        <v>284</v>
      </c>
      <c r="I85" s="92" t="s">
        <v>285</v>
      </c>
    </row>
    <row r="86" spans="2:10">
      <c r="C86" t="s">
        <v>286</v>
      </c>
      <c r="D86" s="97">
        <f>VLOOKUP(C86,Table2[[Role]:[Amount]],3,FALSE)</f>
        <v>30</v>
      </c>
      <c r="E86" s="98">
        <f>VLOOKUP(C86,Table2[[Role]:[Amount]],2,FALSE)</f>
        <v>3</v>
      </c>
      <c r="F86">
        <v>8</v>
      </c>
      <c r="I86" s="99">
        <f t="shared" ref="I86:I92" si="2">D86*E86*F86</f>
        <v>720</v>
      </c>
    </row>
    <row r="87" spans="2:10">
      <c r="C87" t="s">
        <v>287</v>
      </c>
      <c r="D87" s="97">
        <f>VLOOKUP(C87,Table2[[Role]:[Amount]],3,FALSE)</f>
        <v>26</v>
      </c>
      <c r="E87" s="98">
        <f>VLOOKUP(C87,Table2[[Role]:[Amount]],2,FALSE)</f>
        <v>3</v>
      </c>
      <c r="F87">
        <v>8</v>
      </c>
      <c r="I87" s="99">
        <f t="shared" si="2"/>
        <v>624</v>
      </c>
    </row>
    <row r="88" spans="2:10">
      <c r="C88" t="s">
        <v>288</v>
      </c>
      <c r="D88" s="97">
        <f>VLOOKUP(C88,Table2[[Role]:[Amount]],3,FALSE)</f>
        <v>30</v>
      </c>
      <c r="E88" s="98">
        <f>VLOOKUP(C88,Table2[[Role]:[Amount]],2,FALSE)</f>
        <v>2</v>
      </c>
      <c r="F88">
        <v>8</v>
      </c>
      <c r="I88" s="99">
        <f t="shared" si="2"/>
        <v>480</v>
      </c>
    </row>
    <row r="89" spans="2:10">
      <c r="C89" t="s">
        <v>289</v>
      </c>
      <c r="D89" s="97">
        <f>VLOOKUP(C89,Table36[[Role]:[Amount]],3,FALSE)</f>
        <v>21.306818181818183</v>
      </c>
      <c r="E89" s="98">
        <f>VLOOKUP(C89,Table3[[Role]:[Amount]],2,FALSE)</f>
        <v>2</v>
      </c>
      <c r="F89">
        <v>8</v>
      </c>
      <c r="I89" s="99">
        <f t="shared" si="2"/>
        <v>340.90909090909093</v>
      </c>
    </row>
    <row r="90" spans="2:10">
      <c r="C90" t="s">
        <v>290</v>
      </c>
      <c r="D90" s="97">
        <f>VLOOKUP(C90,Table2[[Role]:[Amount]],3,FALSE)</f>
        <v>26</v>
      </c>
      <c r="E90" s="98">
        <f>VLOOKUP(C90,Table2[[Role]:[Amount]],2,FALSE)</f>
        <v>2</v>
      </c>
      <c r="F90">
        <v>8</v>
      </c>
      <c r="I90" s="99">
        <f t="shared" si="2"/>
        <v>416</v>
      </c>
    </row>
    <row r="91" spans="2:10">
      <c r="C91" t="s">
        <v>291</v>
      </c>
      <c r="D91" s="97">
        <f>VLOOKUP(C91,Table36[[Role]:[Amount]],3,FALSE)</f>
        <v>19.886363636363637</v>
      </c>
      <c r="E91" s="98">
        <f>VLOOKUP(C91,Table3[[Role]:[Amount]],2,FALSE)</f>
        <v>3</v>
      </c>
      <c r="F91">
        <v>8</v>
      </c>
      <c r="I91" s="99">
        <f t="shared" si="2"/>
        <v>477.27272727272725</v>
      </c>
    </row>
    <row r="92" spans="2:10">
      <c r="C92" t="s">
        <v>292</v>
      </c>
      <c r="D92" s="97">
        <f>VLOOKUP(C92,Table36[[Role]:[Amount]],3,FALSE)</f>
        <v>28.40909090909091</v>
      </c>
      <c r="E92" s="98">
        <f>VLOOKUP(C92,Table3[[Role]:[Amount]],2,FALSE)</f>
        <v>2</v>
      </c>
      <c r="F92">
        <v>8</v>
      </c>
      <c r="I92" s="99">
        <f t="shared" si="2"/>
        <v>454.54545454545456</v>
      </c>
    </row>
    <row r="93" spans="2:10">
      <c r="I93" s="61">
        <f>SUM(I86:I92)</f>
        <v>3512.7272727272725</v>
      </c>
    </row>
    <row r="94" spans="2:10">
      <c r="C94" t="s">
        <v>293</v>
      </c>
      <c r="D94" s="100">
        <v>0.5</v>
      </c>
      <c r="I94" s="88"/>
    </row>
    <row r="96" spans="2:10" ht="21.25" customHeight="1">
      <c r="C96" t="s">
        <v>294</v>
      </c>
      <c r="D96" s="93">
        <f>D94*I93</f>
        <v>1756.3636363636363</v>
      </c>
      <c r="J96" s="91"/>
    </row>
    <row r="97" spans="2:5" ht="23.5" customHeight="1"/>
    <row r="98" spans="2:5">
      <c r="B98" t="s">
        <v>295</v>
      </c>
    </row>
    <row r="99" spans="2:5">
      <c r="C99" t="s">
        <v>296</v>
      </c>
      <c r="D99" s="95">
        <v>42</v>
      </c>
      <c r="E99" t="s">
        <v>297</v>
      </c>
    </row>
    <row r="100" spans="2:5">
      <c r="C100" t="s">
        <v>298</v>
      </c>
      <c r="D100" s="93">
        <v>24</v>
      </c>
      <c r="E100" t="s">
        <v>299</v>
      </c>
    </row>
    <row r="102" spans="2:5">
      <c r="B102" t="s">
        <v>300</v>
      </c>
    </row>
    <row r="103" spans="2:5">
      <c r="C103" t="s">
        <v>301</v>
      </c>
      <c r="D103" s="93">
        <f>D73</f>
        <v>5003.2065507196812</v>
      </c>
    </row>
    <row r="104" spans="2:5">
      <c r="C104" t="s">
        <v>302</v>
      </c>
      <c r="D104" s="93">
        <f>-D82</f>
        <v>-5529.5999999999995</v>
      </c>
    </row>
    <row r="105" spans="2:5">
      <c r="C105" t="s">
        <v>303</v>
      </c>
      <c r="D105" s="93">
        <f>-D96</f>
        <v>-1756.3636363636363</v>
      </c>
    </row>
    <row r="106" spans="2:5">
      <c r="C106" t="s">
        <v>295</v>
      </c>
      <c r="D106" s="95">
        <f>-(D99*D100)</f>
        <v>-1008</v>
      </c>
    </row>
    <row r="108" spans="2:5">
      <c r="C108" s="14" t="s">
        <v>304</v>
      </c>
      <c r="D108" s="93">
        <f>SUM(D103:D107)</f>
        <v>-3290.7570856439543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46082-347D-4E48-B9EC-0EFC6118EF9D}">
  <dimension ref="A2:AB162"/>
  <sheetViews>
    <sheetView topLeftCell="A38" zoomScale="82" zoomScaleNormal="82" workbookViewId="0">
      <selection activeCell="E32" sqref="E32"/>
    </sheetView>
  </sheetViews>
  <sheetFormatPr baseColWidth="10" defaultColWidth="8.83203125" defaultRowHeight="15"/>
  <cols>
    <col min="1" max="1" width="3.33203125" customWidth="1"/>
    <col min="3" max="3" width="103.83203125" bestFit="1" customWidth="1"/>
    <col min="4" max="4" width="12.5" customWidth="1"/>
    <col min="5" max="5" width="33.5" bestFit="1" customWidth="1"/>
    <col min="7" max="7" width="15.33203125" customWidth="1"/>
    <col min="8" max="8" width="11.33203125" customWidth="1"/>
    <col min="9" max="10" width="13.6640625" bestFit="1" customWidth="1"/>
    <col min="11" max="11" width="12" customWidth="1"/>
    <col min="12" max="12" width="14.5" customWidth="1"/>
    <col min="13" max="13" width="11.5" customWidth="1"/>
    <col min="18" max="18" width="10.83203125" customWidth="1"/>
    <col min="19" max="19" width="9.33203125" bestFit="1" customWidth="1"/>
    <col min="21" max="21" width="12.1640625" customWidth="1"/>
    <col min="22" max="22" width="11.33203125" customWidth="1"/>
    <col min="23" max="23" width="14" customWidth="1"/>
    <col min="24" max="25" width="10.5" bestFit="1" customWidth="1"/>
  </cols>
  <sheetData>
    <row r="2" spans="1:17">
      <c r="A2" t="s">
        <v>305</v>
      </c>
    </row>
    <row r="3" spans="1:17">
      <c r="B3" t="s">
        <v>306</v>
      </c>
      <c r="C3" t="s">
        <v>307</v>
      </c>
      <c r="D3" t="s">
        <v>308</v>
      </c>
      <c r="E3" t="s">
        <v>309</v>
      </c>
    </row>
    <row r="4" spans="1:17">
      <c r="B4" t="s">
        <v>86</v>
      </c>
      <c r="C4" t="str">
        <f>'A Employees'!$D$10</f>
        <v>Team Member</v>
      </c>
      <c r="D4">
        <f>'A Employees'!$F$10</f>
        <v>22</v>
      </c>
      <c r="E4" s="86">
        <f>D4/3600</f>
        <v>6.1111111111111114E-3</v>
      </c>
      <c r="Q4" t="s">
        <v>310</v>
      </c>
    </row>
    <row r="5" spans="1:17">
      <c r="B5" t="s">
        <v>87</v>
      </c>
      <c r="C5" t="str">
        <f>'A Employees'!$D$10</f>
        <v>Team Member</v>
      </c>
      <c r="D5">
        <f>'A Employees'!$F$10</f>
        <v>22</v>
      </c>
      <c r="E5" s="86">
        <f>D5/3600</f>
        <v>6.1111111111111114E-3</v>
      </c>
    </row>
    <row r="7" spans="1:17">
      <c r="A7" t="s">
        <v>146</v>
      </c>
      <c r="C7" t="s">
        <v>147</v>
      </c>
      <c r="D7" s="14" t="s">
        <v>148</v>
      </c>
      <c r="E7" t="s">
        <v>82</v>
      </c>
      <c r="H7" t="s">
        <v>149</v>
      </c>
      <c r="I7" t="s">
        <v>150</v>
      </c>
    </row>
    <row r="8" spans="1:17">
      <c r="B8">
        <v>1</v>
      </c>
      <c r="C8" t="s">
        <v>311</v>
      </c>
      <c r="H8" t="s">
        <v>18</v>
      </c>
      <c r="J8" t="s">
        <v>154</v>
      </c>
      <c r="K8" t="s">
        <v>312</v>
      </c>
    </row>
    <row r="9" spans="1:17">
      <c r="D9">
        <v>1</v>
      </c>
      <c r="E9" t="s">
        <v>313</v>
      </c>
      <c r="H9">
        <f>'A Picking'!I17</f>
        <v>5</v>
      </c>
      <c r="J9" t="s">
        <v>154</v>
      </c>
    </row>
    <row r="10" spans="1:17">
      <c r="D10">
        <v>2</v>
      </c>
      <c r="E10" t="s">
        <v>314</v>
      </c>
      <c r="H10">
        <f>'A Picking'!I18</f>
        <v>15</v>
      </c>
      <c r="J10" t="s">
        <v>154</v>
      </c>
    </row>
    <row r="11" spans="1:17">
      <c r="D11">
        <v>3</v>
      </c>
      <c r="E11" t="s">
        <v>315</v>
      </c>
      <c r="H11">
        <f>'A Picking'!J29</f>
        <v>10</v>
      </c>
      <c r="J11" t="s">
        <v>154</v>
      </c>
    </row>
    <row r="13" spans="1:17">
      <c r="B13">
        <v>2</v>
      </c>
      <c r="C13" t="s">
        <v>316</v>
      </c>
      <c r="H13" t="str">
        <f>E14</f>
        <v>Maintenance Workers</v>
      </c>
    </row>
    <row r="14" spans="1:17">
      <c r="D14">
        <v>1</v>
      </c>
      <c r="E14" t="s">
        <v>317</v>
      </c>
    </row>
    <row r="15" spans="1:17">
      <c r="D15">
        <v>2</v>
      </c>
      <c r="E15" t="s">
        <v>318</v>
      </c>
    </row>
    <row r="16" spans="1:17">
      <c r="D16">
        <v>3</v>
      </c>
      <c r="E16" t="s">
        <v>319</v>
      </c>
    </row>
    <row r="18" spans="1:8">
      <c r="B18">
        <v>3</v>
      </c>
      <c r="C18" t="s">
        <v>320</v>
      </c>
      <c r="H18" t="str">
        <f>E19</f>
        <v>Maintenance Workers</v>
      </c>
    </row>
    <row r="19" spans="1:8">
      <c r="D19">
        <v>1</v>
      </c>
      <c r="E19" t="s">
        <v>317</v>
      </c>
    </row>
    <row r="20" spans="1:8">
      <c r="D20">
        <v>2</v>
      </c>
      <c r="E20" t="s">
        <v>318</v>
      </c>
    </row>
    <row r="21" spans="1:8">
      <c r="D21">
        <v>3</v>
      </c>
      <c r="E21" t="s">
        <v>319</v>
      </c>
    </row>
    <row r="23" spans="1:8">
      <c r="B23">
        <v>4</v>
      </c>
    </row>
    <row r="27" spans="1:8">
      <c r="A27" t="s">
        <v>179</v>
      </c>
    </row>
    <row r="28" spans="1:8">
      <c r="C28" t="s">
        <v>321</v>
      </c>
      <c r="D28" t="s">
        <v>322</v>
      </c>
    </row>
    <row r="29" spans="1:8">
      <c r="D29" t="s">
        <v>323</v>
      </c>
    </row>
    <row r="31" spans="1:8">
      <c r="A31" t="s">
        <v>233</v>
      </c>
    </row>
    <row r="32" spans="1:8">
      <c r="B32">
        <v>1</v>
      </c>
      <c r="C32" t="s">
        <v>324</v>
      </c>
      <c r="E32" t="s">
        <v>325</v>
      </c>
      <c r="F32" t="s">
        <v>326</v>
      </c>
    </row>
    <row r="33" spans="1:28">
      <c r="B33">
        <v>2</v>
      </c>
      <c r="C33" t="s">
        <v>327</v>
      </c>
      <c r="E33">
        <v>1.7</v>
      </c>
      <c r="G33">
        <v>8.51</v>
      </c>
      <c r="H33" t="s">
        <v>328</v>
      </c>
    </row>
    <row r="34" spans="1:28">
      <c r="B34">
        <v>3</v>
      </c>
      <c r="C34" t="s">
        <v>329</v>
      </c>
      <c r="E34">
        <v>0.79</v>
      </c>
      <c r="G34">
        <v>3.89</v>
      </c>
      <c r="H34" t="s">
        <v>328</v>
      </c>
    </row>
    <row r="35" spans="1:28">
      <c r="B35">
        <v>4</v>
      </c>
      <c r="C35" t="s">
        <v>330</v>
      </c>
      <c r="E35">
        <v>2.08</v>
      </c>
      <c r="G35">
        <v>10.41</v>
      </c>
      <c r="H35" t="s">
        <v>328</v>
      </c>
    </row>
    <row r="37" spans="1:28">
      <c r="A37" t="s">
        <v>331</v>
      </c>
      <c r="D37" t="s">
        <v>332</v>
      </c>
    </row>
    <row r="38" spans="1:28" ht="64">
      <c r="B38" t="s">
        <v>333</v>
      </c>
      <c r="C38" t="s">
        <v>334</v>
      </c>
      <c r="E38" t="s">
        <v>335</v>
      </c>
      <c r="F38" s="83" t="s">
        <v>336</v>
      </c>
      <c r="G38" s="13" t="s">
        <v>337</v>
      </c>
      <c r="H38" s="83" t="s">
        <v>338</v>
      </c>
      <c r="I38" s="13" t="s">
        <v>339</v>
      </c>
      <c r="J38" s="13" t="s">
        <v>340</v>
      </c>
      <c r="K38" s="83" t="s">
        <v>341</v>
      </c>
      <c r="L38" s="83" t="s">
        <v>342</v>
      </c>
      <c r="M38" s="83" t="s">
        <v>343</v>
      </c>
      <c r="N38" s="13" t="s">
        <v>344</v>
      </c>
      <c r="O38" s="13" t="s">
        <v>345</v>
      </c>
      <c r="P38" s="13" t="s">
        <v>346</v>
      </c>
      <c r="Q38" s="84" t="s">
        <v>347</v>
      </c>
      <c r="R38" s="13" t="s">
        <v>348</v>
      </c>
      <c r="S38" s="13" t="s">
        <v>349</v>
      </c>
      <c r="T38" s="13" t="s">
        <v>350</v>
      </c>
      <c r="U38" s="13" t="s">
        <v>351</v>
      </c>
      <c r="V38" s="13" t="s">
        <v>352</v>
      </c>
      <c r="W38" s="13" t="s">
        <v>353</v>
      </c>
      <c r="X38" s="13" t="s">
        <v>354</v>
      </c>
      <c r="Y38" s="13" t="s">
        <v>355</v>
      </c>
      <c r="Z38" s="13" t="s">
        <v>356</v>
      </c>
      <c r="AA38" s="13" t="s">
        <v>357</v>
      </c>
      <c r="AB38" s="13"/>
    </row>
    <row r="39" spans="1:28">
      <c r="B39">
        <v>1</v>
      </c>
      <c r="C39" t="s">
        <v>358</v>
      </c>
      <c r="E39">
        <v>14</v>
      </c>
      <c r="F39">
        <f>E39</f>
        <v>14</v>
      </c>
      <c r="G39" s="39">
        <f>E39*$E$4</f>
        <v>8.5555555555555565E-2</v>
      </c>
      <c r="H39" s="39">
        <f>E39*$E$5</f>
        <v>8.5555555555555565E-2</v>
      </c>
      <c r="I39" s="39">
        <v>8.6800000000000002E-2</v>
      </c>
      <c r="J39" s="101">
        <v>8.6800000000000002E-2</v>
      </c>
      <c r="K39" s="90">
        <v>1</v>
      </c>
      <c r="L39">
        <f>VLOOKUP(K39,Components!A$4:I$21,8,0)</f>
        <v>6.61</v>
      </c>
      <c r="M39">
        <f>VLOOKUP(K39,Components!A$4:I$21,9,0)</f>
        <v>6.61</v>
      </c>
      <c r="N39">
        <f>L39</f>
        <v>6.61</v>
      </c>
      <c r="O39">
        <f>M39</f>
        <v>6.61</v>
      </c>
      <c r="P39">
        <v>0</v>
      </c>
      <c r="W39">
        <f>E39+R39</f>
        <v>14</v>
      </c>
      <c r="X39" s="39">
        <f>G39+L39+S39+U39</f>
        <v>6.6955555555555559</v>
      </c>
      <c r="Y39" s="39">
        <f>H39+M39+T39+V39</f>
        <v>6.6955555555555559</v>
      </c>
    </row>
    <row r="40" spans="1:28">
      <c r="B40">
        <v>2</v>
      </c>
      <c r="C40" t="s">
        <v>359</v>
      </c>
      <c r="D40" t="s">
        <v>360</v>
      </c>
      <c r="E40">
        <v>2</v>
      </c>
      <c r="F40">
        <f>SUM($E$39:E40)</f>
        <v>16</v>
      </c>
      <c r="G40" s="39">
        <f>E40*$E$4</f>
        <v>1.2222222222222223E-2</v>
      </c>
      <c r="H40" s="39">
        <f t="shared" ref="H40:H72" si="0">E40*$E$5</f>
        <v>1.2222222222222223E-2</v>
      </c>
      <c r="I40" s="39">
        <f>SUM(I39,G40)</f>
        <v>9.902222222222222E-2</v>
      </c>
      <c r="J40" s="39">
        <f>SUM(J39,H40)</f>
        <v>9.902222222222222E-2</v>
      </c>
      <c r="K40" s="90">
        <v>1</v>
      </c>
      <c r="N40">
        <f>SUM(N39,L40)</f>
        <v>6.61</v>
      </c>
      <c r="O40">
        <f>SUM(O39,M40)</f>
        <v>6.61</v>
      </c>
      <c r="P40">
        <v>2</v>
      </c>
      <c r="Q40" t="s">
        <v>361</v>
      </c>
      <c r="R40" s="13">
        <f>F87</f>
        <v>30.57</v>
      </c>
      <c r="S40" s="104">
        <f>I87</f>
        <v>0.18681666666666666</v>
      </c>
      <c r="T40" s="104">
        <f>J87</f>
        <v>0.18681666666666666</v>
      </c>
      <c r="U40">
        <f>L88</f>
        <v>6.61</v>
      </c>
      <c r="V40">
        <f>M88</f>
        <v>6.61</v>
      </c>
      <c r="W40">
        <f>W39+(E40+R40)</f>
        <v>46.57</v>
      </c>
      <c r="X40" s="39">
        <f>X39+(G40+L40+S40+U40)</f>
        <v>13.504594444444445</v>
      </c>
      <c r="Y40" s="39">
        <f>Y39+(H40+M40+T40+V40)</f>
        <v>13.504594444444445</v>
      </c>
    </row>
    <row r="41" spans="1:28">
      <c r="B41">
        <v>3</v>
      </c>
      <c r="C41" t="s">
        <v>362</v>
      </c>
      <c r="E41">
        <v>3</v>
      </c>
      <c r="F41">
        <f>SUM($E$39:E41)</f>
        <v>19</v>
      </c>
      <c r="G41" s="39">
        <f>E41*$E$4</f>
        <v>1.8333333333333333E-2</v>
      </c>
      <c r="H41" s="39">
        <f t="shared" si="0"/>
        <v>1.8333333333333333E-2</v>
      </c>
      <c r="I41" s="39">
        <f t="shared" ref="I41:I72" si="1">SUM(I40,G41)</f>
        <v>0.11735555555555555</v>
      </c>
      <c r="J41" s="39">
        <f t="shared" ref="J41:J72" si="2">SUM(J40,H41)</f>
        <v>0.11735555555555555</v>
      </c>
      <c r="K41" s="90">
        <v>2</v>
      </c>
      <c r="L41">
        <f>VLOOKUP(K41,Components!A$4:I$21,8,0)</f>
        <v>0.08</v>
      </c>
      <c r="M41">
        <f>VLOOKUP(K41,Components!A$4:I$21,9,0)</f>
        <v>0.08</v>
      </c>
      <c r="N41">
        <f>SUM(N40,L41)</f>
        <v>6.69</v>
      </c>
      <c r="O41">
        <f>SUM(O40,M41)</f>
        <v>6.69</v>
      </c>
      <c r="P41">
        <v>0</v>
      </c>
      <c r="S41" s="104"/>
      <c r="T41" s="104"/>
      <c r="W41">
        <f t="shared" ref="W41:W72" si="3">W40+(E41+R41)</f>
        <v>49.57</v>
      </c>
      <c r="X41" s="39">
        <f t="shared" ref="X41:X72" si="4">X40+(G41+L41+S41+U41)</f>
        <v>13.602927777777778</v>
      </c>
      <c r="Y41" s="39">
        <f t="shared" ref="Y41:Y72" si="5">Y40+(H41+M41+T41+V41)</f>
        <v>13.602927777777778</v>
      </c>
    </row>
    <row r="42" spans="1:28">
      <c r="G42" s="39"/>
      <c r="H42" s="39"/>
      <c r="I42" s="39"/>
      <c r="J42" s="39"/>
      <c r="K42" s="90">
        <v>12</v>
      </c>
      <c r="L42">
        <f>VLOOKUP(K42,Components!A$4:I$21,8,0)</f>
        <v>3</v>
      </c>
      <c r="M42">
        <f>VLOOKUP(K42,Components!A$4:I$21,9,0)</f>
        <v>3</v>
      </c>
      <c r="N42">
        <f t="shared" ref="N42:N72" si="6">SUM(N41,L42)</f>
        <v>9.6900000000000013</v>
      </c>
      <c r="O42">
        <f t="shared" ref="O42:O72" si="7">SUM(O41,M42)</f>
        <v>9.6900000000000013</v>
      </c>
      <c r="S42" s="104"/>
      <c r="T42" s="104"/>
      <c r="W42">
        <f t="shared" si="3"/>
        <v>49.57</v>
      </c>
      <c r="X42" s="39">
        <f t="shared" si="4"/>
        <v>16.602927777777779</v>
      </c>
      <c r="Y42" s="39">
        <f t="shared" si="5"/>
        <v>16.602927777777779</v>
      </c>
    </row>
    <row r="43" spans="1:28">
      <c r="G43" s="39"/>
      <c r="H43" s="39"/>
      <c r="I43" s="39"/>
      <c r="J43" s="39"/>
      <c r="K43" s="90">
        <v>13</v>
      </c>
      <c r="L43">
        <f>VLOOKUP(K43,Components!A$4:I$21,8,0)</f>
        <v>6</v>
      </c>
      <c r="M43">
        <f>VLOOKUP(K43,Components!A$4:I$21,9,0)</f>
        <v>6</v>
      </c>
      <c r="N43">
        <f t="shared" si="6"/>
        <v>15.690000000000001</v>
      </c>
      <c r="O43">
        <f t="shared" si="7"/>
        <v>15.690000000000001</v>
      </c>
      <c r="S43" s="104"/>
      <c r="T43" s="104"/>
      <c r="W43">
        <f t="shared" si="3"/>
        <v>49.57</v>
      </c>
      <c r="X43" s="39">
        <f t="shared" si="4"/>
        <v>22.602927777777779</v>
      </c>
      <c r="Y43" s="39">
        <f t="shared" si="5"/>
        <v>22.602927777777779</v>
      </c>
    </row>
    <row r="44" spans="1:28">
      <c r="B44">
        <v>4</v>
      </c>
      <c r="C44" t="s">
        <v>363</v>
      </c>
      <c r="E44">
        <v>7</v>
      </c>
      <c r="F44">
        <f>SUM($E$39:E44)</f>
        <v>26</v>
      </c>
      <c r="G44" s="39">
        <f t="shared" ref="G44:G49" si="8">E44*$E$4</f>
        <v>4.2777777777777783E-2</v>
      </c>
      <c r="H44" s="39">
        <f t="shared" si="0"/>
        <v>4.2777777777777783E-2</v>
      </c>
      <c r="I44" s="39">
        <f>SUM(I41,G44)</f>
        <v>0.16013333333333332</v>
      </c>
      <c r="J44" s="39">
        <f>SUM(J41,H44)</f>
        <v>0.16013333333333332</v>
      </c>
      <c r="K44" s="90">
        <v>14</v>
      </c>
      <c r="L44">
        <f>VLOOKUP(K44,Components!A$4:I$21,8,0)</f>
        <v>10</v>
      </c>
      <c r="M44">
        <f>VLOOKUP(K44,Components!A$4:I$21,9,0)</f>
        <v>10</v>
      </c>
      <c r="N44">
        <f t="shared" si="6"/>
        <v>25.69</v>
      </c>
      <c r="O44">
        <f t="shared" si="7"/>
        <v>25.69</v>
      </c>
      <c r="S44" s="104"/>
      <c r="T44" s="104"/>
      <c r="W44">
        <f t="shared" si="3"/>
        <v>56.57</v>
      </c>
      <c r="X44" s="39">
        <f t="shared" si="4"/>
        <v>32.645705555555558</v>
      </c>
      <c r="Y44" s="39">
        <f t="shared" si="5"/>
        <v>32.645705555555558</v>
      </c>
    </row>
    <row r="45" spans="1:28">
      <c r="B45">
        <v>5</v>
      </c>
      <c r="C45" t="s">
        <v>364</v>
      </c>
      <c r="E45">
        <v>2</v>
      </c>
      <c r="F45">
        <f>SUM($E$39:E45)</f>
        <v>28</v>
      </c>
      <c r="G45" s="39">
        <f t="shared" si="8"/>
        <v>1.2222222222222223E-2</v>
      </c>
      <c r="H45" s="39">
        <f t="shared" si="0"/>
        <v>1.2222222222222223E-2</v>
      </c>
      <c r="I45" s="39">
        <f t="shared" si="1"/>
        <v>0.17235555555555554</v>
      </c>
      <c r="J45" s="39">
        <f t="shared" si="2"/>
        <v>0.17235555555555554</v>
      </c>
      <c r="N45">
        <f t="shared" si="6"/>
        <v>25.69</v>
      </c>
      <c r="O45">
        <f>SUM(O44,M45)</f>
        <v>25.69</v>
      </c>
      <c r="P45">
        <v>5.2</v>
      </c>
      <c r="Q45" t="s">
        <v>365</v>
      </c>
      <c r="R45">
        <f>F106</f>
        <v>43.57</v>
      </c>
      <c r="S45" s="104">
        <f>I106</f>
        <v>0.24792777777777777</v>
      </c>
      <c r="T45" s="104">
        <f>J106</f>
        <v>0.24792777777777777</v>
      </c>
      <c r="U45">
        <f>L107</f>
        <v>25.69</v>
      </c>
      <c r="V45">
        <f>M107</f>
        <v>25.69</v>
      </c>
      <c r="W45">
        <f t="shared" si="3"/>
        <v>102.14</v>
      </c>
      <c r="X45" s="39">
        <f t="shared" si="4"/>
        <v>58.595855555555559</v>
      </c>
      <c r="Y45" s="39">
        <f t="shared" si="5"/>
        <v>58.595855555555559</v>
      </c>
    </row>
    <row r="46" spans="1:28">
      <c r="B46">
        <v>6</v>
      </c>
      <c r="C46" t="s">
        <v>366</v>
      </c>
      <c r="E46">
        <v>6.6</v>
      </c>
      <c r="F46">
        <f>SUM($E$39:E46)</f>
        <v>34.6</v>
      </c>
      <c r="G46" s="39">
        <f t="shared" si="8"/>
        <v>4.0333333333333332E-2</v>
      </c>
      <c r="H46" s="39">
        <f t="shared" si="0"/>
        <v>4.0333333333333332E-2</v>
      </c>
      <c r="I46" s="39">
        <f t="shared" si="1"/>
        <v>0.21268888888888887</v>
      </c>
      <c r="J46" s="39">
        <f t="shared" si="2"/>
        <v>0.21268888888888887</v>
      </c>
      <c r="K46">
        <v>10</v>
      </c>
      <c r="L46">
        <f>VLOOKUP(K46,Components!A$4:I$21,8,0)</f>
        <v>4</v>
      </c>
      <c r="M46">
        <f>VLOOKUP(K46,Components!A$4:I$21,9,0)</f>
        <v>4</v>
      </c>
      <c r="N46">
        <f t="shared" si="6"/>
        <v>29.69</v>
      </c>
      <c r="O46">
        <f t="shared" si="7"/>
        <v>29.69</v>
      </c>
      <c r="S46" s="104"/>
      <c r="T46" s="104"/>
      <c r="W46">
        <f t="shared" si="3"/>
        <v>108.74</v>
      </c>
      <c r="X46" s="39">
        <f t="shared" si="4"/>
        <v>62.636188888888896</v>
      </c>
      <c r="Y46" s="39">
        <f t="shared" si="5"/>
        <v>62.636188888888896</v>
      </c>
    </row>
    <row r="47" spans="1:28">
      <c r="B47">
        <v>7</v>
      </c>
      <c r="C47" t="s">
        <v>367</v>
      </c>
      <c r="E47">
        <v>20</v>
      </c>
      <c r="F47">
        <f>SUM($E$39:E47)</f>
        <v>54.6</v>
      </c>
      <c r="G47" s="39">
        <f t="shared" si="8"/>
        <v>0.12222222222222223</v>
      </c>
      <c r="H47" s="39">
        <f t="shared" si="0"/>
        <v>0.12222222222222223</v>
      </c>
      <c r="I47" s="39">
        <f t="shared" si="1"/>
        <v>0.3349111111111111</v>
      </c>
      <c r="J47" s="39">
        <f t="shared" si="2"/>
        <v>0.3349111111111111</v>
      </c>
      <c r="K47">
        <v>4</v>
      </c>
      <c r="L47">
        <f>VLOOKUP(K47,Components!A$4:I$21,8,0)</f>
        <v>14.99</v>
      </c>
      <c r="M47">
        <f>VLOOKUP(K47,Components!A$4:I$21,9,0)</f>
        <v>14.99</v>
      </c>
      <c r="N47">
        <f t="shared" si="6"/>
        <v>44.68</v>
      </c>
      <c r="O47">
        <f t="shared" si="7"/>
        <v>44.68</v>
      </c>
      <c r="S47" s="104"/>
      <c r="T47" s="104"/>
      <c r="W47">
        <f t="shared" si="3"/>
        <v>128.74</v>
      </c>
      <c r="X47" s="39">
        <f t="shared" si="4"/>
        <v>77.748411111111125</v>
      </c>
      <c r="Y47" s="39">
        <f t="shared" si="5"/>
        <v>77.748411111111125</v>
      </c>
    </row>
    <row r="48" spans="1:28">
      <c r="B48">
        <v>8</v>
      </c>
      <c r="C48" t="s">
        <v>368</v>
      </c>
      <c r="E48">
        <v>41</v>
      </c>
      <c r="F48">
        <f>SUM($E$39:E48)</f>
        <v>95.6</v>
      </c>
      <c r="G48" s="39">
        <f t="shared" si="8"/>
        <v>0.25055555555555559</v>
      </c>
      <c r="H48" s="39">
        <f t="shared" si="0"/>
        <v>0.25055555555555559</v>
      </c>
      <c r="I48" s="39">
        <f t="shared" si="1"/>
        <v>0.58546666666666669</v>
      </c>
      <c r="J48" s="39">
        <f t="shared" si="2"/>
        <v>0.58546666666666669</v>
      </c>
      <c r="N48">
        <f t="shared" si="6"/>
        <v>44.68</v>
      </c>
      <c r="O48">
        <f t="shared" si="7"/>
        <v>44.68</v>
      </c>
      <c r="P48">
        <v>2</v>
      </c>
      <c r="Q48" t="s">
        <v>369</v>
      </c>
      <c r="R48">
        <f>F109</f>
        <v>11</v>
      </c>
      <c r="S48" s="104">
        <f>I109</f>
        <v>6.7222222222222225E-2</v>
      </c>
      <c r="T48" s="104">
        <f>J109</f>
        <v>6.7222222222222225E-2</v>
      </c>
      <c r="W48">
        <f t="shared" si="3"/>
        <v>180.74</v>
      </c>
      <c r="X48" s="39">
        <f t="shared" si="4"/>
        <v>78.066188888888902</v>
      </c>
      <c r="Y48" s="39">
        <f t="shared" si="5"/>
        <v>78.066188888888902</v>
      </c>
    </row>
    <row r="49" spans="2:25">
      <c r="B49">
        <v>9</v>
      </c>
      <c r="C49" t="s">
        <v>370</v>
      </c>
      <c r="E49">
        <v>24</v>
      </c>
      <c r="F49">
        <f>SUM($E$39:E49)</f>
        <v>119.6</v>
      </c>
      <c r="G49" s="39">
        <f t="shared" si="8"/>
        <v>0.14666666666666667</v>
      </c>
      <c r="H49" s="39">
        <f t="shared" si="0"/>
        <v>0.14666666666666667</v>
      </c>
      <c r="I49" s="39">
        <f t="shared" si="1"/>
        <v>0.7321333333333333</v>
      </c>
      <c r="J49" s="39">
        <f t="shared" si="2"/>
        <v>0.7321333333333333</v>
      </c>
      <c r="K49" s="90">
        <v>12</v>
      </c>
      <c r="L49" s="82"/>
      <c r="M49" s="82"/>
      <c r="N49">
        <f t="shared" si="6"/>
        <v>44.68</v>
      </c>
      <c r="O49">
        <f t="shared" si="7"/>
        <v>44.68</v>
      </c>
      <c r="S49" s="104"/>
      <c r="T49" s="104"/>
      <c r="W49">
        <f t="shared" si="3"/>
        <v>204.74</v>
      </c>
      <c r="X49" s="39">
        <f t="shared" si="4"/>
        <v>78.212855555555564</v>
      </c>
      <c r="Y49" s="39">
        <f t="shared" si="5"/>
        <v>78.212855555555564</v>
      </c>
    </row>
    <row r="50" spans="2:25">
      <c r="G50" s="39"/>
      <c r="H50" s="39"/>
      <c r="I50" s="39"/>
      <c r="J50" s="39"/>
      <c r="K50" s="90">
        <v>13</v>
      </c>
      <c r="L50" s="82"/>
      <c r="M50" s="82"/>
      <c r="N50">
        <f t="shared" si="6"/>
        <v>44.68</v>
      </c>
      <c r="O50">
        <f t="shared" si="7"/>
        <v>44.68</v>
      </c>
      <c r="S50" s="104"/>
      <c r="T50" s="104"/>
      <c r="W50">
        <f t="shared" si="3"/>
        <v>204.74</v>
      </c>
      <c r="X50" s="39">
        <f t="shared" si="4"/>
        <v>78.212855555555564</v>
      </c>
      <c r="Y50" s="39">
        <f t="shared" si="5"/>
        <v>78.212855555555564</v>
      </c>
    </row>
    <row r="51" spans="2:25">
      <c r="G51" s="39"/>
      <c r="H51" s="39"/>
      <c r="I51" s="39"/>
      <c r="J51" s="39"/>
      <c r="K51" s="90">
        <v>14</v>
      </c>
      <c r="L51" s="82"/>
      <c r="M51" s="82"/>
      <c r="N51">
        <f t="shared" si="6"/>
        <v>44.68</v>
      </c>
      <c r="O51">
        <f t="shared" si="7"/>
        <v>44.68</v>
      </c>
      <c r="S51" s="104"/>
      <c r="T51" s="104"/>
      <c r="W51">
        <f t="shared" si="3"/>
        <v>204.74</v>
      </c>
      <c r="X51" s="39">
        <f t="shared" si="4"/>
        <v>78.212855555555564</v>
      </c>
      <c r="Y51" s="39">
        <f t="shared" si="5"/>
        <v>78.212855555555564</v>
      </c>
    </row>
    <row r="52" spans="2:25">
      <c r="B52">
        <v>10</v>
      </c>
      <c r="C52" t="s">
        <v>371</v>
      </c>
      <c r="E52">
        <v>12</v>
      </c>
      <c r="F52">
        <f>SUM($E$39:E52)</f>
        <v>131.6</v>
      </c>
      <c r="G52" s="39">
        <f t="shared" ref="G52:G72" si="9">E52*$E$4</f>
        <v>7.3333333333333334E-2</v>
      </c>
      <c r="H52" s="39">
        <f t="shared" si="0"/>
        <v>7.3333333333333334E-2</v>
      </c>
      <c r="I52" s="39">
        <f>SUM(I49,G52)</f>
        <v>0.80546666666666666</v>
      </c>
      <c r="J52" s="39">
        <f>SUM(J49,H52)</f>
        <v>0.80546666666666666</v>
      </c>
      <c r="K52">
        <v>7</v>
      </c>
      <c r="L52">
        <f>VLOOKUP(K52,Components!A$4:I$21,8,0)</f>
        <v>0.56999999999999995</v>
      </c>
      <c r="M52">
        <f>VLOOKUP(K52,Components!A$4:I$21,9,0)</f>
        <v>0.56999999999999995</v>
      </c>
      <c r="N52">
        <f t="shared" si="6"/>
        <v>45.25</v>
      </c>
      <c r="O52">
        <f t="shared" si="7"/>
        <v>45.25</v>
      </c>
      <c r="S52" s="104"/>
      <c r="T52" s="104"/>
      <c r="W52">
        <f t="shared" si="3"/>
        <v>216.74</v>
      </c>
      <c r="X52" s="39">
        <f t="shared" si="4"/>
        <v>78.856188888888894</v>
      </c>
      <c r="Y52" s="39">
        <f t="shared" si="5"/>
        <v>78.856188888888894</v>
      </c>
    </row>
    <row r="53" spans="2:25">
      <c r="B53">
        <v>11</v>
      </c>
      <c r="C53" t="s">
        <v>372</v>
      </c>
      <c r="E53">
        <v>2</v>
      </c>
      <c r="F53">
        <f>SUM($E$39:E53)</f>
        <v>133.6</v>
      </c>
      <c r="G53" s="39">
        <f t="shared" si="9"/>
        <v>1.2222222222222223E-2</v>
      </c>
      <c r="H53" s="39">
        <f t="shared" si="0"/>
        <v>1.2222222222222223E-2</v>
      </c>
      <c r="I53" s="39">
        <f t="shared" si="1"/>
        <v>0.81768888888888891</v>
      </c>
      <c r="J53" s="39">
        <f t="shared" si="2"/>
        <v>0.81768888888888891</v>
      </c>
      <c r="N53">
        <f t="shared" si="6"/>
        <v>45.25</v>
      </c>
      <c r="O53">
        <f t="shared" si="7"/>
        <v>45.25</v>
      </c>
      <c r="S53" s="104"/>
      <c r="T53" s="104"/>
      <c r="W53">
        <f t="shared" si="3"/>
        <v>218.74</v>
      </c>
      <c r="X53" s="39">
        <f t="shared" si="4"/>
        <v>78.868411111111115</v>
      </c>
      <c r="Y53" s="39">
        <f t="shared" si="5"/>
        <v>78.868411111111115</v>
      </c>
    </row>
    <row r="54" spans="2:25">
      <c r="B54">
        <v>12</v>
      </c>
      <c r="C54" t="s">
        <v>373</v>
      </c>
      <c r="E54">
        <v>2</v>
      </c>
      <c r="F54">
        <f>SUM($E$39:E54)</f>
        <v>135.6</v>
      </c>
      <c r="G54" s="39">
        <f t="shared" si="9"/>
        <v>1.2222222222222223E-2</v>
      </c>
      <c r="H54" s="39">
        <f t="shared" si="0"/>
        <v>1.2222222222222223E-2</v>
      </c>
      <c r="I54" s="39">
        <f t="shared" si="1"/>
        <v>0.82991111111111115</v>
      </c>
      <c r="J54" s="39">
        <f t="shared" si="2"/>
        <v>0.82991111111111115</v>
      </c>
      <c r="N54">
        <f t="shared" si="6"/>
        <v>45.25</v>
      </c>
      <c r="O54">
        <f t="shared" si="7"/>
        <v>45.25</v>
      </c>
      <c r="P54">
        <v>7.5</v>
      </c>
      <c r="Q54" t="s">
        <v>374</v>
      </c>
      <c r="R54">
        <f>F119</f>
        <v>22.57</v>
      </c>
      <c r="S54" s="104">
        <f>I119</f>
        <v>0.13792777777777779</v>
      </c>
      <c r="T54" s="104">
        <f>J119</f>
        <v>0.13792777777777779</v>
      </c>
      <c r="W54">
        <f t="shared" si="3"/>
        <v>243.31</v>
      </c>
      <c r="X54" s="39">
        <f t="shared" si="4"/>
        <v>79.018561111111111</v>
      </c>
      <c r="Y54" s="39">
        <f t="shared" si="5"/>
        <v>79.018561111111111</v>
      </c>
    </row>
    <row r="55" spans="2:25">
      <c r="B55">
        <v>13</v>
      </c>
      <c r="C55" t="s">
        <v>375</v>
      </c>
      <c r="E55">
        <v>4.4000000000000004</v>
      </c>
      <c r="F55">
        <f>SUM($E$39:E55)</f>
        <v>140</v>
      </c>
      <c r="G55" s="39">
        <f t="shared" si="9"/>
        <v>2.6888888888888893E-2</v>
      </c>
      <c r="H55" s="39">
        <f t="shared" si="0"/>
        <v>2.6888888888888893E-2</v>
      </c>
      <c r="I55" s="39">
        <f t="shared" si="1"/>
        <v>0.85680000000000001</v>
      </c>
      <c r="J55" s="39">
        <f t="shared" si="2"/>
        <v>0.85680000000000001</v>
      </c>
      <c r="K55">
        <v>5</v>
      </c>
      <c r="L55">
        <f>VLOOKUP(K55,Components!A$4:I$21,8,0)</f>
        <v>4.1500000000000004</v>
      </c>
      <c r="M55">
        <f>VLOOKUP(K55,Components!A$4:I$21,9,0)</f>
        <v>4.1500000000000004</v>
      </c>
      <c r="N55">
        <f t="shared" si="6"/>
        <v>49.4</v>
      </c>
      <c r="O55">
        <f t="shared" si="7"/>
        <v>49.4</v>
      </c>
      <c r="S55" s="104"/>
      <c r="T55" s="104"/>
      <c r="W55">
        <f t="shared" si="3"/>
        <v>247.71</v>
      </c>
      <c r="X55" s="39">
        <f t="shared" si="4"/>
        <v>83.195449999999994</v>
      </c>
      <c r="Y55" s="39">
        <f t="shared" si="5"/>
        <v>83.195449999999994</v>
      </c>
    </row>
    <row r="56" spans="2:25">
      <c r="B56">
        <v>14</v>
      </c>
      <c r="C56" t="s">
        <v>372</v>
      </c>
      <c r="E56">
        <v>2</v>
      </c>
      <c r="F56">
        <f>SUM($E$39:E56)</f>
        <v>142</v>
      </c>
      <c r="G56" s="39">
        <f t="shared" si="9"/>
        <v>1.2222222222222223E-2</v>
      </c>
      <c r="H56" s="39">
        <f t="shared" si="0"/>
        <v>1.2222222222222223E-2</v>
      </c>
      <c r="I56" s="39">
        <f t="shared" si="1"/>
        <v>0.86902222222222225</v>
      </c>
      <c r="J56" s="39">
        <f t="shared" si="2"/>
        <v>0.86902222222222225</v>
      </c>
      <c r="N56">
        <f t="shared" si="6"/>
        <v>49.4</v>
      </c>
      <c r="O56">
        <f t="shared" si="7"/>
        <v>49.4</v>
      </c>
      <c r="S56" s="104"/>
      <c r="T56" s="104"/>
      <c r="W56">
        <f t="shared" si="3"/>
        <v>249.71</v>
      </c>
      <c r="X56" s="39">
        <f t="shared" si="4"/>
        <v>83.207672222222214</v>
      </c>
      <c r="Y56" s="39">
        <f t="shared" si="5"/>
        <v>83.207672222222214</v>
      </c>
    </row>
    <row r="57" spans="2:25">
      <c r="B57">
        <v>15</v>
      </c>
      <c r="C57" t="s">
        <v>376</v>
      </c>
      <c r="E57">
        <v>2</v>
      </c>
      <c r="F57">
        <f>SUM($E$39:E57)</f>
        <v>144</v>
      </c>
      <c r="G57" s="39">
        <f t="shared" si="9"/>
        <v>1.2222222222222223E-2</v>
      </c>
      <c r="H57" s="39">
        <f t="shared" si="0"/>
        <v>1.2222222222222223E-2</v>
      </c>
      <c r="I57" s="39">
        <f t="shared" si="1"/>
        <v>0.8812444444444445</v>
      </c>
      <c r="J57" s="39">
        <f t="shared" si="2"/>
        <v>0.8812444444444445</v>
      </c>
      <c r="N57">
        <f t="shared" si="6"/>
        <v>49.4</v>
      </c>
      <c r="O57">
        <f t="shared" si="7"/>
        <v>49.4</v>
      </c>
      <c r="Q57" t="s">
        <v>377</v>
      </c>
      <c r="S57" s="104"/>
      <c r="T57" s="104"/>
      <c r="W57">
        <f t="shared" si="3"/>
        <v>251.71</v>
      </c>
      <c r="X57" s="39">
        <f t="shared" si="4"/>
        <v>83.219894444444435</v>
      </c>
      <c r="Y57" s="39">
        <f t="shared" si="5"/>
        <v>83.219894444444435</v>
      </c>
    </row>
    <row r="58" spans="2:25">
      <c r="B58">
        <v>16</v>
      </c>
      <c r="C58" t="s">
        <v>378</v>
      </c>
      <c r="E58">
        <v>8.8000000000000007</v>
      </c>
      <c r="F58">
        <f>SUM($E$39:E58)</f>
        <v>152.80000000000001</v>
      </c>
      <c r="G58" s="39">
        <f t="shared" si="9"/>
        <v>5.3777777777777785E-2</v>
      </c>
      <c r="H58" s="39">
        <f t="shared" si="0"/>
        <v>5.3777777777777785E-2</v>
      </c>
      <c r="I58" s="39">
        <f t="shared" si="1"/>
        <v>0.93502222222222231</v>
      </c>
      <c r="J58" s="39">
        <f t="shared" si="2"/>
        <v>0.93502222222222231</v>
      </c>
      <c r="K58">
        <v>8</v>
      </c>
      <c r="L58">
        <f>VLOOKUP(K58,Components!A$4:I$21,8,0)</f>
        <v>0.31</v>
      </c>
      <c r="M58">
        <f>VLOOKUP(K58,Components!A$4:I$21,9,0)</f>
        <v>0.31</v>
      </c>
      <c r="N58">
        <f t="shared" si="6"/>
        <v>49.71</v>
      </c>
      <c r="O58">
        <f t="shared" si="7"/>
        <v>49.71</v>
      </c>
      <c r="S58" s="104"/>
      <c r="T58" s="104"/>
      <c r="W58">
        <f t="shared" si="3"/>
        <v>260.51</v>
      </c>
      <c r="X58" s="39">
        <f t="shared" si="4"/>
        <v>83.583672222222219</v>
      </c>
      <c r="Y58" s="39">
        <f t="shared" si="5"/>
        <v>83.583672222222219</v>
      </c>
    </row>
    <row r="59" spans="2:25">
      <c r="B59">
        <v>17</v>
      </c>
      <c r="C59" t="s">
        <v>372</v>
      </c>
      <c r="E59">
        <v>6</v>
      </c>
      <c r="F59">
        <f>SUM($E$39:E59)</f>
        <v>158.80000000000001</v>
      </c>
      <c r="G59" s="39">
        <f t="shared" si="9"/>
        <v>3.6666666666666667E-2</v>
      </c>
      <c r="H59" s="39">
        <f t="shared" si="0"/>
        <v>3.6666666666666667E-2</v>
      </c>
      <c r="I59" s="39">
        <f t="shared" si="1"/>
        <v>0.97168888888888894</v>
      </c>
      <c r="J59" s="39">
        <f t="shared" si="2"/>
        <v>0.97168888888888894</v>
      </c>
      <c r="N59">
        <f t="shared" si="6"/>
        <v>49.71</v>
      </c>
      <c r="O59">
        <f t="shared" si="7"/>
        <v>49.71</v>
      </c>
      <c r="S59" s="104"/>
      <c r="T59" s="104"/>
      <c r="W59">
        <f t="shared" si="3"/>
        <v>266.51</v>
      </c>
      <c r="X59" s="39">
        <f t="shared" si="4"/>
        <v>83.620338888888881</v>
      </c>
      <c r="Y59" s="39">
        <f t="shared" si="5"/>
        <v>83.620338888888881</v>
      </c>
    </row>
    <row r="60" spans="2:25">
      <c r="B60">
        <v>18</v>
      </c>
      <c r="C60" t="s">
        <v>379</v>
      </c>
      <c r="E60">
        <v>2</v>
      </c>
      <c r="F60">
        <f>SUM($E$39:E60)</f>
        <v>160.80000000000001</v>
      </c>
      <c r="G60" s="39">
        <f t="shared" si="9"/>
        <v>1.2222222222222223E-2</v>
      </c>
      <c r="H60" s="39">
        <f t="shared" si="0"/>
        <v>1.2222222222222223E-2</v>
      </c>
      <c r="I60" s="39">
        <f t="shared" si="1"/>
        <v>0.98391111111111118</v>
      </c>
      <c r="J60" s="39">
        <f t="shared" si="2"/>
        <v>0.98391111111111118</v>
      </c>
      <c r="N60">
        <f t="shared" si="6"/>
        <v>49.71</v>
      </c>
      <c r="O60">
        <f t="shared" si="7"/>
        <v>49.71</v>
      </c>
      <c r="P60">
        <v>0.1</v>
      </c>
      <c r="Q60" t="s">
        <v>380</v>
      </c>
      <c r="R60">
        <f>F130</f>
        <v>34.78</v>
      </c>
      <c r="S60" s="104">
        <f>I130</f>
        <v>0.21254444444444448</v>
      </c>
      <c r="T60" s="104">
        <f>J130</f>
        <v>0.21254444444444448</v>
      </c>
      <c r="W60">
        <f t="shared" si="3"/>
        <v>303.28999999999996</v>
      </c>
      <c r="X60" s="39">
        <f t="shared" si="4"/>
        <v>83.845105555555548</v>
      </c>
      <c r="Y60" s="39">
        <f t="shared" si="5"/>
        <v>83.845105555555548</v>
      </c>
    </row>
    <row r="61" spans="2:25">
      <c r="B61">
        <v>19</v>
      </c>
      <c r="C61" t="s">
        <v>381</v>
      </c>
      <c r="E61">
        <v>1.2</v>
      </c>
      <c r="F61">
        <f>SUM($E$39:E61)</f>
        <v>162</v>
      </c>
      <c r="G61" s="39">
        <f t="shared" si="9"/>
        <v>7.3333333333333332E-3</v>
      </c>
      <c r="H61" s="39">
        <f t="shared" si="0"/>
        <v>7.3333333333333332E-3</v>
      </c>
      <c r="I61" s="39">
        <f t="shared" si="1"/>
        <v>0.99124444444444448</v>
      </c>
      <c r="J61" s="39">
        <f t="shared" si="2"/>
        <v>0.99124444444444448</v>
      </c>
      <c r="K61">
        <v>11</v>
      </c>
      <c r="L61">
        <f>VLOOKUP(K61,Components!A$4:I$21,8,0)</f>
        <v>2</v>
      </c>
      <c r="M61">
        <f>VLOOKUP(K61,Components!A$4:I$21,9,0)</f>
        <v>2</v>
      </c>
      <c r="N61">
        <f t="shared" si="6"/>
        <v>51.71</v>
      </c>
      <c r="O61">
        <f t="shared" si="7"/>
        <v>51.71</v>
      </c>
      <c r="S61" s="104"/>
      <c r="T61" s="104"/>
      <c r="W61">
        <f t="shared" si="3"/>
        <v>304.48999999999995</v>
      </c>
      <c r="X61" s="39">
        <f t="shared" si="4"/>
        <v>85.852438888888884</v>
      </c>
      <c r="Y61" s="39">
        <f t="shared" si="5"/>
        <v>85.852438888888884</v>
      </c>
    </row>
    <row r="62" spans="2:25">
      <c r="B62">
        <v>20</v>
      </c>
      <c r="C62" t="s">
        <v>382</v>
      </c>
      <c r="E62">
        <v>1.2</v>
      </c>
      <c r="F62">
        <f>SUM($E$39:E62)</f>
        <v>163.19999999999999</v>
      </c>
      <c r="G62" s="39">
        <f t="shared" si="9"/>
        <v>7.3333333333333332E-3</v>
      </c>
      <c r="H62" s="39">
        <f t="shared" si="0"/>
        <v>7.3333333333333332E-3</v>
      </c>
      <c r="I62" s="39">
        <f t="shared" si="1"/>
        <v>0.99857777777777779</v>
      </c>
      <c r="J62" s="39">
        <f t="shared" si="2"/>
        <v>0.99857777777777779</v>
      </c>
      <c r="K62">
        <v>6</v>
      </c>
      <c r="L62">
        <f>VLOOKUP(K62,Components!A$4:I$21,8,0)</f>
        <v>1.88</v>
      </c>
      <c r="M62">
        <f>VLOOKUP(K62,Components!A$4:I$21,9,0)</f>
        <v>1.88</v>
      </c>
      <c r="N62">
        <f t="shared" si="6"/>
        <v>53.59</v>
      </c>
      <c r="O62">
        <f t="shared" si="7"/>
        <v>53.59</v>
      </c>
      <c r="S62" s="104"/>
      <c r="T62" s="104"/>
      <c r="W62">
        <f t="shared" si="3"/>
        <v>305.68999999999994</v>
      </c>
      <c r="X62" s="39">
        <f t="shared" si="4"/>
        <v>87.739772222222214</v>
      </c>
      <c r="Y62" s="39">
        <f t="shared" si="5"/>
        <v>87.739772222222214</v>
      </c>
    </row>
    <row r="63" spans="2:25">
      <c r="B63">
        <v>21</v>
      </c>
      <c r="C63" t="s">
        <v>383</v>
      </c>
      <c r="E63">
        <v>12</v>
      </c>
      <c r="F63">
        <f>SUM($E$39:E63)</f>
        <v>175.2</v>
      </c>
      <c r="G63" s="39">
        <f t="shared" si="9"/>
        <v>7.3333333333333334E-2</v>
      </c>
      <c r="H63" s="39">
        <f t="shared" si="0"/>
        <v>7.3333333333333334E-2</v>
      </c>
      <c r="I63" s="39">
        <f t="shared" si="1"/>
        <v>1.071911111111111</v>
      </c>
      <c r="J63" s="39">
        <f t="shared" si="2"/>
        <v>1.071911111111111</v>
      </c>
      <c r="K63">
        <v>3</v>
      </c>
      <c r="L63">
        <f>VLOOKUP(K63,Components!A$4:I$21,8,0)</f>
        <v>17.420000000000002</v>
      </c>
      <c r="M63">
        <f>VLOOKUP(K63,Components!A$4:I$21,9,0)</f>
        <v>17.420000000000002</v>
      </c>
      <c r="N63">
        <f t="shared" si="6"/>
        <v>71.010000000000005</v>
      </c>
      <c r="O63">
        <f t="shared" si="7"/>
        <v>71.010000000000005</v>
      </c>
      <c r="S63" s="104"/>
      <c r="T63" s="104"/>
      <c r="W63">
        <f t="shared" si="3"/>
        <v>317.68999999999994</v>
      </c>
      <c r="X63" s="39">
        <f t="shared" si="4"/>
        <v>105.23310555555555</v>
      </c>
      <c r="Y63" s="39">
        <f t="shared" si="5"/>
        <v>105.23310555555555</v>
      </c>
    </row>
    <row r="64" spans="2:25">
      <c r="B64">
        <v>22</v>
      </c>
      <c r="C64" t="s">
        <v>384</v>
      </c>
      <c r="D64" t="s">
        <v>360</v>
      </c>
      <c r="E64">
        <v>2</v>
      </c>
      <c r="F64">
        <f>SUM($E$39:E64)</f>
        <v>177.2</v>
      </c>
      <c r="G64" s="39">
        <f t="shared" si="9"/>
        <v>1.2222222222222223E-2</v>
      </c>
      <c r="H64" s="39">
        <f t="shared" si="0"/>
        <v>1.2222222222222223E-2</v>
      </c>
      <c r="I64" s="39">
        <f t="shared" si="1"/>
        <v>1.0841333333333332</v>
      </c>
      <c r="J64" s="39">
        <f t="shared" si="2"/>
        <v>1.0841333333333332</v>
      </c>
      <c r="K64">
        <v>3</v>
      </c>
      <c r="M64">
        <f>VLOOKUP(K64,Components!A$4:I$21,9,0)</f>
        <v>17.420000000000002</v>
      </c>
      <c r="N64">
        <f t="shared" si="6"/>
        <v>71.010000000000005</v>
      </c>
      <c r="O64">
        <f t="shared" si="7"/>
        <v>88.43</v>
      </c>
      <c r="P64">
        <v>3</v>
      </c>
      <c r="Q64" t="s">
        <v>385</v>
      </c>
      <c r="R64">
        <f>F145</f>
        <v>48.97</v>
      </c>
      <c r="S64" s="104">
        <f>I145</f>
        <v>0.2992611111111112</v>
      </c>
      <c r="T64" s="104">
        <f>J145</f>
        <v>0.2992611111111112</v>
      </c>
      <c r="U64">
        <f>L146</f>
        <v>21.3</v>
      </c>
      <c r="V64">
        <f>M146</f>
        <v>21.3</v>
      </c>
      <c r="W64">
        <f t="shared" si="3"/>
        <v>368.65999999999997</v>
      </c>
      <c r="X64" s="39">
        <f t="shared" si="4"/>
        <v>126.84458888888889</v>
      </c>
      <c r="Y64" s="39">
        <f t="shared" si="5"/>
        <v>144.26458888888888</v>
      </c>
    </row>
    <row r="65" spans="1:27">
      <c r="B65">
        <v>23</v>
      </c>
      <c r="C65" t="s">
        <v>386</v>
      </c>
      <c r="E65">
        <v>8</v>
      </c>
      <c r="F65">
        <f>SUM($E$39:E65)</f>
        <v>185.2</v>
      </c>
      <c r="G65" s="39">
        <f t="shared" si="9"/>
        <v>4.8888888888888891E-2</v>
      </c>
      <c r="H65" s="39">
        <f t="shared" si="0"/>
        <v>4.8888888888888891E-2</v>
      </c>
      <c r="I65" s="39">
        <f t="shared" si="1"/>
        <v>1.1330222222222222</v>
      </c>
      <c r="J65" s="39">
        <f t="shared" si="2"/>
        <v>1.1330222222222222</v>
      </c>
      <c r="K65">
        <v>9</v>
      </c>
      <c r="L65">
        <f>VLOOKUP(K65,Components!A$4:I$21,8,0)</f>
        <v>38.15</v>
      </c>
      <c r="M65">
        <f>VLOOKUP(K65,Components!A$4:I$21,9,0)</f>
        <v>38.15</v>
      </c>
      <c r="N65">
        <f t="shared" si="6"/>
        <v>109.16</v>
      </c>
      <c r="O65">
        <f t="shared" si="7"/>
        <v>126.58000000000001</v>
      </c>
      <c r="S65" s="104"/>
      <c r="T65" s="104"/>
      <c r="W65">
        <f t="shared" si="3"/>
        <v>376.65999999999997</v>
      </c>
      <c r="X65" s="39">
        <f t="shared" si="4"/>
        <v>165.04347777777778</v>
      </c>
      <c r="Y65" s="39">
        <f t="shared" si="5"/>
        <v>182.46347777777777</v>
      </c>
    </row>
    <row r="66" spans="1:27">
      <c r="B66">
        <v>24</v>
      </c>
      <c r="C66" t="s">
        <v>387</v>
      </c>
      <c r="E66">
        <v>13.3</v>
      </c>
      <c r="F66">
        <f>SUM($E$39:E66)</f>
        <v>198.5</v>
      </c>
      <c r="G66" s="39">
        <f t="shared" si="9"/>
        <v>8.1277777777777782E-2</v>
      </c>
      <c r="H66" s="39">
        <f t="shared" si="0"/>
        <v>8.1277777777777782E-2</v>
      </c>
      <c r="I66" s="39">
        <f t="shared" si="1"/>
        <v>1.2142999999999999</v>
      </c>
      <c r="J66" s="39">
        <f t="shared" si="2"/>
        <v>1.2142999999999999</v>
      </c>
      <c r="N66">
        <f t="shared" si="6"/>
        <v>109.16</v>
      </c>
      <c r="O66">
        <f t="shared" si="7"/>
        <v>126.58000000000001</v>
      </c>
      <c r="S66" s="104"/>
      <c r="T66" s="104"/>
      <c r="W66">
        <f t="shared" si="3"/>
        <v>389.96</v>
      </c>
      <c r="X66" s="39">
        <f t="shared" si="4"/>
        <v>165.12475555555557</v>
      </c>
      <c r="Y66" s="39">
        <f t="shared" si="5"/>
        <v>182.54475555555555</v>
      </c>
    </row>
    <row r="67" spans="1:27">
      <c r="B67">
        <v>25</v>
      </c>
      <c r="C67" t="s">
        <v>388</v>
      </c>
      <c r="E67">
        <v>10</v>
      </c>
      <c r="F67">
        <f>SUM($E$39:E67)</f>
        <v>208.5</v>
      </c>
      <c r="G67" s="39">
        <f t="shared" si="9"/>
        <v>6.1111111111111116E-2</v>
      </c>
      <c r="H67" s="39">
        <f t="shared" si="0"/>
        <v>6.1111111111111116E-2</v>
      </c>
      <c r="I67" s="39">
        <f t="shared" si="1"/>
        <v>1.2754111111111111</v>
      </c>
      <c r="J67" s="39">
        <f t="shared" si="2"/>
        <v>1.2754111111111111</v>
      </c>
      <c r="N67">
        <f t="shared" si="6"/>
        <v>109.16</v>
      </c>
      <c r="O67">
        <f t="shared" si="7"/>
        <v>126.58000000000001</v>
      </c>
      <c r="P67">
        <v>9.5</v>
      </c>
      <c r="Q67" t="s">
        <v>389</v>
      </c>
      <c r="R67">
        <f>F155</f>
        <v>44.78</v>
      </c>
      <c r="S67" s="104">
        <f>I155</f>
        <v>0.2736555555555556</v>
      </c>
      <c r="T67" s="104">
        <f>J155</f>
        <v>0.2736555555555556</v>
      </c>
      <c r="W67">
        <f t="shared" si="3"/>
        <v>444.74</v>
      </c>
      <c r="X67" s="39">
        <f t="shared" si="4"/>
        <v>165.45952222222223</v>
      </c>
      <c r="Y67" s="39">
        <f t="shared" si="5"/>
        <v>182.87952222222222</v>
      </c>
    </row>
    <row r="68" spans="1:27">
      <c r="B68">
        <v>24</v>
      </c>
      <c r="C68" t="s">
        <v>390</v>
      </c>
      <c r="F68">
        <f>SUM($E$39:E68)</f>
        <v>208.5</v>
      </c>
      <c r="G68" s="39">
        <f t="shared" si="9"/>
        <v>0</v>
      </c>
      <c r="H68" s="39">
        <f t="shared" si="0"/>
        <v>0</v>
      </c>
      <c r="I68" s="39">
        <f t="shared" si="1"/>
        <v>1.2754111111111111</v>
      </c>
      <c r="J68" s="39">
        <f t="shared" si="2"/>
        <v>1.2754111111111111</v>
      </c>
      <c r="N68">
        <f t="shared" si="6"/>
        <v>109.16</v>
      </c>
      <c r="O68">
        <f t="shared" si="7"/>
        <v>126.58000000000001</v>
      </c>
      <c r="S68" s="104"/>
      <c r="T68" s="104"/>
      <c r="W68">
        <f t="shared" si="3"/>
        <v>444.74</v>
      </c>
      <c r="X68" s="39">
        <f t="shared" si="4"/>
        <v>165.45952222222223</v>
      </c>
      <c r="Y68" s="39">
        <f t="shared" si="5"/>
        <v>182.87952222222222</v>
      </c>
    </row>
    <row r="69" spans="1:27">
      <c r="B69">
        <v>25</v>
      </c>
      <c r="C69" t="s">
        <v>391</v>
      </c>
      <c r="E69">
        <v>33</v>
      </c>
      <c r="F69">
        <f>SUM($E$39:E69)</f>
        <v>241.5</v>
      </c>
      <c r="G69" s="39">
        <f t="shared" si="9"/>
        <v>0.20166666666666669</v>
      </c>
      <c r="H69" s="39">
        <f t="shared" si="0"/>
        <v>0.20166666666666669</v>
      </c>
      <c r="I69" s="39">
        <f t="shared" si="1"/>
        <v>1.4770777777777777</v>
      </c>
      <c r="J69" s="39">
        <f t="shared" si="2"/>
        <v>1.4770777777777777</v>
      </c>
      <c r="N69">
        <f t="shared" si="6"/>
        <v>109.16</v>
      </c>
      <c r="O69">
        <f t="shared" si="7"/>
        <v>126.58000000000001</v>
      </c>
      <c r="S69" s="104"/>
      <c r="T69" s="104"/>
      <c r="W69">
        <f t="shared" si="3"/>
        <v>477.74</v>
      </c>
      <c r="X69" s="39">
        <f t="shared" si="4"/>
        <v>165.66118888888889</v>
      </c>
      <c r="Y69" s="39">
        <f t="shared" si="5"/>
        <v>183.08118888888887</v>
      </c>
    </row>
    <row r="70" spans="1:27">
      <c r="B70">
        <v>26</v>
      </c>
      <c r="C70" t="s">
        <v>392</v>
      </c>
      <c r="E70">
        <v>10</v>
      </c>
      <c r="F70">
        <f>SUM($E$39:E70)</f>
        <v>251.5</v>
      </c>
      <c r="G70" s="39">
        <f t="shared" si="9"/>
        <v>6.1111111111111116E-2</v>
      </c>
      <c r="H70" s="39">
        <f t="shared" si="0"/>
        <v>6.1111111111111116E-2</v>
      </c>
      <c r="I70" s="39">
        <f t="shared" si="1"/>
        <v>1.5381888888888888</v>
      </c>
      <c r="J70" s="39">
        <f t="shared" si="2"/>
        <v>1.5381888888888888</v>
      </c>
      <c r="N70">
        <f t="shared" si="6"/>
        <v>109.16</v>
      </c>
      <c r="O70">
        <f t="shared" si="7"/>
        <v>126.58000000000001</v>
      </c>
      <c r="S70" s="104"/>
      <c r="T70" s="104"/>
      <c r="W70">
        <f t="shared" si="3"/>
        <v>487.74</v>
      </c>
      <c r="X70" s="39">
        <f t="shared" si="4"/>
        <v>165.72229999999999</v>
      </c>
      <c r="Y70" s="39">
        <f t="shared" si="5"/>
        <v>183.14229999999998</v>
      </c>
    </row>
    <row r="71" spans="1:27">
      <c r="B71">
        <v>27</v>
      </c>
      <c r="C71" t="s">
        <v>393</v>
      </c>
      <c r="E71">
        <v>30</v>
      </c>
      <c r="F71">
        <f>SUM($E$39:E71)</f>
        <v>281.5</v>
      </c>
      <c r="G71" s="39">
        <f t="shared" si="9"/>
        <v>0.18333333333333335</v>
      </c>
      <c r="H71" s="39">
        <f t="shared" si="0"/>
        <v>0.18333333333333335</v>
      </c>
      <c r="I71" s="39">
        <f t="shared" si="1"/>
        <v>1.7215222222222222</v>
      </c>
      <c r="J71" s="39">
        <f t="shared" si="2"/>
        <v>1.7215222222222222</v>
      </c>
      <c r="N71">
        <f t="shared" si="6"/>
        <v>109.16</v>
      </c>
      <c r="O71">
        <f t="shared" si="7"/>
        <v>126.58000000000001</v>
      </c>
      <c r="P71">
        <v>2</v>
      </c>
      <c r="Q71" t="s">
        <v>394</v>
      </c>
      <c r="R71">
        <f>F162</f>
        <v>26.78</v>
      </c>
      <c r="S71" s="104">
        <f>I162</f>
        <v>0.16365555555555558</v>
      </c>
      <c r="T71" s="104">
        <f>J162</f>
        <v>0.16365555555555558</v>
      </c>
      <c r="W71">
        <f t="shared" si="3"/>
        <v>544.52</v>
      </c>
      <c r="X71" s="39">
        <f t="shared" si="4"/>
        <v>166.06928888888888</v>
      </c>
      <c r="Y71" s="39">
        <f t="shared" si="5"/>
        <v>183.48928888888886</v>
      </c>
    </row>
    <row r="72" spans="1:27">
      <c r="B72">
        <v>28</v>
      </c>
      <c r="C72" t="s">
        <v>395</v>
      </c>
      <c r="E72">
        <v>19</v>
      </c>
      <c r="F72">
        <f>SUM($E$39:E72)</f>
        <v>300.5</v>
      </c>
      <c r="G72" s="39">
        <f t="shared" si="9"/>
        <v>0.11611111111111112</v>
      </c>
      <c r="H72" s="39">
        <f t="shared" si="0"/>
        <v>0.11611111111111112</v>
      </c>
      <c r="I72" s="39">
        <f t="shared" si="1"/>
        <v>1.8376333333333332</v>
      </c>
      <c r="J72" s="39">
        <f t="shared" si="2"/>
        <v>1.8376333333333332</v>
      </c>
      <c r="N72">
        <f t="shared" si="6"/>
        <v>109.16</v>
      </c>
      <c r="O72">
        <f t="shared" si="7"/>
        <v>126.58000000000001</v>
      </c>
      <c r="S72" s="39"/>
      <c r="T72" s="39"/>
      <c r="W72">
        <f t="shared" si="3"/>
        <v>563.52</v>
      </c>
      <c r="X72" s="39">
        <f t="shared" si="4"/>
        <v>166.18539999999999</v>
      </c>
      <c r="Y72" s="39">
        <f t="shared" si="5"/>
        <v>183.60539999999997</v>
      </c>
    </row>
    <row r="73" spans="1:27">
      <c r="B73">
        <v>29</v>
      </c>
      <c r="C73" t="s">
        <v>396</v>
      </c>
      <c r="E73" t="s">
        <v>397</v>
      </c>
    </row>
    <row r="75" spans="1:27">
      <c r="A75" t="s">
        <v>398</v>
      </c>
    </row>
    <row r="77" spans="1:27">
      <c r="B77" t="s">
        <v>399</v>
      </c>
      <c r="C77" t="s">
        <v>400</v>
      </c>
    </row>
    <row r="78" spans="1:27">
      <c r="B78" t="s">
        <v>401</v>
      </c>
      <c r="C78" t="s">
        <v>400</v>
      </c>
    </row>
    <row r="79" spans="1:27" ht="48">
      <c r="B79" t="s">
        <v>333</v>
      </c>
      <c r="C79" t="s">
        <v>334</v>
      </c>
      <c r="D79" t="s">
        <v>402</v>
      </c>
      <c r="E79" t="s">
        <v>335</v>
      </c>
      <c r="F79" s="13" t="s">
        <v>336</v>
      </c>
      <c r="G79" s="13" t="s">
        <v>403</v>
      </c>
      <c r="H79" s="13" t="s">
        <v>338</v>
      </c>
      <c r="I79" s="13" t="s">
        <v>339</v>
      </c>
      <c r="J79" s="13" t="s">
        <v>340</v>
      </c>
      <c r="K79" s="13" t="s">
        <v>341</v>
      </c>
      <c r="L79" s="13" t="s">
        <v>342</v>
      </c>
      <c r="M79" s="13" t="s">
        <v>343</v>
      </c>
      <c r="N79" s="13" t="s">
        <v>344</v>
      </c>
      <c r="O79" s="13" t="s">
        <v>345</v>
      </c>
      <c r="P79" s="13"/>
      <c r="Q79" s="13"/>
      <c r="R79" s="13"/>
      <c r="S79" s="13"/>
      <c r="T79" s="13"/>
      <c r="U79" s="13"/>
      <c r="V79" s="13"/>
      <c r="W79" s="13"/>
      <c r="X79" s="13"/>
      <c r="Y79" s="13"/>
      <c r="Z79" s="13"/>
      <c r="AA79" s="13"/>
    </row>
    <row r="80" spans="1:27">
      <c r="B80">
        <v>30</v>
      </c>
      <c r="C80" t="s">
        <v>404</v>
      </c>
      <c r="E80">
        <v>1.7</v>
      </c>
      <c r="F80" s="13">
        <f>E80</f>
        <v>1.7</v>
      </c>
      <c r="G80" s="103">
        <f>E80*$E$4</f>
        <v>1.0388888888888888E-2</v>
      </c>
      <c r="H80" s="103">
        <f>E80*$E$5</f>
        <v>1.0388888888888888E-2</v>
      </c>
      <c r="I80" s="103">
        <f>G80</f>
        <v>1.0388888888888888E-2</v>
      </c>
      <c r="J80" s="103">
        <f>H80</f>
        <v>1.0388888888888888E-2</v>
      </c>
      <c r="K80" s="13"/>
      <c r="L80" s="13">
        <v>0</v>
      </c>
      <c r="M80" s="13">
        <v>0</v>
      </c>
      <c r="N80" s="103">
        <f>G80+L80</f>
        <v>1.0388888888888888E-2</v>
      </c>
      <c r="O80" s="103">
        <f>H80+M80</f>
        <v>1.0388888888888888E-2</v>
      </c>
      <c r="P80" s="13"/>
      <c r="Q80" s="13"/>
      <c r="R80" s="13"/>
      <c r="S80" s="13"/>
      <c r="T80" s="13"/>
      <c r="U80" s="13"/>
      <c r="V80" s="13"/>
      <c r="W80" s="13"/>
      <c r="X80" s="13"/>
      <c r="Y80" s="13"/>
      <c r="Z80" s="13"/>
      <c r="AA80" s="13"/>
    </row>
    <row r="81" spans="2:27">
      <c r="B81">
        <v>31</v>
      </c>
      <c r="C81" t="s">
        <v>405</v>
      </c>
      <c r="D81" t="s">
        <v>360</v>
      </c>
      <c r="E81">
        <v>1</v>
      </c>
      <c r="F81" s="13">
        <f>F80+E81</f>
        <v>2.7</v>
      </c>
      <c r="G81" s="103">
        <f t="shared" ref="G81:G109" si="10">E81*$E$4</f>
        <v>6.1111111111111114E-3</v>
      </c>
      <c r="H81" s="103">
        <f t="shared" ref="H81:H102" si="11">E81*$E$5</f>
        <v>6.1111111111111114E-3</v>
      </c>
      <c r="I81" s="103">
        <f>I80+G81</f>
        <v>1.6500000000000001E-2</v>
      </c>
      <c r="J81" s="103">
        <f>J80+H81</f>
        <v>1.6500000000000001E-2</v>
      </c>
      <c r="K81" s="13"/>
      <c r="L81" s="13">
        <v>0</v>
      </c>
      <c r="M81" s="13">
        <v>0</v>
      </c>
      <c r="N81" s="103">
        <f>N80+(G81+L81)</f>
        <v>1.6500000000000001E-2</v>
      </c>
      <c r="O81" s="103">
        <f>O80+(H81+M81)</f>
        <v>1.6500000000000001E-2</v>
      </c>
      <c r="P81" s="13"/>
      <c r="Q81" s="13"/>
      <c r="R81" s="13"/>
      <c r="S81" s="13"/>
      <c r="T81" s="13"/>
      <c r="U81" s="13"/>
      <c r="V81" s="13"/>
      <c r="W81" s="13"/>
      <c r="X81" s="13"/>
      <c r="Y81" s="13"/>
      <c r="Z81" s="13"/>
      <c r="AA81" s="13"/>
    </row>
    <row r="82" spans="2:27">
      <c r="B82">
        <v>32</v>
      </c>
      <c r="C82" t="s">
        <v>406</v>
      </c>
      <c r="E82">
        <v>8</v>
      </c>
      <c r="F82" s="13">
        <f t="shared" ref="F82:F86" si="12">F81+E82</f>
        <v>10.7</v>
      </c>
      <c r="G82" s="103">
        <f t="shared" si="10"/>
        <v>4.8888888888888891E-2</v>
      </c>
      <c r="H82" s="103">
        <f t="shared" si="11"/>
        <v>4.8888888888888891E-2</v>
      </c>
      <c r="I82" s="103">
        <f t="shared" ref="I82:I86" si="13">I81+G82</f>
        <v>6.5388888888888885E-2</v>
      </c>
      <c r="J82" s="103">
        <f t="shared" ref="J82:J87" si="14">J81+H82</f>
        <v>6.5388888888888885E-2</v>
      </c>
      <c r="K82" s="13"/>
      <c r="L82" s="13">
        <v>0</v>
      </c>
      <c r="M82" s="13">
        <v>0</v>
      </c>
      <c r="N82" s="103">
        <f t="shared" ref="N82:N87" si="15">N81+(G82+L82)</f>
        <v>6.5388888888888885E-2</v>
      </c>
      <c r="O82" s="103">
        <f t="shared" ref="O82:O87" si="16">O81+(H82+M82)</f>
        <v>6.5388888888888885E-2</v>
      </c>
      <c r="P82" s="13"/>
      <c r="Q82" s="13"/>
      <c r="R82" s="13"/>
      <c r="S82" s="13"/>
      <c r="T82" s="13"/>
      <c r="U82" s="13"/>
      <c r="V82" s="13"/>
      <c r="W82" s="13"/>
      <c r="X82" s="13"/>
      <c r="Y82" s="13"/>
      <c r="Z82" s="13"/>
      <c r="AA82" s="13"/>
    </row>
    <row r="83" spans="2:27">
      <c r="B83">
        <v>33</v>
      </c>
      <c r="C83" t="s">
        <v>407</v>
      </c>
      <c r="E83">
        <v>0.79</v>
      </c>
      <c r="F83" s="13">
        <f t="shared" si="12"/>
        <v>11.489999999999998</v>
      </c>
      <c r="G83" s="103">
        <f t="shared" si="10"/>
        <v>4.8277777777777781E-3</v>
      </c>
      <c r="H83" s="103">
        <f t="shared" si="11"/>
        <v>4.8277777777777781E-3</v>
      </c>
      <c r="I83" s="103">
        <f t="shared" si="13"/>
        <v>7.0216666666666663E-2</v>
      </c>
      <c r="J83" s="103">
        <f t="shared" si="14"/>
        <v>7.0216666666666663E-2</v>
      </c>
      <c r="K83" s="13"/>
      <c r="L83" s="13">
        <v>0</v>
      </c>
      <c r="M83" s="13">
        <v>0</v>
      </c>
      <c r="N83" s="103">
        <f t="shared" si="15"/>
        <v>7.0216666666666663E-2</v>
      </c>
      <c r="O83" s="103">
        <f t="shared" si="16"/>
        <v>7.0216666666666663E-2</v>
      </c>
      <c r="P83" s="13"/>
      <c r="Q83" s="13"/>
      <c r="R83" s="13"/>
      <c r="S83" s="13"/>
      <c r="T83" s="13"/>
      <c r="U83" s="13"/>
      <c r="V83" s="13"/>
      <c r="W83" s="13"/>
      <c r="X83" s="13"/>
      <c r="Y83" s="13"/>
      <c r="Z83" s="13"/>
      <c r="AA83" s="13"/>
    </row>
    <row r="84" spans="2:27">
      <c r="B84">
        <v>34</v>
      </c>
      <c r="C84" t="s">
        <v>408</v>
      </c>
      <c r="D84" t="s">
        <v>360</v>
      </c>
      <c r="E84">
        <v>1</v>
      </c>
      <c r="F84" s="13">
        <f t="shared" si="12"/>
        <v>12.489999999999998</v>
      </c>
      <c r="G84" s="103">
        <f t="shared" si="10"/>
        <v>6.1111111111111114E-3</v>
      </c>
      <c r="H84" s="103">
        <f t="shared" si="11"/>
        <v>6.1111111111111114E-3</v>
      </c>
      <c r="I84" s="103">
        <f t="shared" si="13"/>
        <v>7.6327777777777772E-2</v>
      </c>
      <c r="J84" s="103">
        <f t="shared" si="14"/>
        <v>7.6327777777777772E-2</v>
      </c>
      <c r="K84" s="13"/>
      <c r="L84" s="13">
        <v>0</v>
      </c>
      <c r="M84" s="13">
        <v>0</v>
      </c>
      <c r="N84" s="103">
        <f t="shared" si="15"/>
        <v>7.6327777777777772E-2</v>
      </c>
      <c r="O84" s="103">
        <f t="shared" si="16"/>
        <v>7.6327777777777772E-2</v>
      </c>
      <c r="P84" s="13"/>
      <c r="Q84" s="13"/>
      <c r="R84" s="13"/>
      <c r="S84" s="13"/>
      <c r="T84" s="13"/>
      <c r="U84" s="13"/>
      <c r="V84" s="13"/>
      <c r="W84" s="13"/>
      <c r="X84" s="13"/>
      <c r="Y84" s="13"/>
      <c r="Z84" s="13"/>
      <c r="AA84" s="13"/>
    </row>
    <row r="85" spans="2:27">
      <c r="B85">
        <v>35</v>
      </c>
      <c r="C85" t="s">
        <v>409</v>
      </c>
      <c r="E85">
        <v>2.08</v>
      </c>
      <c r="F85" s="13">
        <f t="shared" si="12"/>
        <v>14.569999999999999</v>
      </c>
      <c r="G85" s="103">
        <f t="shared" si="10"/>
        <v>1.2711111111111112E-2</v>
      </c>
      <c r="H85" s="103">
        <f t="shared" si="11"/>
        <v>1.2711111111111112E-2</v>
      </c>
      <c r="I85" s="103">
        <f t="shared" si="13"/>
        <v>8.903888888888889E-2</v>
      </c>
      <c r="J85" s="103">
        <f t="shared" si="14"/>
        <v>8.903888888888889E-2</v>
      </c>
      <c r="K85" s="13"/>
      <c r="L85" s="13">
        <v>0</v>
      </c>
      <c r="M85" s="13">
        <v>0</v>
      </c>
      <c r="N85" s="103">
        <f t="shared" si="15"/>
        <v>8.903888888888889E-2</v>
      </c>
      <c r="O85" s="103">
        <f t="shared" si="16"/>
        <v>8.903888888888889E-2</v>
      </c>
      <c r="P85" s="13"/>
      <c r="Q85" s="13"/>
      <c r="R85" s="13"/>
      <c r="S85" s="13"/>
      <c r="T85" s="13"/>
      <c r="U85" s="13"/>
      <c r="V85" s="13"/>
      <c r="W85" s="13"/>
      <c r="X85" s="13"/>
      <c r="Y85" s="13"/>
      <c r="Z85" s="13"/>
      <c r="AA85" s="13"/>
    </row>
    <row r="86" spans="2:27">
      <c r="B86">
        <v>1</v>
      </c>
      <c r="C86" t="s">
        <v>358</v>
      </c>
      <c r="E86">
        <v>14</v>
      </c>
      <c r="F86" s="13">
        <f t="shared" si="12"/>
        <v>28.57</v>
      </c>
      <c r="G86" s="103">
        <f t="shared" si="10"/>
        <v>8.5555555555555565E-2</v>
      </c>
      <c r="H86" s="103">
        <f t="shared" si="11"/>
        <v>8.5555555555555565E-2</v>
      </c>
      <c r="I86" s="103">
        <f t="shared" si="13"/>
        <v>0.17459444444444444</v>
      </c>
      <c r="J86" s="103">
        <f t="shared" si="14"/>
        <v>0.17459444444444444</v>
      </c>
      <c r="K86">
        <v>1</v>
      </c>
      <c r="L86">
        <f>VLOOKUP(K86,Components!A$4:I$21,8,0)</f>
        <v>6.61</v>
      </c>
      <c r="M86">
        <f>VLOOKUP(K86,Components!A$4:I$21,9,0)</f>
        <v>6.61</v>
      </c>
      <c r="N86" s="103">
        <f t="shared" si="15"/>
        <v>6.784594444444445</v>
      </c>
      <c r="O86" s="103">
        <f t="shared" si="16"/>
        <v>6.784594444444445</v>
      </c>
    </row>
    <row r="87" spans="2:27">
      <c r="B87">
        <v>2</v>
      </c>
      <c r="C87" t="s">
        <v>410</v>
      </c>
      <c r="D87" t="s">
        <v>360</v>
      </c>
      <c r="E87">
        <v>2</v>
      </c>
      <c r="F87" s="13">
        <f>F86+E87</f>
        <v>30.57</v>
      </c>
      <c r="G87" s="103">
        <f t="shared" si="10"/>
        <v>1.2222222222222223E-2</v>
      </c>
      <c r="H87" s="103">
        <f t="shared" si="11"/>
        <v>1.2222222222222223E-2</v>
      </c>
      <c r="I87" s="103">
        <f>I86+G87</f>
        <v>0.18681666666666666</v>
      </c>
      <c r="J87" s="103">
        <f t="shared" si="14"/>
        <v>0.18681666666666666</v>
      </c>
      <c r="K87">
        <v>1</v>
      </c>
      <c r="L87">
        <v>0</v>
      </c>
      <c r="M87">
        <f>VLOOKUP(K87,Components!K$3:P$49,6,0)</f>
        <v>0</v>
      </c>
      <c r="N87" s="103">
        <f t="shared" si="15"/>
        <v>6.7968166666666674</v>
      </c>
      <c r="O87" s="103">
        <f t="shared" si="16"/>
        <v>6.7968166666666674</v>
      </c>
    </row>
    <row r="88" spans="2:27">
      <c r="G88" s="103"/>
      <c r="H88" s="103"/>
      <c r="I88" s="39"/>
      <c r="J88" s="39"/>
      <c r="L88">
        <f>SUM(L80:L87)</f>
        <v>6.61</v>
      </c>
      <c r="M88">
        <f>SUM(M80:M87)</f>
        <v>6.61</v>
      </c>
      <c r="N88" s="39"/>
      <c r="O88" s="39"/>
    </row>
    <row r="89" spans="2:27">
      <c r="G89" s="103"/>
      <c r="H89" s="103"/>
      <c r="I89" s="39"/>
      <c r="J89" s="39"/>
      <c r="N89" s="39"/>
      <c r="O89" s="39"/>
    </row>
    <row r="90" spans="2:27">
      <c r="G90" s="103"/>
      <c r="H90" s="103"/>
      <c r="I90" s="39"/>
      <c r="J90" s="39"/>
      <c r="N90" s="39"/>
      <c r="O90" s="39"/>
    </row>
    <row r="91" spans="2:27">
      <c r="G91" s="103"/>
      <c r="H91" s="103"/>
      <c r="I91" s="39"/>
      <c r="J91" s="39"/>
      <c r="N91" s="39"/>
      <c r="O91" s="39"/>
    </row>
    <row r="92" spans="2:27">
      <c r="G92" s="103"/>
      <c r="H92" s="103"/>
      <c r="I92" s="39"/>
      <c r="J92" s="39"/>
      <c r="K92" s="90"/>
      <c r="N92" s="39"/>
      <c r="O92" s="39"/>
    </row>
    <row r="93" spans="2:27">
      <c r="B93" t="s">
        <v>411</v>
      </c>
      <c r="C93" t="s">
        <v>412</v>
      </c>
      <c r="G93" s="103"/>
      <c r="H93" s="103"/>
      <c r="I93" s="39"/>
      <c r="J93" s="39"/>
      <c r="N93" s="39"/>
      <c r="O93" s="39"/>
    </row>
    <row r="94" spans="2:27">
      <c r="B94">
        <v>36</v>
      </c>
      <c r="C94" t="s">
        <v>413</v>
      </c>
      <c r="D94" t="s">
        <v>360</v>
      </c>
      <c r="E94">
        <v>3</v>
      </c>
      <c r="F94">
        <f>E94</f>
        <v>3</v>
      </c>
      <c r="G94" s="103">
        <f t="shared" si="10"/>
        <v>1.8333333333333333E-2</v>
      </c>
      <c r="H94" s="103">
        <f t="shared" si="11"/>
        <v>1.8333333333333333E-2</v>
      </c>
      <c r="I94" s="39">
        <f>G94</f>
        <v>1.8333333333333333E-2</v>
      </c>
      <c r="J94" s="39">
        <f>H94</f>
        <v>1.8333333333333333E-2</v>
      </c>
      <c r="N94" s="103">
        <f>G94+L94</f>
        <v>1.8333333333333333E-2</v>
      </c>
      <c r="O94" s="103">
        <f>H94+M94</f>
        <v>1.8333333333333333E-2</v>
      </c>
    </row>
    <row r="95" spans="2:27">
      <c r="B95">
        <v>30</v>
      </c>
      <c r="C95" t="s">
        <v>404</v>
      </c>
      <c r="E95">
        <v>1.7</v>
      </c>
      <c r="F95" s="13">
        <f>F94+E95</f>
        <v>4.7</v>
      </c>
      <c r="G95" s="103">
        <f t="shared" si="10"/>
        <v>1.0388888888888888E-2</v>
      </c>
      <c r="H95" s="103">
        <f t="shared" si="11"/>
        <v>1.0388888888888888E-2</v>
      </c>
      <c r="I95" s="39">
        <f>I94+G95</f>
        <v>2.8722222222222222E-2</v>
      </c>
      <c r="J95" s="39">
        <f>J94+H95</f>
        <v>2.8722222222222222E-2</v>
      </c>
      <c r="N95" s="103">
        <f t="shared" ref="N95:N106" si="17">N94+(G95+L95)</f>
        <v>2.8722222222222222E-2</v>
      </c>
      <c r="O95" s="103">
        <f t="shared" ref="O95:O106" si="18">O94+(H95+M95)</f>
        <v>2.8722222222222222E-2</v>
      </c>
    </row>
    <row r="96" spans="2:27">
      <c r="B96">
        <v>31</v>
      </c>
      <c r="C96" t="s">
        <v>405</v>
      </c>
      <c r="D96" t="s">
        <v>360</v>
      </c>
      <c r="E96">
        <v>1</v>
      </c>
      <c r="F96" s="13">
        <f t="shared" ref="F96:F106" si="19">F95+E96</f>
        <v>5.7</v>
      </c>
      <c r="G96" s="103">
        <f t="shared" si="10"/>
        <v>6.1111111111111114E-3</v>
      </c>
      <c r="H96" s="103">
        <f t="shared" si="11"/>
        <v>6.1111111111111114E-3</v>
      </c>
      <c r="I96" s="39">
        <f t="shared" ref="I96:I102" si="20">I95+G96</f>
        <v>3.4833333333333334E-2</v>
      </c>
      <c r="J96" s="39">
        <f t="shared" ref="J96:J102" si="21">J95+H96</f>
        <v>3.4833333333333334E-2</v>
      </c>
      <c r="N96" s="103">
        <f t="shared" si="17"/>
        <v>3.4833333333333334E-2</v>
      </c>
      <c r="O96" s="103">
        <f t="shared" si="18"/>
        <v>3.4833333333333334E-2</v>
      </c>
    </row>
    <row r="97" spans="2:15">
      <c r="B97">
        <v>32</v>
      </c>
      <c r="C97" t="s">
        <v>406</v>
      </c>
      <c r="E97">
        <v>8</v>
      </c>
      <c r="F97" s="13">
        <f t="shared" si="19"/>
        <v>13.7</v>
      </c>
      <c r="G97" s="103">
        <f t="shared" si="10"/>
        <v>4.8888888888888891E-2</v>
      </c>
      <c r="H97" s="103">
        <f t="shared" si="11"/>
        <v>4.8888888888888891E-2</v>
      </c>
      <c r="I97" s="39">
        <f t="shared" si="20"/>
        <v>8.3722222222222226E-2</v>
      </c>
      <c r="J97" s="39">
        <f t="shared" si="21"/>
        <v>8.3722222222222226E-2</v>
      </c>
      <c r="N97" s="103">
        <f t="shared" si="17"/>
        <v>8.3722222222222226E-2</v>
      </c>
      <c r="O97" s="103">
        <f t="shared" si="18"/>
        <v>8.3722222222222226E-2</v>
      </c>
    </row>
    <row r="98" spans="2:15">
      <c r="B98">
        <v>33</v>
      </c>
      <c r="C98" t="s">
        <v>407</v>
      </c>
      <c r="E98">
        <v>0.79</v>
      </c>
      <c r="F98" s="13">
        <f t="shared" si="19"/>
        <v>14.489999999999998</v>
      </c>
      <c r="G98" s="103">
        <f t="shared" si="10"/>
        <v>4.8277777777777781E-3</v>
      </c>
      <c r="H98" s="103">
        <f t="shared" si="11"/>
        <v>4.8277777777777781E-3</v>
      </c>
      <c r="I98" s="39">
        <f t="shared" si="20"/>
        <v>8.8550000000000004E-2</v>
      </c>
      <c r="J98" s="39">
        <f t="shared" si="21"/>
        <v>8.8550000000000004E-2</v>
      </c>
      <c r="N98" s="103">
        <f t="shared" si="17"/>
        <v>8.8550000000000004E-2</v>
      </c>
      <c r="O98" s="103">
        <f t="shared" si="18"/>
        <v>8.8550000000000004E-2</v>
      </c>
    </row>
    <row r="99" spans="2:15">
      <c r="B99">
        <v>34</v>
      </c>
      <c r="C99" t="s">
        <v>408</v>
      </c>
      <c r="D99" t="s">
        <v>360</v>
      </c>
      <c r="E99">
        <v>1</v>
      </c>
      <c r="F99" s="13">
        <f t="shared" si="19"/>
        <v>15.489999999999998</v>
      </c>
      <c r="G99" s="103">
        <f t="shared" si="10"/>
        <v>6.1111111111111114E-3</v>
      </c>
      <c r="H99" s="103">
        <f t="shared" si="11"/>
        <v>6.1111111111111114E-3</v>
      </c>
      <c r="I99" s="39">
        <f t="shared" si="20"/>
        <v>9.4661111111111113E-2</v>
      </c>
      <c r="J99" s="39">
        <f t="shared" si="21"/>
        <v>9.4661111111111113E-2</v>
      </c>
      <c r="N99" s="103">
        <f t="shared" si="17"/>
        <v>9.4661111111111113E-2</v>
      </c>
      <c r="O99" s="103">
        <f t="shared" si="18"/>
        <v>9.4661111111111113E-2</v>
      </c>
    </row>
    <row r="100" spans="2:15">
      <c r="B100">
        <v>35</v>
      </c>
      <c r="C100" t="s">
        <v>409</v>
      </c>
      <c r="E100">
        <v>2.08</v>
      </c>
      <c r="F100" s="13">
        <f t="shared" si="19"/>
        <v>17.57</v>
      </c>
      <c r="G100" s="103">
        <f t="shared" si="10"/>
        <v>1.2711111111111112E-2</v>
      </c>
      <c r="H100" s="103">
        <f t="shared" si="11"/>
        <v>1.2711111111111112E-2</v>
      </c>
      <c r="I100" s="39">
        <f t="shared" si="20"/>
        <v>0.10737222222222223</v>
      </c>
      <c r="J100" s="39">
        <f t="shared" si="21"/>
        <v>0.10737222222222223</v>
      </c>
      <c r="N100" s="103">
        <f t="shared" si="17"/>
        <v>0.10737222222222223</v>
      </c>
      <c r="O100" s="103">
        <f t="shared" si="18"/>
        <v>0.10737222222222223</v>
      </c>
    </row>
    <row r="101" spans="2:15">
      <c r="B101">
        <v>1</v>
      </c>
      <c r="C101" t="s">
        <v>358</v>
      </c>
      <c r="E101">
        <v>14</v>
      </c>
      <c r="F101" s="13">
        <f t="shared" si="19"/>
        <v>31.57</v>
      </c>
      <c r="G101" s="103">
        <f t="shared" si="10"/>
        <v>8.5555555555555565E-2</v>
      </c>
      <c r="H101" s="103">
        <f t="shared" si="11"/>
        <v>8.5555555555555565E-2</v>
      </c>
      <c r="I101" s="39">
        <f t="shared" si="20"/>
        <v>0.19292777777777781</v>
      </c>
      <c r="J101" s="39">
        <f t="shared" si="21"/>
        <v>0.19292777777777781</v>
      </c>
      <c r="K101">
        <v>1</v>
      </c>
      <c r="L101">
        <f>VLOOKUP(K101,Components!A$4:I$21,8,0)</f>
        <v>6.61</v>
      </c>
      <c r="M101">
        <f>VLOOKUP(K101,Components!A$4:I$21,9,0)</f>
        <v>6.61</v>
      </c>
      <c r="N101" s="103">
        <f t="shared" si="17"/>
        <v>6.8029277777777786</v>
      </c>
      <c r="O101" s="103">
        <f t="shared" si="18"/>
        <v>6.8029277777777786</v>
      </c>
    </row>
    <row r="102" spans="2:15">
      <c r="B102">
        <v>2</v>
      </c>
      <c r="C102" t="s">
        <v>410</v>
      </c>
      <c r="D102" t="s">
        <v>360</v>
      </c>
      <c r="E102">
        <v>2</v>
      </c>
      <c r="F102" s="13">
        <f t="shared" si="19"/>
        <v>33.57</v>
      </c>
      <c r="G102" s="103">
        <f t="shared" si="10"/>
        <v>1.2222222222222223E-2</v>
      </c>
      <c r="H102" s="103">
        <f t="shared" si="11"/>
        <v>1.2222222222222223E-2</v>
      </c>
      <c r="I102" s="39">
        <f t="shared" si="20"/>
        <v>0.20515000000000003</v>
      </c>
      <c r="J102" s="39">
        <f t="shared" si="21"/>
        <v>0.20515000000000003</v>
      </c>
      <c r="K102">
        <v>1</v>
      </c>
      <c r="N102" s="103">
        <f t="shared" si="17"/>
        <v>6.8151500000000009</v>
      </c>
      <c r="O102" s="103">
        <f t="shared" si="18"/>
        <v>6.8151500000000009</v>
      </c>
    </row>
    <row r="103" spans="2:15">
      <c r="B103">
        <v>3</v>
      </c>
      <c r="C103" t="s">
        <v>362</v>
      </c>
      <c r="E103">
        <v>3</v>
      </c>
      <c r="F103" s="13">
        <f t="shared" si="19"/>
        <v>36.57</v>
      </c>
      <c r="G103" s="103">
        <f t="shared" si="10"/>
        <v>1.8333333333333333E-2</v>
      </c>
      <c r="H103" s="39">
        <f t="shared" ref="H103" si="22">E103*$E$5</f>
        <v>1.8333333333333333E-2</v>
      </c>
      <c r="I103" s="39">
        <f>SUM(I87,G103)</f>
        <v>0.20515</v>
      </c>
      <c r="J103" s="39">
        <f>SUM(J87,H103)</f>
        <v>0.20515</v>
      </c>
      <c r="K103">
        <v>2</v>
      </c>
      <c r="L103">
        <f>VLOOKUP(K103,Components!A$4:I$21,8,0)</f>
        <v>0.08</v>
      </c>
      <c r="M103">
        <f>VLOOKUP(K103,Components!A$4:I$21,9,0)</f>
        <v>0.08</v>
      </c>
      <c r="N103" s="103">
        <f t="shared" si="17"/>
        <v>6.9134833333333345</v>
      </c>
      <c r="O103" s="103">
        <f t="shared" si="18"/>
        <v>6.9134833333333345</v>
      </c>
    </row>
    <row r="104" spans="2:15">
      <c r="F104" s="13">
        <f>F103+E104</f>
        <v>36.57</v>
      </c>
      <c r="G104" s="103">
        <f t="shared" si="10"/>
        <v>0</v>
      </c>
      <c r="H104" s="39"/>
      <c r="I104" s="39"/>
      <c r="J104" s="39"/>
      <c r="K104">
        <v>12</v>
      </c>
      <c r="L104">
        <f>VLOOKUP(K104,Components!A$4:I$21,8,0)</f>
        <v>3</v>
      </c>
      <c r="M104">
        <f>VLOOKUP(K104,Components!A$4:I$21,9,0)</f>
        <v>3</v>
      </c>
      <c r="N104" s="103">
        <f t="shared" si="17"/>
        <v>9.9134833333333354</v>
      </c>
      <c r="O104" s="103">
        <f t="shared" si="18"/>
        <v>9.9134833333333354</v>
      </c>
    </row>
    <row r="105" spans="2:15">
      <c r="F105" s="13">
        <f t="shared" si="19"/>
        <v>36.57</v>
      </c>
      <c r="G105" s="103">
        <f t="shared" si="10"/>
        <v>0</v>
      </c>
      <c r="H105" s="39"/>
      <c r="I105" s="39"/>
      <c r="J105" s="39"/>
      <c r="K105">
        <v>13</v>
      </c>
      <c r="L105">
        <f>VLOOKUP(K105,Components!A$4:I$21,8,0)</f>
        <v>6</v>
      </c>
      <c r="M105">
        <f>VLOOKUP(K105,Components!A$4:I$21,9,0)</f>
        <v>6</v>
      </c>
      <c r="N105" s="103">
        <f t="shared" si="17"/>
        <v>15.913483333333335</v>
      </c>
      <c r="O105" s="103">
        <f t="shared" si="18"/>
        <v>15.913483333333335</v>
      </c>
    </row>
    <row r="106" spans="2:15">
      <c r="B106">
        <v>4</v>
      </c>
      <c r="C106" t="s">
        <v>363</v>
      </c>
      <c r="E106">
        <v>7</v>
      </c>
      <c r="F106" s="13">
        <f t="shared" si="19"/>
        <v>43.57</v>
      </c>
      <c r="G106" s="103">
        <f t="shared" si="10"/>
        <v>4.2777777777777783E-2</v>
      </c>
      <c r="H106" s="39">
        <f t="shared" ref="H106:H109" si="23">E106*$E$5</f>
        <v>4.2777777777777783E-2</v>
      </c>
      <c r="I106" s="39">
        <f>SUM(I103,G106)</f>
        <v>0.24792777777777777</v>
      </c>
      <c r="J106" s="39">
        <f>SUM(J103,H106)</f>
        <v>0.24792777777777777</v>
      </c>
      <c r="K106" s="90">
        <v>14</v>
      </c>
      <c r="L106">
        <f>VLOOKUP(K106,Components!A$4:I$21,8,0)</f>
        <v>10</v>
      </c>
      <c r="M106">
        <f>VLOOKUP(K106,Components!A$4:I$21,9,0)</f>
        <v>10</v>
      </c>
      <c r="N106" s="103">
        <f t="shared" si="17"/>
        <v>25.956261111111111</v>
      </c>
      <c r="O106" s="103">
        <f t="shared" si="18"/>
        <v>25.956261111111111</v>
      </c>
    </row>
    <row r="107" spans="2:15">
      <c r="G107" s="103"/>
      <c r="H107" s="39"/>
      <c r="I107" s="39"/>
      <c r="J107" s="39"/>
      <c r="L107">
        <f>SUM(L101:L106)</f>
        <v>25.69</v>
      </c>
      <c r="M107">
        <f>SUM(M101:M106)</f>
        <v>25.69</v>
      </c>
      <c r="N107" s="39"/>
      <c r="O107" s="39"/>
    </row>
    <row r="108" spans="2:15">
      <c r="B108" t="s">
        <v>414</v>
      </c>
      <c r="C108" t="s">
        <v>415</v>
      </c>
      <c r="G108" s="103"/>
      <c r="H108" s="39"/>
      <c r="I108" s="39"/>
      <c r="J108" s="39"/>
      <c r="N108" s="39"/>
      <c r="O108" s="39"/>
    </row>
    <row r="109" spans="2:15">
      <c r="B109">
        <v>37</v>
      </c>
      <c r="C109" t="s">
        <v>416</v>
      </c>
      <c r="E109">
        <v>11</v>
      </c>
      <c r="F109">
        <f>E109</f>
        <v>11</v>
      </c>
      <c r="G109" s="103">
        <f t="shared" si="10"/>
        <v>6.7222222222222225E-2</v>
      </c>
      <c r="H109" s="39">
        <f t="shared" si="23"/>
        <v>6.7222222222222225E-2</v>
      </c>
      <c r="I109" s="39">
        <f>G109</f>
        <v>6.7222222222222225E-2</v>
      </c>
      <c r="J109" s="39">
        <f>H109</f>
        <v>6.7222222222222225E-2</v>
      </c>
      <c r="N109" s="103">
        <f>G109+L109</f>
        <v>6.7222222222222225E-2</v>
      </c>
      <c r="O109" s="103">
        <f>H109+M109</f>
        <v>6.7222222222222225E-2</v>
      </c>
    </row>
    <row r="110" spans="2:15">
      <c r="G110" s="39"/>
      <c r="H110" s="39"/>
      <c r="I110" s="39"/>
      <c r="J110" s="39"/>
      <c r="N110" s="39"/>
      <c r="O110" s="39"/>
    </row>
    <row r="111" spans="2:15">
      <c r="G111" s="39"/>
      <c r="H111" s="39"/>
      <c r="I111" s="39"/>
      <c r="J111" s="39"/>
      <c r="N111" s="39"/>
      <c r="O111" s="39"/>
    </row>
    <row r="112" spans="2:15">
      <c r="B112" t="s">
        <v>417</v>
      </c>
      <c r="C112" t="s">
        <v>418</v>
      </c>
      <c r="G112" s="39"/>
      <c r="H112" s="39"/>
      <c r="I112" s="39"/>
      <c r="J112" s="39"/>
      <c r="N112" s="39"/>
      <c r="O112" s="39"/>
    </row>
    <row r="113" spans="2:15">
      <c r="B113">
        <v>37</v>
      </c>
      <c r="C113" t="s">
        <v>416</v>
      </c>
      <c r="E113">
        <v>8</v>
      </c>
      <c r="F113" s="13">
        <f>E113</f>
        <v>8</v>
      </c>
      <c r="G113" s="39">
        <f t="shared" ref="G113:G119" si="24">E113*$E$4</f>
        <v>4.8888888888888891E-2</v>
      </c>
      <c r="H113" s="39">
        <f t="shared" ref="H113:H119" si="25">E113*$E$5</f>
        <v>4.8888888888888891E-2</v>
      </c>
      <c r="I113" s="39">
        <f>G113</f>
        <v>4.8888888888888891E-2</v>
      </c>
      <c r="J113" s="39">
        <f>H113</f>
        <v>4.8888888888888891E-2</v>
      </c>
      <c r="N113" s="103">
        <f>G113+I113</f>
        <v>9.7777777777777783E-2</v>
      </c>
      <c r="O113" s="103">
        <f>H113+J113</f>
        <v>9.7777777777777783E-2</v>
      </c>
    </row>
    <row r="114" spans="2:15">
      <c r="B114">
        <v>30</v>
      </c>
      <c r="C114" t="s">
        <v>404</v>
      </c>
      <c r="E114">
        <v>1.7</v>
      </c>
      <c r="F114" s="13">
        <f t="shared" ref="F114:F119" si="26">F113+E114</f>
        <v>9.6999999999999993</v>
      </c>
      <c r="G114" s="39">
        <f t="shared" si="24"/>
        <v>1.0388888888888888E-2</v>
      </c>
      <c r="H114" s="39">
        <f t="shared" si="25"/>
        <v>1.0388888888888888E-2</v>
      </c>
      <c r="I114" s="39">
        <f t="shared" ref="I114:I119" si="27">I113+G114</f>
        <v>5.9277777777777776E-2</v>
      </c>
      <c r="J114" s="39">
        <f t="shared" ref="J114:J119" si="28">J113+H114</f>
        <v>5.9277777777777776E-2</v>
      </c>
      <c r="N114" s="103">
        <f t="shared" ref="N114:N119" si="29">N113+(G114+L114)</f>
        <v>0.10816666666666667</v>
      </c>
      <c r="O114" s="103">
        <f t="shared" ref="O114:O119" si="30">O113+(H114+M114)</f>
        <v>0.10816666666666667</v>
      </c>
    </row>
    <row r="115" spans="2:15">
      <c r="B115">
        <v>31</v>
      </c>
      <c r="C115" t="s">
        <v>405</v>
      </c>
      <c r="D115" t="s">
        <v>360</v>
      </c>
      <c r="E115">
        <v>1</v>
      </c>
      <c r="F115" s="13">
        <f t="shared" si="26"/>
        <v>10.7</v>
      </c>
      <c r="G115" s="39">
        <f t="shared" si="24"/>
        <v>6.1111111111111114E-3</v>
      </c>
      <c r="H115" s="39">
        <f t="shared" si="25"/>
        <v>6.1111111111111114E-3</v>
      </c>
      <c r="I115" s="39">
        <f t="shared" si="27"/>
        <v>6.5388888888888885E-2</v>
      </c>
      <c r="J115" s="39">
        <f t="shared" si="28"/>
        <v>6.5388888888888885E-2</v>
      </c>
      <c r="N115" s="103">
        <f t="shared" si="29"/>
        <v>0.11427777777777778</v>
      </c>
      <c r="O115" s="103">
        <f t="shared" si="30"/>
        <v>0.11427777777777778</v>
      </c>
    </row>
    <row r="116" spans="2:15">
      <c r="B116">
        <v>32</v>
      </c>
      <c r="C116" t="s">
        <v>406</v>
      </c>
      <c r="E116">
        <v>8</v>
      </c>
      <c r="F116" s="13">
        <f t="shared" si="26"/>
        <v>18.7</v>
      </c>
      <c r="G116" s="39">
        <f t="shared" si="24"/>
        <v>4.8888888888888891E-2</v>
      </c>
      <c r="H116" s="39">
        <f t="shared" si="25"/>
        <v>4.8888888888888891E-2</v>
      </c>
      <c r="I116" s="39">
        <f t="shared" si="27"/>
        <v>0.11427777777777778</v>
      </c>
      <c r="J116" s="39">
        <f t="shared" si="28"/>
        <v>0.11427777777777778</v>
      </c>
      <c r="N116" s="103">
        <f t="shared" si="29"/>
        <v>0.16316666666666668</v>
      </c>
      <c r="O116" s="103">
        <f t="shared" si="30"/>
        <v>0.16316666666666668</v>
      </c>
    </row>
    <row r="117" spans="2:15">
      <c r="B117" s="90">
        <v>33</v>
      </c>
      <c r="C117" s="118" t="s">
        <v>407</v>
      </c>
      <c r="E117">
        <v>0.79</v>
      </c>
      <c r="F117" s="13">
        <f t="shared" si="26"/>
        <v>19.489999999999998</v>
      </c>
      <c r="G117" s="39">
        <f t="shared" si="24"/>
        <v>4.8277777777777781E-3</v>
      </c>
      <c r="H117" s="39">
        <f t="shared" si="25"/>
        <v>4.8277777777777781E-3</v>
      </c>
      <c r="I117" s="39">
        <f t="shared" si="27"/>
        <v>0.11910555555555556</v>
      </c>
      <c r="J117" s="39">
        <f t="shared" si="28"/>
        <v>0.11910555555555556</v>
      </c>
      <c r="N117" s="103">
        <f t="shared" si="29"/>
        <v>0.16799444444444445</v>
      </c>
      <c r="O117" s="103">
        <f t="shared" si="30"/>
        <v>0.16799444444444445</v>
      </c>
    </row>
    <row r="118" spans="2:15">
      <c r="B118" s="90">
        <v>34</v>
      </c>
      <c r="C118" s="118" t="s">
        <v>408</v>
      </c>
      <c r="D118" t="s">
        <v>360</v>
      </c>
      <c r="E118">
        <v>1</v>
      </c>
      <c r="F118" s="13">
        <f t="shared" si="26"/>
        <v>20.49</v>
      </c>
      <c r="G118" s="39">
        <f t="shared" si="24"/>
        <v>6.1111111111111114E-3</v>
      </c>
      <c r="H118" s="39">
        <f t="shared" si="25"/>
        <v>6.1111111111111114E-3</v>
      </c>
      <c r="I118" s="39">
        <f t="shared" si="27"/>
        <v>0.12521666666666667</v>
      </c>
      <c r="J118" s="39">
        <f t="shared" si="28"/>
        <v>0.12521666666666667</v>
      </c>
      <c r="N118" s="103">
        <f t="shared" si="29"/>
        <v>0.17410555555555557</v>
      </c>
      <c r="O118" s="103">
        <f t="shared" si="30"/>
        <v>0.17410555555555557</v>
      </c>
    </row>
    <row r="119" spans="2:15">
      <c r="B119">
        <v>35</v>
      </c>
      <c r="C119" t="s">
        <v>409</v>
      </c>
      <c r="E119">
        <v>2.08</v>
      </c>
      <c r="F119" s="13">
        <f t="shared" si="26"/>
        <v>22.57</v>
      </c>
      <c r="G119" s="39">
        <f t="shared" si="24"/>
        <v>1.2711111111111112E-2</v>
      </c>
      <c r="H119" s="39">
        <f t="shared" si="25"/>
        <v>1.2711111111111112E-2</v>
      </c>
      <c r="I119" s="39">
        <f t="shared" si="27"/>
        <v>0.13792777777777779</v>
      </c>
      <c r="J119" s="39">
        <f t="shared" si="28"/>
        <v>0.13792777777777779</v>
      </c>
      <c r="N119" s="103">
        <f t="shared" si="29"/>
        <v>0.18681666666666669</v>
      </c>
      <c r="O119" s="103">
        <f t="shared" si="30"/>
        <v>0.18681666666666669</v>
      </c>
    </row>
    <row r="120" spans="2:15">
      <c r="G120" s="39"/>
      <c r="H120" s="39"/>
      <c r="I120" s="39"/>
      <c r="J120" s="39"/>
      <c r="N120" s="39"/>
      <c r="O120" s="39"/>
    </row>
    <row r="121" spans="2:15">
      <c r="B121" t="s">
        <v>419</v>
      </c>
      <c r="C121" t="s">
        <v>420</v>
      </c>
      <c r="G121" s="39"/>
      <c r="H121" s="39"/>
      <c r="I121" s="39"/>
      <c r="J121" s="39"/>
      <c r="N121" s="39"/>
      <c r="O121" s="39"/>
    </row>
    <row r="122" spans="2:15">
      <c r="G122" s="39"/>
      <c r="H122" s="39"/>
      <c r="I122" s="39"/>
      <c r="J122" s="39"/>
      <c r="N122" s="39"/>
      <c r="O122" s="39"/>
    </row>
    <row r="123" spans="2:15">
      <c r="G123" s="39"/>
      <c r="H123" s="39"/>
      <c r="I123" s="39"/>
      <c r="J123" s="39"/>
      <c r="N123" s="39"/>
      <c r="O123" s="39"/>
    </row>
    <row r="124" spans="2:15">
      <c r="B124" s="89" t="s">
        <v>421</v>
      </c>
      <c r="C124" t="s">
        <v>422</v>
      </c>
      <c r="G124" s="39"/>
      <c r="H124" s="39"/>
      <c r="I124" s="39"/>
      <c r="J124" s="39"/>
      <c r="N124" s="39"/>
      <c r="O124" s="39"/>
    </row>
    <row r="125" spans="2:15" ht="16">
      <c r="B125">
        <v>38</v>
      </c>
      <c r="C125" s="85" t="s">
        <v>423</v>
      </c>
      <c r="E125">
        <v>14</v>
      </c>
      <c r="F125">
        <f>E125</f>
        <v>14</v>
      </c>
      <c r="G125" s="39">
        <f t="shared" ref="G125:G130" si="31">E125*$E$4</f>
        <v>8.5555555555555565E-2</v>
      </c>
      <c r="H125" s="39">
        <f t="shared" ref="H125:H130" si="32">E125*$E$5</f>
        <v>8.5555555555555565E-2</v>
      </c>
      <c r="I125" s="39">
        <f>G125</f>
        <v>8.5555555555555565E-2</v>
      </c>
      <c r="J125" s="39">
        <f>H125</f>
        <v>8.5555555555555565E-2</v>
      </c>
      <c r="N125" s="103">
        <f>G125+L125</f>
        <v>8.5555555555555565E-2</v>
      </c>
      <c r="O125" s="103">
        <f>H125+M125</f>
        <v>8.5555555555555565E-2</v>
      </c>
    </row>
    <row r="126" spans="2:15">
      <c r="B126">
        <v>37</v>
      </c>
      <c r="C126" t="s">
        <v>416</v>
      </c>
      <c r="E126">
        <v>8</v>
      </c>
      <c r="F126" s="13">
        <f t="shared" ref="F126:F130" si="33">F125+E126</f>
        <v>22</v>
      </c>
      <c r="G126" s="39">
        <f t="shared" si="31"/>
        <v>4.8888888888888891E-2</v>
      </c>
      <c r="H126" s="39">
        <f t="shared" si="32"/>
        <v>4.8888888888888891E-2</v>
      </c>
      <c r="I126" s="39">
        <f>I125+G126</f>
        <v>0.13444444444444445</v>
      </c>
      <c r="J126" s="39">
        <f>J125+H126</f>
        <v>0.13444444444444445</v>
      </c>
      <c r="N126" s="103">
        <f t="shared" ref="N126" si="34">N125+(G126+L126)</f>
        <v>0.13444444444444445</v>
      </c>
      <c r="O126" s="103">
        <f t="shared" ref="O126" si="35">O125+(H126+M126)</f>
        <v>0.13444444444444445</v>
      </c>
    </row>
    <row r="127" spans="2:15">
      <c r="B127">
        <v>30</v>
      </c>
      <c r="C127" t="s">
        <v>404</v>
      </c>
      <c r="E127">
        <v>1.7</v>
      </c>
      <c r="F127" s="13">
        <f t="shared" si="33"/>
        <v>23.7</v>
      </c>
      <c r="G127" s="39">
        <f t="shared" si="31"/>
        <v>1.0388888888888888E-2</v>
      </c>
      <c r="H127" s="39">
        <f t="shared" si="32"/>
        <v>1.0388888888888888E-2</v>
      </c>
      <c r="I127" s="39">
        <f t="shared" ref="I127:I130" si="36">I126+G127</f>
        <v>0.14483333333333334</v>
      </c>
      <c r="J127" s="39">
        <f t="shared" ref="J127:J130" si="37">J126+H127</f>
        <v>0.14483333333333334</v>
      </c>
      <c r="N127" s="103">
        <f t="shared" ref="N127:N130" si="38">N126+(G127+L127)</f>
        <v>0.14483333333333334</v>
      </c>
      <c r="O127" s="103">
        <f t="shared" ref="O127:O130" si="39">O126+(H127+M127)</f>
        <v>0.14483333333333334</v>
      </c>
    </row>
    <row r="128" spans="2:15">
      <c r="B128">
        <v>31</v>
      </c>
      <c r="C128" t="s">
        <v>405</v>
      </c>
      <c r="D128" t="s">
        <v>360</v>
      </c>
      <c r="E128">
        <v>1</v>
      </c>
      <c r="F128" s="13">
        <f t="shared" si="33"/>
        <v>24.7</v>
      </c>
      <c r="G128" s="39">
        <f t="shared" si="31"/>
        <v>6.1111111111111114E-3</v>
      </c>
      <c r="H128" s="39">
        <f t="shared" si="32"/>
        <v>6.1111111111111114E-3</v>
      </c>
      <c r="I128" s="39">
        <f t="shared" si="36"/>
        <v>0.15094444444444446</v>
      </c>
      <c r="J128" s="39">
        <f t="shared" si="37"/>
        <v>0.15094444444444446</v>
      </c>
      <c r="N128" s="103">
        <f t="shared" si="38"/>
        <v>0.15094444444444446</v>
      </c>
      <c r="O128" s="103">
        <f t="shared" si="39"/>
        <v>0.15094444444444446</v>
      </c>
    </row>
    <row r="129" spans="2:15">
      <c r="B129">
        <v>32</v>
      </c>
      <c r="C129" t="s">
        <v>406</v>
      </c>
      <c r="E129">
        <v>8</v>
      </c>
      <c r="F129" s="13">
        <f t="shared" si="33"/>
        <v>32.700000000000003</v>
      </c>
      <c r="G129" s="39">
        <f t="shared" si="31"/>
        <v>4.8888888888888891E-2</v>
      </c>
      <c r="H129" s="39">
        <f t="shared" si="32"/>
        <v>4.8888888888888891E-2</v>
      </c>
      <c r="I129" s="39">
        <f t="shared" si="36"/>
        <v>0.19983333333333336</v>
      </c>
      <c r="J129" s="39">
        <f t="shared" si="37"/>
        <v>0.19983333333333336</v>
      </c>
      <c r="N129" s="103">
        <f t="shared" si="38"/>
        <v>0.19983333333333336</v>
      </c>
      <c r="O129" s="103">
        <f t="shared" si="39"/>
        <v>0.19983333333333336</v>
      </c>
    </row>
    <row r="130" spans="2:15">
      <c r="B130">
        <v>35</v>
      </c>
      <c r="C130" t="s">
        <v>409</v>
      </c>
      <c r="E130">
        <v>2.08</v>
      </c>
      <c r="F130" s="13">
        <f t="shared" si="33"/>
        <v>34.78</v>
      </c>
      <c r="G130" s="39">
        <f t="shared" si="31"/>
        <v>1.2711111111111112E-2</v>
      </c>
      <c r="H130" s="39">
        <f t="shared" si="32"/>
        <v>1.2711111111111112E-2</v>
      </c>
      <c r="I130" s="39">
        <f t="shared" si="36"/>
        <v>0.21254444444444448</v>
      </c>
      <c r="J130" s="39">
        <f t="shared" si="37"/>
        <v>0.21254444444444448</v>
      </c>
      <c r="N130" s="103">
        <f t="shared" si="38"/>
        <v>0.21254444444444448</v>
      </c>
      <c r="O130" s="103">
        <f t="shared" si="39"/>
        <v>0.21254444444444448</v>
      </c>
    </row>
    <row r="131" spans="2:15">
      <c r="G131" s="39"/>
      <c r="H131" s="39"/>
      <c r="I131" s="39"/>
      <c r="J131" s="39"/>
      <c r="N131" s="39"/>
      <c r="O131" s="39"/>
    </row>
    <row r="132" spans="2:15">
      <c r="G132" s="39"/>
      <c r="H132" s="39"/>
      <c r="I132" s="39"/>
      <c r="J132" s="39"/>
      <c r="N132" s="39"/>
      <c r="O132" s="39"/>
    </row>
    <row r="133" spans="2:15">
      <c r="G133" s="39"/>
      <c r="H133" s="39"/>
      <c r="I133" s="39"/>
      <c r="J133" s="39"/>
      <c r="N133" s="39"/>
      <c r="O133" s="39"/>
    </row>
    <row r="134" spans="2:15">
      <c r="B134" t="s">
        <v>424</v>
      </c>
      <c r="C134" t="s">
        <v>425</v>
      </c>
      <c r="G134" s="39"/>
      <c r="H134" s="39"/>
      <c r="I134" s="39"/>
      <c r="J134" s="39"/>
      <c r="N134" s="39"/>
      <c r="O134" s="39"/>
    </row>
    <row r="135" spans="2:15">
      <c r="B135">
        <v>39</v>
      </c>
      <c r="C135" t="s">
        <v>426</v>
      </c>
      <c r="E135">
        <v>12</v>
      </c>
      <c r="F135">
        <f>E135</f>
        <v>12</v>
      </c>
      <c r="G135" s="39">
        <f t="shared" ref="G135:G142" si="40">E135*$E$4</f>
        <v>7.3333333333333334E-2</v>
      </c>
      <c r="H135" s="39">
        <f t="shared" ref="H135:H145" si="41">E135*$E$5</f>
        <v>7.3333333333333334E-2</v>
      </c>
      <c r="I135" s="39">
        <f>G135</f>
        <v>7.3333333333333334E-2</v>
      </c>
      <c r="J135" s="39">
        <f>H135</f>
        <v>7.3333333333333334E-2</v>
      </c>
      <c r="N135" s="103">
        <f>G135+L135</f>
        <v>7.3333333333333334E-2</v>
      </c>
      <c r="O135" s="103">
        <f>H135+M135</f>
        <v>7.3333333333333334E-2</v>
      </c>
    </row>
    <row r="136" spans="2:15">
      <c r="B136">
        <v>37</v>
      </c>
      <c r="C136" t="s">
        <v>416</v>
      </c>
      <c r="E136">
        <v>8</v>
      </c>
      <c r="F136" s="13">
        <f t="shared" ref="F136:F145" si="42">F135+E136</f>
        <v>20</v>
      </c>
      <c r="G136" s="39">
        <f t="shared" si="40"/>
        <v>4.8888888888888891E-2</v>
      </c>
      <c r="H136" s="39">
        <f t="shared" si="41"/>
        <v>4.8888888888888891E-2</v>
      </c>
      <c r="I136" s="39">
        <f>I135+G136</f>
        <v>0.12222222222222223</v>
      </c>
      <c r="J136" s="39">
        <f>J135+H136</f>
        <v>0.12222222222222223</v>
      </c>
      <c r="N136" s="103">
        <f t="shared" ref="N136" si="43">N135+(G136+L136)</f>
        <v>0.12222222222222223</v>
      </c>
      <c r="O136" s="103">
        <f t="shared" ref="O136" si="44">O135+(H136+M136)</f>
        <v>0.12222222222222223</v>
      </c>
    </row>
    <row r="137" spans="2:15">
      <c r="B137">
        <v>30</v>
      </c>
      <c r="C137" t="s">
        <v>404</v>
      </c>
      <c r="E137">
        <v>1.7</v>
      </c>
      <c r="F137" s="13">
        <f t="shared" si="42"/>
        <v>21.7</v>
      </c>
      <c r="G137" s="39">
        <f t="shared" si="40"/>
        <v>1.0388888888888888E-2</v>
      </c>
      <c r="H137" s="39">
        <f t="shared" si="41"/>
        <v>1.0388888888888888E-2</v>
      </c>
      <c r="I137" s="39">
        <f t="shared" ref="I137:I145" si="45">I136+G137</f>
        <v>0.13261111111111112</v>
      </c>
      <c r="J137" s="39">
        <f t="shared" ref="J137:J145" si="46">J136+H137</f>
        <v>0.13261111111111112</v>
      </c>
      <c r="N137" s="103">
        <f t="shared" ref="N137:N145" si="47">N136+(G137+L137)</f>
        <v>0.13261111111111112</v>
      </c>
      <c r="O137" s="103">
        <f t="shared" ref="O137:O145" si="48">O136+(H137+M137)</f>
        <v>0.13261111111111112</v>
      </c>
    </row>
    <row r="138" spans="2:15">
      <c r="B138">
        <v>31</v>
      </c>
      <c r="C138" t="s">
        <v>405</v>
      </c>
      <c r="D138" t="s">
        <v>360</v>
      </c>
      <c r="E138">
        <v>1</v>
      </c>
      <c r="F138" s="13">
        <f t="shared" si="42"/>
        <v>22.7</v>
      </c>
      <c r="G138" s="39">
        <f t="shared" si="40"/>
        <v>6.1111111111111114E-3</v>
      </c>
      <c r="H138" s="39">
        <f t="shared" si="41"/>
        <v>6.1111111111111114E-3</v>
      </c>
      <c r="I138" s="39">
        <f t="shared" si="45"/>
        <v>0.13872222222222225</v>
      </c>
      <c r="J138" s="39">
        <f t="shared" si="46"/>
        <v>0.13872222222222225</v>
      </c>
      <c r="N138" s="103">
        <f t="shared" si="47"/>
        <v>0.13872222222222225</v>
      </c>
      <c r="O138" s="103">
        <f t="shared" si="48"/>
        <v>0.13872222222222225</v>
      </c>
    </row>
    <row r="139" spans="2:15">
      <c r="B139">
        <v>32</v>
      </c>
      <c r="C139" t="s">
        <v>406</v>
      </c>
      <c r="E139">
        <v>8</v>
      </c>
      <c r="F139" s="13">
        <f t="shared" si="42"/>
        <v>30.7</v>
      </c>
      <c r="G139" s="39">
        <f t="shared" si="40"/>
        <v>4.8888888888888891E-2</v>
      </c>
      <c r="H139" s="39">
        <f t="shared" si="41"/>
        <v>4.8888888888888891E-2</v>
      </c>
      <c r="I139" s="39">
        <f t="shared" si="45"/>
        <v>0.18761111111111115</v>
      </c>
      <c r="J139" s="39">
        <f t="shared" si="46"/>
        <v>0.18761111111111115</v>
      </c>
      <c r="N139" s="103">
        <f t="shared" si="47"/>
        <v>0.18761111111111115</v>
      </c>
      <c r="O139" s="103">
        <f t="shared" si="48"/>
        <v>0.18761111111111115</v>
      </c>
    </row>
    <row r="140" spans="2:15">
      <c r="B140" s="82">
        <v>33</v>
      </c>
      <c r="C140" t="s">
        <v>407</v>
      </c>
      <c r="E140">
        <v>0.79</v>
      </c>
      <c r="F140" s="13">
        <f t="shared" si="42"/>
        <v>31.49</v>
      </c>
      <c r="G140" s="39">
        <f t="shared" si="40"/>
        <v>4.8277777777777781E-3</v>
      </c>
      <c r="H140" s="39">
        <f t="shared" si="41"/>
        <v>4.8277777777777781E-3</v>
      </c>
      <c r="I140" s="39">
        <f t="shared" si="45"/>
        <v>0.19243888888888894</v>
      </c>
      <c r="J140" s="39">
        <f t="shared" si="46"/>
        <v>0.19243888888888894</v>
      </c>
      <c r="N140" s="103">
        <f t="shared" si="47"/>
        <v>0.19243888888888894</v>
      </c>
      <c r="O140" s="103">
        <f t="shared" si="48"/>
        <v>0.19243888888888894</v>
      </c>
    </row>
    <row r="141" spans="2:15">
      <c r="B141" s="82">
        <v>34</v>
      </c>
      <c r="C141" t="s">
        <v>408</v>
      </c>
      <c r="D141" t="s">
        <v>360</v>
      </c>
      <c r="E141">
        <v>1</v>
      </c>
      <c r="F141" s="13">
        <f t="shared" si="42"/>
        <v>32.489999999999995</v>
      </c>
      <c r="G141" s="39">
        <f t="shared" si="40"/>
        <v>6.1111111111111114E-3</v>
      </c>
      <c r="H141" s="39">
        <f t="shared" si="41"/>
        <v>6.1111111111111114E-3</v>
      </c>
      <c r="I141" s="39">
        <f t="shared" si="45"/>
        <v>0.19855000000000006</v>
      </c>
      <c r="J141" s="39">
        <f t="shared" si="46"/>
        <v>0.19855000000000006</v>
      </c>
      <c r="N141" s="103">
        <f t="shared" si="47"/>
        <v>0.19855000000000006</v>
      </c>
      <c r="O141" s="103">
        <f t="shared" si="48"/>
        <v>0.19855000000000006</v>
      </c>
    </row>
    <row r="142" spans="2:15">
      <c r="B142">
        <v>35</v>
      </c>
      <c r="C142" t="s">
        <v>409</v>
      </c>
      <c r="E142">
        <v>2.08</v>
      </c>
      <c r="F142" s="13">
        <f t="shared" si="42"/>
        <v>34.569999999999993</v>
      </c>
      <c r="G142" s="39">
        <f t="shared" si="40"/>
        <v>1.2711111111111112E-2</v>
      </c>
      <c r="H142" s="39">
        <f t="shared" si="41"/>
        <v>1.2711111111111112E-2</v>
      </c>
      <c r="I142" s="39">
        <f t="shared" si="45"/>
        <v>0.21126111111111118</v>
      </c>
      <c r="J142" s="39">
        <f t="shared" si="46"/>
        <v>0.21126111111111118</v>
      </c>
      <c r="N142" s="103">
        <f t="shared" si="47"/>
        <v>0.21126111111111118</v>
      </c>
      <c r="O142" s="103">
        <f t="shared" si="48"/>
        <v>0.21126111111111118</v>
      </c>
    </row>
    <row r="143" spans="2:15">
      <c r="B143">
        <v>19</v>
      </c>
      <c r="C143" t="s">
        <v>381</v>
      </c>
      <c r="E143">
        <v>1.2</v>
      </c>
      <c r="F143" s="13">
        <f t="shared" si="42"/>
        <v>35.769999999999996</v>
      </c>
      <c r="G143" s="39">
        <f>E143*$E$4</f>
        <v>7.3333333333333332E-3</v>
      </c>
      <c r="H143" s="39">
        <f t="shared" si="41"/>
        <v>7.3333333333333332E-3</v>
      </c>
      <c r="I143" s="39">
        <f t="shared" si="45"/>
        <v>0.21859444444444451</v>
      </c>
      <c r="J143" s="39">
        <f t="shared" si="46"/>
        <v>0.21859444444444451</v>
      </c>
      <c r="K143">
        <v>11</v>
      </c>
      <c r="L143">
        <f>VLOOKUP(K143,Components!A$4:I$21,8,0)</f>
        <v>2</v>
      </c>
      <c r="M143">
        <f>VLOOKUP(K143,Components!A$4:I$21,9,0)</f>
        <v>2</v>
      </c>
      <c r="N143" s="103">
        <f t="shared" si="47"/>
        <v>2.2185944444444448</v>
      </c>
      <c r="O143" s="103">
        <f t="shared" si="48"/>
        <v>2.2185944444444448</v>
      </c>
    </row>
    <row r="144" spans="2:15">
      <c r="B144">
        <v>20</v>
      </c>
      <c r="C144" t="s">
        <v>382</v>
      </c>
      <c r="E144">
        <v>1.2</v>
      </c>
      <c r="F144" s="13">
        <f t="shared" si="42"/>
        <v>36.97</v>
      </c>
      <c r="G144" s="39">
        <f>E144*$E$4</f>
        <v>7.3333333333333332E-3</v>
      </c>
      <c r="H144" s="39">
        <f t="shared" si="41"/>
        <v>7.3333333333333332E-3</v>
      </c>
      <c r="I144" s="39">
        <f t="shared" si="45"/>
        <v>0.22592777777777784</v>
      </c>
      <c r="J144" s="39">
        <f t="shared" si="46"/>
        <v>0.22592777777777784</v>
      </c>
      <c r="K144">
        <v>6</v>
      </c>
      <c r="L144">
        <f>VLOOKUP(K144,Components!A$4:I$21,8,0)</f>
        <v>1.88</v>
      </c>
      <c r="M144">
        <f>VLOOKUP(K144,Components!A$4:I$21,9,0)</f>
        <v>1.88</v>
      </c>
      <c r="N144" s="103">
        <f t="shared" si="47"/>
        <v>4.1059277777777776</v>
      </c>
      <c r="O144" s="103">
        <f t="shared" si="48"/>
        <v>4.1059277777777776</v>
      </c>
    </row>
    <row r="145" spans="2:16">
      <c r="B145">
        <v>21</v>
      </c>
      <c r="C145" t="s">
        <v>383</v>
      </c>
      <c r="E145">
        <v>12</v>
      </c>
      <c r="F145" s="13">
        <f t="shared" si="42"/>
        <v>48.97</v>
      </c>
      <c r="G145" s="39">
        <f>E145*$E$4</f>
        <v>7.3333333333333334E-2</v>
      </c>
      <c r="H145" s="39">
        <f t="shared" si="41"/>
        <v>7.3333333333333334E-2</v>
      </c>
      <c r="I145" s="39">
        <f t="shared" si="45"/>
        <v>0.2992611111111112</v>
      </c>
      <c r="J145" s="39">
        <f t="shared" si="46"/>
        <v>0.2992611111111112</v>
      </c>
      <c r="K145">
        <v>3</v>
      </c>
      <c r="L145">
        <f>VLOOKUP(K145,Components!A$4:I$21,8,0)</f>
        <v>17.420000000000002</v>
      </c>
      <c r="M145">
        <f>VLOOKUP(K145,Components!A$4:I$21,9,0)</f>
        <v>17.420000000000002</v>
      </c>
      <c r="N145" s="103">
        <f t="shared" si="47"/>
        <v>21.599261111111112</v>
      </c>
      <c r="O145" s="103">
        <f t="shared" si="48"/>
        <v>21.599261111111112</v>
      </c>
    </row>
    <row r="146" spans="2:16">
      <c r="C146" s="87"/>
      <c r="G146" s="39"/>
      <c r="H146" s="39"/>
      <c r="I146" s="39"/>
      <c r="J146" s="39"/>
      <c r="L146">
        <f>SUM(L143:L145)</f>
        <v>21.3</v>
      </c>
      <c r="M146">
        <f>SUM(M143:M145)</f>
        <v>21.3</v>
      </c>
      <c r="N146" s="39"/>
      <c r="O146" s="39"/>
    </row>
    <row r="147" spans="2:16">
      <c r="C147" s="87"/>
      <c r="G147" s="39"/>
      <c r="H147" s="39"/>
      <c r="I147" s="39"/>
      <c r="J147" s="39"/>
      <c r="N147" s="39"/>
      <c r="O147" s="39"/>
    </row>
    <row r="148" spans="2:16">
      <c r="C148" s="87"/>
      <c r="G148" s="39"/>
      <c r="H148" s="39"/>
      <c r="I148" s="39"/>
      <c r="J148" s="39"/>
      <c r="N148" s="39"/>
      <c r="O148" s="39"/>
    </row>
    <row r="149" spans="2:16">
      <c r="B149" t="s">
        <v>427</v>
      </c>
      <c r="C149" t="s">
        <v>428</v>
      </c>
      <c r="G149" s="39"/>
      <c r="H149" s="39"/>
      <c r="I149" s="39"/>
      <c r="J149" s="39"/>
      <c r="N149" s="39"/>
      <c r="O149" s="39"/>
    </row>
    <row r="150" spans="2:16" ht="16">
      <c r="B150">
        <v>38</v>
      </c>
      <c r="C150" s="85" t="s">
        <v>429</v>
      </c>
      <c r="E150">
        <v>18</v>
      </c>
      <c r="F150">
        <f>E150</f>
        <v>18</v>
      </c>
      <c r="G150" s="39">
        <f>E150*$E$4</f>
        <v>0.11</v>
      </c>
      <c r="H150" s="39">
        <f t="shared" ref="H150:H155" si="49">E150*$E$5</f>
        <v>0.11</v>
      </c>
      <c r="I150" s="39">
        <f>G150</f>
        <v>0.11</v>
      </c>
      <c r="J150" s="39">
        <f>H150</f>
        <v>0.11</v>
      </c>
      <c r="N150" s="103">
        <f>G150+L150</f>
        <v>0.11</v>
      </c>
      <c r="O150" s="103">
        <f>H150+M150</f>
        <v>0.11</v>
      </c>
    </row>
    <row r="151" spans="2:16" ht="16">
      <c r="B151">
        <v>38</v>
      </c>
      <c r="C151" s="85" t="s">
        <v>423</v>
      </c>
      <c r="E151">
        <v>14</v>
      </c>
      <c r="F151" s="13">
        <f t="shared" ref="F151:F155" si="50">F150+E151</f>
        <v>32</v>
      </c>
      <c r="G151" s="39">
        <f t="shared" ref="G151:G155" si="51">E151*$E$4</f>
        <v>8.5555555555555565E-2</v>
      </c>
      <c r="H151" s="39">
        <f t="shared" si="49"/>
        <v>8.5555555555555565E-2</v>
      </c>
      <c r="I151" s="39">
        <f>I150+G151</f>
        <v>0.19555555555555557</v>
      </c>
      <c r="J151" s="39">
        <f>J150+H151</f>
        <v>0.19555555555555557</v>
      </c>
      <c r="N151" s="103">
        <f t="shared" ref="N151" si="52">N150+(G151+L151)</f>
        <v>0.19555555555555557</v>
      </c>
      <c r="O151" s="103">
        <f t="shared" ref="O151" si="53">O150+(H151+M151)</f>
        <v>0.19555555555555557</v>
      </c>
    </row>
    <row r="152" spans="2:16">
      <c r="B152">
        <v>30</v>
      </c>
      <c r="C152" t="s">
        <v>404</v>
      </c>
      <c r="E152">
        <v>1.7</v>
      </c>
      <c r="F152" s="13">
        <f t="shared" si="50"/>
        <v>33.700000000000003</v>
      </c>
      <c r="G152" s="39">
        <f t="shared" si="51"/>
        <v>1.0388888888888888E-2</v>
      </c>
      <c r="H152" s="39">
        <f t="shared" si="49"/>
        <v>1.0388888888888888E-2</v>
      </c>
      <c r="I152" s="39">
        <f t="shared" ref="I152:I155" si="54">I151+G152</f>
        <v>0.20594444444444446</v>
      </c>
      <c r="J152" s="39">
        <f t="shared" ref="J152:J155" si="55">J151+H152</f>
        <v>0.20594444444444446</v>
      </c>
      <c r="N152" s="103">
        <f t="shared" ref="N152:N155" si="56">N151+(G152+L152)</f>
        <v>0.20594444444444446</v>
      </c>
      <c r="O152" s="103">
        <f t="shared" ref="O152:O155" si="57">O151+(H152+M152)</f>
        <v>0.20594444444444446</v>
      </c>
    </row>
    <row r="153" spans="2:16">
      <c r="B153">
        <v>31</v>
      </c>
      <c r="C153" t="s">
        <v>405</v>
      </c>
      <c r="D153" t="s">
        <v>360</v>
      </c>
      <c r="E153">
        <v>1</v>
      </c>
      <c r="F153" s="13">
        <f t="shared" si="50"/>
        <v>34.700000000000003</v>
      </c>
      <c r="G153" s="39">
        <f t="shared" si="51"/>
        <v>6.1111111111111114E-3</v>
      </c>
      <c r="H153" s="39">
        <f t="shared" si="49"/>
        <v>6.1111111111111114E-3</v>
      </c>
      <c r="I153" s="39">
        <f t="shared" si="54"/>
        <v>0.21205555555555558</v>
      </c>
      <c r="J153" s="39">
        <f t="shared" si="55"/>
        <v>0.21205555555555558</v>
      </c>
      <c r="N153" s="103">
        <f t="shared" si="56"/>
        <v>0.21205555555555558</v>
      </c>
      <c r="O153" s="103">
        <f t="shared" si="57"/>
        <v>0.21205555555555558</v>
      </c>
    </row>
    <row r="154" spans="2:16">
      <c r="B154">
        <v>32</v>
      </c>
      <c r="C154" t="s">
        <v>406</v>
      </c>
      <c r="E154">
        <v>8</v>
      </c>
      <c r="F154" s="13">
        <f t="shared" si="50"/>
        <v>42.7</v>
      </c>
      <c r="G154" s="39">
        <f t="shared" si="51"/>
        <v>4.8888888888888891E-2</v>
      </c>
      <c r="H154" s="39">
        <f t="shared" si="49"/>
        <v>4.8888888888888891E-2</v>
      </c>
      <c r="I154" s="39">
        <f t="shared" si="54"/>
        <v>0.26094444444444448</v>
      </c>
      <c r="J154" s="39">
        <f t="shared" si="55"/>
        <v>0.26094444444444448</v>
      </c>
      <c r="N154" s="103">
        <f t="shared" si="56"/>
        <v>0.26094444444444448</v>
      </c>
      <c r="O154" s="103">
        <f t="shared" si="57"/>
        <v>0.26094444444444448</v>
      </c>
    </row>
    <row r="155" spans="2:16">
      <c r="B155">
        <v>35</v>
      </c>
      <c r="C155" t="s">
        <v>409</v>
      </c>
      <c r="E155">
        <v>2.08</v>
      </c>
      <c r="F155" s="13">
        <f t="shared" si="50"/>
        <v>44.78</v>
      </c>
      <c r="G155" s="39">
        <f t="shared" si="51"/>
        <v>1.2711111111111112E-2</v>
      </c>
      <c r="H155" s="39">
        <f t="shared" si="49"/>
        <v>1.2711111111111112E-2</v>
      </c>
      <c r="I155" s="39">
        <f t="shared" si="54"/>
        <v>0.2736555555555556</v>
      </c>
      <c r="J155" s="39">
        <f t="shared" si="55"/>
        <v>0.2736555555555556</v>
      </c>
      <c r="N155" s="103">
        <f t="shared" si="56"/>
        <v>0.2736555555555556</v>
      </c>
      <c r="O155" s="103">
        <f t="shared" si="57"/>
        <v>0.2736555555555556</v>
      </c>
      <c r="P155">
        <v>2</v>
      </c>
    </row>
    <row r="156" spans="2:16">
      <c r="C156" s="51"/>
      <c r="G156" s="39"/>
      <c r="H156" s="39"/>
      <c r="I156" s="39"/>
      <c r="J156" s="39"/>
      <c r="N156" s="39"/>
      <c r="O156" s="39"/>
    </row>
    <row r="157" spans="2:16">
      <c r="B157" t="s">
        <v>430</v>
      </c>
      <c r="C157" t="s">
        <v>431</v>
      </c>
      <c r="G157" s="39"/>
      <c r="H157" s="39"/>
      <c r="I157" s="39"/>
      <c r="J157" s="39"/>
      <c r="N157" s="39"/>
      <c r="O157" s="39"/>
    </row>
    <row r="158" spans="2:16" ht="16">
      <c r="B158">
        <v>38</v>
      </c>
      <c r="C158" s="85" t="s">
        <v>423</v>
      </c>
      <c r="E158">
        <v>14</v>
      </c>
      <c r="F158">
        <f>E158</f>
        <v>14</v>
      </c>
      <c r="G158" s="39">
        <f t="shared" ref="G158:G162" si="58">E158*$E$4</f>
        <v>8.5555555555555565E-2</v>
      </c>
      <c r="H158" s="39">
        <f t="shared" ref="H158:H162" si="59">E158*$E$5</f>
        <v>8.5555555555555565E-2</v>
      </c>
      <c r="I158" s="39">
        <f>G158</f>
        <v>8.5555555555555565E-2</v>
      </c>
      <c r="J158" s="39">
        <f>H158</f>
        <v>8.5555555555555565E-2</v>
      </c>
      <c r="N158" s="103">
        <f>G158+L158</f>
        <v>8.5555555555555565E-2</v>
      </c>
      <c r="O158" s="103">
        <f>H158+M158</f>
        <v>8.5555555555555565E-2</v>
      </c>
    </row>
    <row r="159" spans="2:16">
      <c r="B159">
        <v>30</v>
      </c>
      <c r="C159" t="s">
        <v>404</v>
      </c>
      <c r="E159">
        <v>1.7</v>
      </c>
      <c r="F159" s="13">
        <f t="shared" ref="F159:F162" si="60">F158+E159</f>
        <v>15.7</v>
      </c>
      <c r="G159" s="39">
        <f t="shared" si="58"/>
        <v>1.0388888888888888E-2</v>
      </c>
      <c r="H159" s="39">
        <f t="shared" si="59"/>
        <v>1.0388888888888888E-2</v>
      </c>
      <c r="I159" s="39">
        <f>I158+G159</f>
        <v>9.5944444444444457E-2</v>
      </c>
      <c r="J159" s="39">
        <f>J158+H159</f>
        <v>9.5944444444444457E-2</v>
      </c>
      <c r="N159" s="103">
        <f t="shared" ref="N159" si="61">N158+(G159+L159)</f>
        <v>9.5944444444444457E-2</v>
      </c>
      <c r="O159" s="103">
        <f t="shared" ref="O159" si="62">O158+(H159+M159)</f>
        <v>9.5944444444444457E-2</v>
      </c>
    </row>
    <row r="160" spans="2:16">
      <c r="B160">
        <v>31</v>
      </c>
      <c r="C160" t="s">
        <v>405</v>
      </c>
      <c r="D160" t="s">
        <v>360</v>
      </c>
      <c r="E160">
        <v>1</v>
      </c>
      <c r="F160" s="13">
        <f t="shared" si="60"/>
        <v>16.7</v>
      </c>
      <c r="G160" s="39">
        <f t="shared" si="58"/>
        <v>6.1111111111111114E-3</v>
      </c>
      <c r="H160" s="39">
        <f t="shared" si="59"/>
        <v>6.1111111111111114E-3</v>
      </c>
      <c r="I160" s="39">
        <f t="shared" ref="I160:I162" si="63">I159+G160</f>
        <v>0.10205555555555557</v>
      </c>
      <c r="J160" s="39">
        <f t="shared" ref="J160:J162" si="64">J159+H160</f>
        <v>0.10205555555555557</v>
      </c>
      <c r="N160" s="103">
        <f t="shared" ref="N160:N162" si="65">N159+(G160+L160)</f>
        <v>0.10205555555555557</v>
      </c>
      <c r="O160" s="103">
        <f t="shared" ref="O160:O162" si="66">O159+(H160+M160)</f>
        <v>0.10205555555555557</v>
      </c>
    </row>
    <row r="161" spans="2:15">
      <c r="B161">
        <v>32</v>
      </c>
      <c r="C161" t="s">
        <v>406</v>
      </c>
      <c r="E161">
        <v>8</v>
      </c>
      <c r="F161" s="13">
        <f t="shared" si="60"/>
        <v>24.7</v>
      </c>
      <c r="G161" s="39">
        <f t="shared" si="58"/>
        <v>4.8888888888888891E-2</v>
      </c>
      <c r="H161" s="39">
        <f t="shared" si="59"/>
        <v>4.8888888888888891E-2</v>
      </c>
      <c r="I161" s="39">
        <f t="shared" si="63"/>
        <v>0.15094444444444446</v>
      </c>
      <c r="J161" s="39">
        <f t="shared" si="64"/>
        <v>0.15094444444444446</v>
      </c>
      <c r="N161" s="103">
        <f t="shared" si="65"/>
        <v>0.15094444444444446</v>
      </c>
      <c r="O161" s="103">
        <f t="shared" si="66"/>
        <v>0.15094444444444446</v>
      </c>
    </row>
    <row r="162" spans="2:15">
      <c r="B162">
        <v>35</v>
      </c>
      <c r="C162" t="s">
        <v>409</v>
      </c>
      <c r="E162">
        <v>2.08</v>
      </c>
      <c r="F162" s="13">
        <f t="shared" si="60"/>
        <v>26.78</v>
      </c>
      <c r="G162" s="39">
        <f t="shared" si="58"/>
        <v>1.2711111111111112E-2</v>
      </c>
      <c r="H162" s="39">
        <f t="shared" si="59"/>
        <v>1.2711111111111112E-2</v>
      </c>
      <c r="I162" s="39">
        <f t="shared" si="63"/>
        <v>0.16365555555555558</v>
      </c>
      <c r="J162" s="39">
        <f t="shared" si="64"/>
        <v>0.16365555555555558</v>
      </c>
      <c r="N162" s="103">
        <f t="shared" si="65"/>
        <v>0.16365555555555558</v>
      </c>
      <c r="O162" s="103">
        <f t="shared" si="66"/>
        <v>0.16365555555555558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44B5B-F6D4-4BD8-9E7B-1A445BC1EC53}">
  <dimension ref="A3:Q86"/>
  <sheetViews>
    <sheetView topLeftCell="B1" workbookViewId="0">
      <selection activeCell="D21" sqref="D21:D23"/>
    </sheetView>
  </sheetViews>
  <sheetFormatPr baseColWidth="10" defaultColWidth="8.83203125" defaultRowHeight="15"/>
  <cols>
    <col min="3" max="3" width="12.33203125" customWidth="1"/>
    <col min="4" max="4" width="36.33203125" customWidth="1"/>
    <col min="5" max="5" width="23.5" customWidth="1"/>
    <col min="6" max="6" width="10.6640625" bestFit="1" customWidth="1"/>
    <col min="7" max="7" width="9.1640625" bestFit="1" customWidth="1"/>
    <col min="10" max="10" width="29.1640625" customWidth="1"/>
    <col min="11" max="11" width="17" customWidth="1"/>
    <col min="12" max="12" width="11.83203125" bestFit="1" customWidth="1"/>
    <col min="13" max="13" width="10" bestFit="1" customWidth="1"/>
    <col min="14" max="14" width="16" bestFit="1" customWidth="1"/>
    <col min="17" max="17" width="50.6640625" customWidth="1"/>
  </cols>
  <sheetData>
    <row r="3" spans="3:17">
      <c r="J3" s="157" t="s">
        <v>432</v>
      </c>
      <c r="K3" s="157"/>
      <c r="L3" s="157"/>
      <c r="M3" s="157"/>
      <c r="N3" s="157"/>
    </row>
    <row r="5" spans="3:17">
      <c r="J5" s="51" t="s">
        <v>281</v>
      </c>
      <c r="K5" s="51" t="s">
        <v>433</v>
      </c>
      <c r="L5" s="51" t="s">
        <v>434</v>
      </c>
      <c r="M5" s="51" t="s">
        <v>435</v>
      </c>
      <c r="N5" s="51" t="s">
        <v>436</v>
      </c>
    </row>
    <row r="6" spans="3:17">
      <c r="J6" s="51" t="s">
        <v>437</v>
      </c>
      <c r="K6" s="51">
        <v>616</v>
      </c>
      <c r="L6" s="51">
        <v>33</v>
      </c>
      <c r="M6" s="51">
        <v>1</v>
      </c>
      <c r="N6" s="51">
        <v>3</v>
      </c>
    </row>
    <row r="7" spans="3:17">
      <c r="J7" s="51" t="s">
        <v>437</v>
      </c>
      <c r="K7" s="51">
        <v>629</v>
      </c>
      <c r="L7" s="51">
        <v>53</v>
      </c>
      <c r="M7" s="51">
        <v>1</v>
      </c>
      <c r="N7" s="51">
        <v>6</v>
      </c>
    </row>
    <row r="8" spans="3:17">
      <c r="C8" s="51" t="s">
        <v>438</v>
      </c>
      <c r="D8" s="51" t="s">
        <v>281</v>
      </c>
      <c r="E8" t="s">
        <v>439</v>
      </c>
      <c r="F8" s="51" t="s">
        <v>440</v>
      </c>
      <c r="G8" s="51" t="s">
        <v>441</v>
      </c>
      <c r="J8" s="51" t="s">
        <v>437</v>
      </c>
      <c r="K8" s="51">
        <v>608</v>
      </c>
      <c r="L8" s="51">
        <v>26</v>
      </c>
      <c r="M8" s="51">
        <v>1</v>
      </c>
      <c r="N8" s="51">
        <v>4</v>
      </c>
    </row>
    <row r="9" spans="3:17">
      <c r="C9" s="51" t="s">
        <v>254</v>
      </c>
      <c r="D9" s="51" t="s">
        <v>437</v>
      </c>
      <c r="E9">
        <v>6</v>
      </c>
      <c r="F9" s="51">
        <v>26</v>
      </c>
      <c r="G9" s="51" t="s">
        <v>274</v>
      </c>
      <c r="J9" s="51" t="s">
        <v>437</v>
      </c>
      <c r="K9" s="51">
        <v>617</v>
      </c>
      <c r="L9" s="51">
        <v>39</v>
      </c>
      <c r="M9" s="51">
        <v>2</v>
      </c>
      <c r="N9" s="51">
        <v>4</v>
      </c>
    </row>
    <row r="10" spans="3:17">
      <c r="C10" s="51" t="s">
        <v>254</v>
      </c>
      <c r="D10" s="51" t="s">
        <v>442</v>
      </c>
      <c r="E10">
        <v>12</v>
      </c>
      <c r="F10" s="51">
        <v>22</v>
      </c>
      <c r="G10" s="51" t="s">
        <v>274</v>
      </c>
      <c r="J10" s="51" t="s">
        <v>437</v>
      </c>
      <c r="K10" s="51">
        <v>609</v>
      </c>
      <c r="L10" s="51">
        <v>32</v>
      </c>
      <c r="M10" s="51">
        <v>2</v>
      </c>
      <c r="N10" s="51">
        <v>3</v>
      </c>
    </row>
    <row r="11" spans="3:17">
      <c r="C11" s="51" t="s">
        <v>254</v>
      </c>
      <c r="D11" s="51" t="s">
        <v>443</v>
      </c>
      <c r="E11">
        <v>6</v>
      </c>
      <c r="F11" s="51">
        <v>26</v>
      </c>
      <c r="G11" s="51" t="s">
        <v>274</v>
      </c>
      <c r="J11" s="51" t="s">
        <v>437</v>
      </c>
      <c r="K11" s="51">
        <v>610</v>
      </c>
      <c r="L11" s="51">
        <v>49</v>
      </c>
      <c r="M11" s="51">
        <v>2</v>
      </c>
      <c r="N11" s="51">
        <v>6</v>
      </c>
    </row>
    <row r="12" spans="3:17">
      <c r="C12" s="51" t="s">
        <v>254</v>
      </c>
      <c r="D12" s="51" t="s">
        <v>286</v>
      </c>
      <c r="E12">
        <v>3</v>
      </c>
      <c r="F12" s="51">
        <v>30</v>
      </c>
      <c r="G12" s="51" t="s">
        <v>274</v>
      </c>
      <c r="J12" s="51" t="s">
        <v>442</v>
      </c>
      <c r="K12" s="51">
        <v>623</v>
      </c>
      <c r="L12" s="51">
        <v>54</v>
      </c>
      <c r="M12" s="51">
        <v>1</v>
      </c>
      <c r="N12" s="51">
        <v>5</v>
      </c>
    </row>
    <row r="13" spans="3:17">
      <c r="C13" s="51" t="s">
        <v>254</v>
      </c>
      <c r="D13" s="51" t="s">
        <v>287</v>
      </c>
      <c r="E13">
        <v>3</v>
      </c>
      <c r="F13" s="51">
        <v>26</v>
      </c>
      <c r="G13" s="51" t="s">
        <v>274</v>
      </c>
      <c r="J13" s="51" t="s">
        <v>442</v>
      </c>
      <c r="K13" s="51">
        <v>635</v>
      </c>
      <c r="L13" s="51">
        <v>32</v>
      </c>
      <c r="M13" s="51">
        <v>1</v>
      </c>
      <c r="N13" s="51">
        <v>3</v>
      </c>
    </row>
    <row r="14" spans="3:17">
      <c r="C14" s="51" t="s">
        <v>444</v>
      </c>
      <c r="D14" s="51" t="s">
        <v>288</v>
      </c>
      <c r="E14">
        <v>2</v>
      </c>
      <c r="F14" s="51">
        <v>30</v>
      </c>
      <c r="G14" s="51" t="s">
        <v>274</v>
      </c>
      <c r="J14" s="51" t="s">
        <v>442</v>
      </c>
      <c r="K14" s="51">
        <v>624</v>
      </c>
      <c r="L14" s="51">
        <v>35</v>
      </c>
      <c r="M14" s="51">
        <v>1</v>
      </c>
      <c r="N14" s="51">
        <v>4</v>
      </c>
      <c r="P14" t="s">
        <v>28</v>
      </c>
      <c r="Q14" t="s">
        <v>445</v>
      </c>
    </row>
    <row r="15" spans="3:17">
      <c r="C15" s="51" t="s">
        <v>444</v>
      </c>
      <c r="D15" s="51" t="s">
        <v>290</v>
      </c>
      <c r="E15">
        <v>2</v>
      </c>
      <c r="F15" s="51">
        <v>26</v>
      </c>
      <c r="G15" s="51" t="s">
        <v>274</v>
      </c>
      <c r="J15" s="51" t="s">
        <v>442</v>
      </c>
      <c r="K15" s="51">
        <v>613</v>
      </c>
      <c r="L15" s="51">
        <v>44</v>
      </c>
      <c r="M15" s="51">
        <v>1</v>
      </c>
      <c r="N15" s="51">
        <v>3</v>
      </c>
      <c r="P15">
        <v>1</v>
      </c>
      <c r="Q15" s="51" t="s">
        <v>446</v>
      </c>
    </row>
    <row r="16" spans="3:17">
      <c r="J16" s="51" t="s">
        <v>442</v>
      </c>
      <c r="K16" s="51">
        <v>636</v>
      </c>
      <c r="L16" s="51">
        <v>31</v>
      </c>
      <c r="M16" s="51">
        <v>1</v>
      </c>
      <c r="N16" s="51">
        <v>4</v>
      </c>
      <c r="P16">
        <v>2</v>
      </c>
      <c r="Q16" s="51" t="s">
        <v>447</v>
      </c>
    </row>
    <row r="17" spans="1:17" ht="17.25" customHeight="1">
      <c r="J17" s="51" t="s">
        <v>442</v>
      </c>
      <c r="K17" s="51">
        <v>614</v>
      </c>
      <c r="L17" s="51">
        <v>52</v>
      </c>
      <c r="M17" s="51">
        <v>1</v>
      </c>
      <c r="N17" s="51">
        <v>2</v>
      </c>
      <c r="P17">
        <v>3</v>
      </c>
      <c r="Q17" s="51" t="s">
        <v>448</v>
      </c>
    </row>
    <row r="18" spans="1:17">
      <c r="J18" s="51" t="s">
        <v>442</v>
      </c>
      <c r="K18" s="51">
        <v>637</v>
      </c>
      <c r="L18" s="51">
        <v>42</v>
      </c>
      <c r="M18" s="51">
        <v>2</v>
      </c>
      <c r="N18" s="51">
        <v>4</v>
      </c>
      <c r="P18">
        <v>4</v>
      </c>
      <c r="Q18" s="51" t="s">
        <v>449</v>
      </c>
    </row>
    <row r="19" spans="1:17">
      <c r="C19" s="51"/>
      <c r="D19" s="51"/>
      <c r="F19" s="51"/>
      <c r="G19" s="51"/>
      <c r="J19" s="51" t="s">
        <v>442</v>
      </c>
      <c r="K19" s="51">
        <v>622</v>
      </c>
      <c r="L19" s="51">
        <v>46</v>
      </c>
      <c r="M19" s="51">
        <v>2</v>
      </c>
      <c r="N19" s="51">
        <v>5</v>
      </c>
      <c r="P19">
        <v>5</v>
      </c>
      <c r="Q19" s="51" t="s">
        <v>450</v>
      </c>
    </row>
    <row r="20" spans="1:17">
      <c r="C20" s="51" t="s">
        <v>438</v>
      </c>
      <c r="D20" s="51" t="s">
        <v>281</v>
      </c>
      <c r="E20" t="s">
        <v>439</v>
      </c>
      <c r="F20" s="51" t="s">
        <v>440</v>
      </c>
      <c r="G20" s="51" t="s">
        <v>441</v>
      </c>
      <c r="J20" s="51" t="s">
        <v>442</v>
      </c>
      <c r="K20" s="51">
        <v>634</v>
      </c>
      <c r="L20" s="51">
        <v>35</v>
      </c>
      <c r="M20" s="51">
        <v>2</v>
      </c>
      <c r="N20" s="51">
        <v>3</v>
      </c>
      <c r="P20">
        <v>6</v>
      </c>
      <c r="Q20" s="51" t="s">
        <v>451</v>
      </c>
    </row>
    <row r="21" spans="1:17">
      <c r="A21" s="158" t="s">
        <v>452</v>
      </c>
      <c r="B21" s="158"/>
      <c r="C21" s="51" t="s">
        <v>444</v>
      </c>
      <c r="D21" s="51" t="s">
        <v>291</v>
      </c>
      <c r="E21">
        <v>3</v>
      </c>
      <c r="F21" s="51">
        <v>42000</v>
      </c>
      <c r="G21" s="51" t="s">
        <v>453</v>
      </c>
      <c r="J21" s="51" t="s">
        <v>442</v>
      </c>
      <c r="K21" s="51">
        <v>615</v>
      </c>
      <c r="L21" s="51">
        <v>41</v>
      </c>
      <c r="M21" s="51">
        <v>2</v>
      </c>
      <c r="N21" s="51">
        <v>6</v>
      </c>
    </row>
    <row r="22" spans="1:17">
      <c r="A22" s="158"/>
      <c r="B22" s="158"/>
      <c r="C22" s="51" t="s">
        <v>444</v>
      </c>
      <c r="D22" s="51" t="s">
        <v>292</v>
      </c>
      <c r="E22">
        <v>2</v>
      </c>
      <c r="F22" s="51">
        <v>60000</v>
      </c>
      <c r="G22" s="51" t="s">
        <v>453</v>
      </c>
      <c r="J22" s="51" t="s">
        <v>442</v>
      </c>
      <c r="K22" s="51">
        <v>633</v>
      </c>
      <c r="L22" s="51">
        <v>25</v>
      </c>
      <c r="M22" s="51">
        <v>2</v>
      </c>
      <c r="N22" s="51">
        <v>3</v>
      </c>
    </row>
    <row r="23" spans="1:17">
      <c r="A23" s="158"/>
      <c r="B23" s="158"/>
      <c r="C23" s="51" t="s">
        <v>444</v>
      </c>
      <c r="D23" s="51" t="s">
        <v>289</v>
      </c>
      <c r="E23">
        <v>2</v>
      </c>
      <c r="F23" s="51">
        <v>45000</v>
      </c>
      <c r="G23" s="51" t="s">
        <v>453</v>
      </c>
      <c r="J23" s="51" t="s">
        <v>442</v>
      </c>
      <c r="K23" s="51">
        <v>639</v>
      </c>
      <c r="L23" s="51">
        <v>31</v>
      </c>
      <c r="M23" s="51">
        <v>2</v>
      </c>
      <c r="N23" s="51">
        <v>4</v>
      </c>
    </row>
    <row r="24" spans="1:17">
      <c r="D24" s="51"/>
      <c r="E24" s="51"/>
      <c r="J24" s="51" t="s">
        <v>443</v>
      </c>
      <c r="K24" s="51">
        <v>638</v>
      </c>
      <c r="L24" s="51">
        <v>43</v>
      </c>
      <c r="M24" s="51">
        <v>1</v>
      </c>
      <c r="N24" s="51">
        <v>2</v>
      </c>
    </row>
    <row r="25" spans="1:17">
      <c r="D25" s="51"/>
      <c r="E25" s="51"/>
      <c r="J25" s="51" t="s">
        <v>443</v>
      </c>
      <c r="K25" s="51">
        <v>607</v>
      </c>
      <c r="L25" s="51">
        <v>43</v>
      </c>
      <c r="M25" s="51">
        <v>1</v>
      </c>
      <c r="N25" s="51">
        <v>1</v>
      </c>
    </row>
    <row r="26" spans="1:17">
      <c r="C26" s="51" t="s">
        <v>438</v>
      </c>
      <c r="D26" s="51" t="s">
        <v>281</v>
      </c>
      <c r="E26" t="s">
        <v>439</v>
      </c>
      <c r="F26" s="51" t="s">
        <v>440</v>
      </c>
      <c r="G26" s="51" t="s">
        <v>441</v>
      </c>
      <c r="J26" s="51" t="s">
        <v>443</v>
      </c>
      <c r="K26" s="51">
        <v>631</v>
      </c>
      <c r="L26" s="51">
        <v>38</v>
      </c>
      <c r="M26" s="51">
        <v>1</v>
      </c>
      <c r="N26" s="51">
        <v>2</v>
      </c>
    </row>
    <row r="27" spans="1:17">
      <c r="C27" s="51" t="s">
        <v>444</v>
      </c>
      <c r="D27" s="51" t="s">
        <v>291</v>
      </c>
      <c r="E27">
        <v>3</v>
      </c>
      <c r="F27" s="101">
        <f>42000/(22*8*12)</f>
        <v>19.886363636363637</v>
      </c>
      <c r="G27" s="51" t="s">
        <v>274</v>
      </c>
      <c r="J27" s="51" t="s">
        <v>443</v>
      </c>
      <c r="K27" s="51">
        <v>618</v>
      </c>
      <c r="L27" s="51">
        <v>42</v>
      </c>
      <c r="M27" s="51">
        <v>2</v>
      </c>
      <c r="N27" s="51">
        <v>5</v>
      </c>
    </row>
    <row r="28" spans="1:17">
      <c r="C28" s="51" t="s">
        <v>444</v>
      </c>
      <c r="D28" s="51" t="s">
        <v>292</v>
      </c>
      <c r="E28">
        <v>2</v>
      </c>
      <c r="F28" s="101">
        <f>60000/(22*8*12)</f>
        <v>28.40909090909091</v>
      </c>
      <c r="G28" s="51" t="s">
        <v>274</v>
      </c>
      <c r="J28" s="51" t="s">
        <v>443</v>
      </c>
      <c r="K28" s="51">
        <v>606</v>
      </c>
      <c r="L28" s="51">
        <v>41</v>
      </c>
      <c r="M28" s="51">
        <v>2</v>
      </c>
      <c r="N28" s="51">
        <v>4</v>
      </c>
    </row>
    <row r="29" spans="1:17">
      <c r="C29" s="51" t="s">
        <v>444</v>
      </c>
      <c r="D29" s="51" t="s">
        <v>289</v>
      </c>
      <c r="E29">
        <v>2</v>
      </c>
      <c r="F29" s="101">
        <f>45000/(22*8*12)</f>
        <v>21.306818181818183</v>
      </c>
      <c r="G29" s="51" t="s">
        <v>274</v>
      </c>
      <c r="J29" s="51" t="s">
        <v>443</v>
      </c>
      <c r="K29" s="51">
        <v>630</v>
      </c>
      <c r="L29" s="51">
        <v>29</v>
      </c>
      <c r="M29" s="51">
        <v>2</v>
      </c>
      <c r="N29" s="51">
        <v>1</v>
      </c>
    </row>
    <row r="30" spans="1:17">
      <c r="D30" s="51"/>
      <c r="E30" s="56"/>
      <c r="F30" s="54"/>
      <c r="G30" s="54"/>
      <c r="J30" s="51" t="s">
        <v>286</v>
      </c>
      <c r="K30" s="51">
        <v>611</v>
      </c>
      <c r="L30" s="51">
        <v>42</v>
      </c>
      <c r="M30" s="51">
        <v>1</v>
      </c>
      <c r="N30" s="51">
        <v>4</v>
      </c>
    </row>
    <row r="31" spans="1:17">
      <c r="D31" s="51"/>
      <c r="E31" s="56"/>
      <c r="F31" s="54"/>
      <c r="G31" s="55"/>
      <c r="J31" s="51" t="s">
        <v>286</v>
      </c>
      <c r="K31" s="51">
        <v>605</v>
      </c>
      <c r="L31" s="51">
        <v>38</v>
      </c>
      <c r="M31" s="51">
        <v>2</v>
      </c>
      <c r="N31" s="51">
        <v>5</v>
      </c>
    </row>
    <row r="32" spans="1:17">
      <c r="D32" s="51"/>
      <c r="E32" s="56"/>
      <c r="F32" s="54"/>
      <c r="G32" s="54"/>
      <c r="J32" s="51" t="s">
        <v>286</v>
      </c>
      <c r="K32" s="51">
        <v>632</v>
      </c>
      <c r="L32" s="51">
        <v>28</v>
      </c>
      <c r="M32" s="51" t="s">
        <v>454</v>
      </c>
      <c r="N32" s="51">
        <v>2</v>
      </c>
    </row>
    <row r="33" spans="5:14">
      <c r="E33" s="56"/>
      <c r="F33" s="54"/>
      <c r="G33" s="55"/>
      <c r="J33" s="51" t="s">
        <v>287</v>
      </c>
      <c r="K33" s="51">
        <v>626</v>
      </c>
      <c r="L33" s="51">
        <v>41</v>
      </c>
      <c r="M33" s="51">
        <v>1</v>
      </c>
      <c r="N33" s="51">
        <v>3</v>
      </c>
    </row>
    <row r="34" spans="5:14">
      <c r="J34" s="51" t="s">
        <v>287</v>
      </c>
      <c r="K34" s="51">
        <v>620</v>
      </c>
      <c r="L34" s="51">
        <v>38</v>
      </c>
      <c r="M34" s="51">
        <v>2</v>
      </c>
      <c r="N34" s="51">
        <v>2</v>
      </c>
    </row>
    <row r="35" spans="5:14">
      <c r="J35" s="51" t="s">
        <v>287</v>
      </c>
      <c r="K35" s="51">
        <v>612</v>
      </c>
      <c r="L35" s="51">
        <v>32</v>
      </c>
      <c r="M35" s="51" t="s">
        <v>454</v>
      </c>
      <c r="N35" s="51">
        <v>4</v>
      </c>
    </row>
    <row r="36" spans="5:14">
      <c r="J36" s="51" t="s">
        <v>288</v>
      </c>
      <c r="K36" s="51">
        <v>601</v>
      </c>
      <c r="L36" s="51">
        <v>25</v>
      </c>
      <c r="M36" s="51" t="s">
        <v>455</v>
      </c>
      <c r="N36" s="51">
        <v>4</v>
      </c>
    </row>
    <row r="37" spans="5:14">
      <c r="J37" s="51" t="s">
        <v>288</v>
      </c>
      <c r="K37" s="51">
        <v>602</v>
      </c>
      <c r="L37" s="51">
        <v>33</v>
      </c>
      <c r="M37" s="51" t="s">
        <v>455</v>
      </c>
      <c r="N37" s="51">
        <v>2</v>
      </c>
    </row>
    <row r="38" spans="5:14">
      <c r="J38" s="51" t="s">
        <v>289</v>
      </c>
      <c r="K38" s="51">
        <v>604</v>
      </c>
      <c r="L38" s="51">
        <v>33</v>
      </c>
      <c r="M38" s="51" t="s">
        <v>455</v>
      </c>
      <c r="N38" s="51">
        <v>3</v>
      </c>
    </row>
    <row r="39" spans="5:14">
      <c r="J39" s="51" t="s">
        <v>289</v>
      </c>
      <c r="K39" s="51">
        <v>619</v>
      </c>
      <c r="L39" s="51">
        <v>34</v>
      </c>
      <c r="M39" s="51" t="s">
        <v>455</v>
      </c>
      <c r="N39" s="51">
        <v>3</v>
      </c>
    </row>
    <row r="40" spans="5:14">
      <c r="J40" s="51" t="s">
        <v>290</v>
      </c>
      <c r="K40" s="51">
        <v>627</v>
      </c>
      <c r="L40" s="51">
        <v>32</v>
      </c>
      <c r="M40" s="51" t="s">
        <v>455</v>
      </c>
      <c r="N40" s="51">
        <v>2</v>
      </c>
    </row>
    <row r="41" spans="5:14">
      <c r="J41" s="51" t="s">
        <v>290</v>
      </c>
      <c r="K41" s="51">
        <v>603</v>
      </c>
      <c r="L41" s="51">
        <v>54</v>
      </c>
      <c r="M41" s="51" t="s">
        <v>455</v>
      </c>
      <c r="N41" s="51">
        <v>5</v>
      </c>
    </row>
    <row r="86" spans="4:4">
      <c r="D86" t="s">
        <v>456</v>
      </c>
    </row>
  </sheetData>
  <mergeCells count="2">
    <mergeCell ref="J3:N3"/>
    <mergeCell ref="A21:B23"/>
  </mergeCells>
  <pageMargins left="0.7" right="0.7" top="0.75" bottom="0.75" header="0.3" footer="0.3"/>
  <pageSetup orientation="portrait" r:id="rId1"/>
  <tableParts count="5">
    <tablePart r:id="rId2"/>
    <tablePart r:id="rId3"/>
    <tablePart r:id="rId4"/>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A9C41-EEDE-4B75-A462-D8D63278721F}">
  <dimension ref="A1:K17"/>
  <sheetViews>
    <sheetView topLeftCell="B1" workbookViewId="0">
      <selection activeCell="D7" sqref="D7"/>
    </sheetView>
  </sheetViews>
  <sheetFormatPr baseColWidth="10" defaultColWidth="8.83203125" defaultRowHeight="15"/>
  <cols>
    <col min="2" max="2" width="13" customWidth="1"/>
    <col min="3" max="3" width="14.33203125" customWidth="1"/>
    <col min="4" max="4" width="22.5" customWidth="1"/>
    <col min="5" max="5" width="10.1640625" customWidth="1"/>
    <col min="6" max="6" width="15" customWidth="1"/>
    <col min="7" max="7" width="17" customWidth="1"/>
    <col min="8" max="8" width="11" customWidth="1"/>
    <col min="10" max="10" width="20.33203125" customWidth="1"/>
    <col min="11" max="11" width="22.1640625" customWidth="1"/>
  </cols>
  <sheetData>
    <row r="1" spans="1:11">
      <c r="A1" t="s">
        <v>457</v>
      </c>
    </row>
    <row r="2" spans="1:11">
      <c r="B2" t="s">
        <v>458</v>
      </c>
    </row>
    <row r="3" spans="1:11">
      <c r="B3" t="s">
        <v>459</v>
      </c>
    </row>
    <row r="5" spans="1:11">
      <c r="B5" s="41" t="s">
        <v>460</v>
      </c>
      <c r="C5" s="42" t="s">
        <v>461</v>
      </c>
      <c r="D5" s="42" t="s">
        <v>462</v>
      </c>
      <c r="E5" s="42" t="s">
        <v>463</v>
      </c>
      <c r="F5" s="42" t="s">
        <v>464</v>
      </c>
      <c r="G5" s="42" t="s">
        <v>465</v>
      </c>
      <c r="H5" s="42" t="s">
        <v>466</v>
      </c>
      <c r="I5" s="42" t="s">
        <v>467</v>
      </c>
      <c r="J5" s="42" t="s">
        <v>468</v>
      </c>
      <c r="K5" s="42" t="s">
        <v>469</v>
      </c>
    </row>
    <row r="6" spans="1:11" ht="32">
      <c r="B6" s="43">
        <v>1</v>
      </c>
      <c r="C6" s="44" t="s">
        <v>470</v>
      </c>
      <c r="D6" s="44" t="s">
        <v>471</v>
      </c>
      <c r="E6" s="44">
        <v>2019</v>
      </c>
      <c r="F6" s="44">
        <v>1</v>
      </c>
      <c r="G6" s="45">
        <v>140</v>
      </c>
      <c r="H6" s="45">
        <v>118</v>
      </c>
      <c r="I6" s="45">
        <v>249</v>
      </c>
      <c r="J6" s="44">
        <v>25</v>
      </c>
      <c r="K6" s="44">
        <v>1600</v>
      </c>
    </row>
    <row r="7" spans="1:11" ht="32">
      <c r="B7" s="46">
        <v>2</v>
      </c>
      <c r="C7" s="47" t="s">
        <v>472</v>
      </c>
      <c r="D7" s="47" t="s">
        <v>473</v>
      </c>
      <c r="E7" s="47">
        <v>2019</v>
      </c>
      <c r="F7" s="47">
        <v>1</v>
      </c>
      <c r="G7" s="48">
        <v>115</v>
      </c>
      <c r="H7" s="48">
        <v>114</v>
      </c>
      <c r="I7" s="48">
        <v>199</v>
      </c>
      <c r="J7" s="47">
        <v>25</v>
      </c>
      <c r="K7" s="47">
        <v>1600</v>
      </c>
    </row>
    <row r="8" spans="1:11" ht="32">
      <c r="B8" s="46">
        <v>3</v>
      </c>
      <c r="C8" s="47" t="s">
        <v>474</v>
      </c>
      <c r="D8" s="47" t="s">
        <v>475</v>
      </c>
      <c r="E8" s="47">
        <v>2019</v>
      </c>
      <c r="F8" s="47">
        <v>1</v>
      </c>
      <c r="G8" s="48">
        <v>155</v>
      </c>
      <c r="H8" s="48">
        <v>123</v>
      </c>
      <c r="I8" s="48">
        <v>299</v>
      </c>
      <c r="J8" s="47">
        <v>12</v>
      </c>
      <c r="K8" s="47">
        <v>800</v>
      </c>
    </row>
    <row r="9" spans="1:11">
      <c r="B9" s="46"/>
      <c r="C9" s="47"/>
      <c r="D9" s="47"/>
      <c r="E9" s="47"/>
      <c r="F9" s="47"/>
      <c r="G9" s="48"/>
      <c r="H9" s="48"/>
      <c r="I9" s="48"/>
      <c r="J9" s="47"/>
      <c r="K9" s="47"/>
    </row>
    <row r="10" spans="1:11">
      <c r="B10" s="46"/>
      <c r="C10" s="47"/>
      <c r="D10" s="47"/>
      <c r="E10" s="47"/>
      <c r="F10" s="47"/>
      <c r="G10" s="48"/>
      <c r="H10" s="48"/>
      <c r="I10" s="48"/>
      <c r="J10" s="47"/>
      <c r="K10" s="47"/>
    </row>
    <row r="11" spans="1:11">
      <c r="B11" s="46"/>
      <c r="C11" s="47"/>
      <c r="D11" s="47"/>
      <c r="E11" s="47"/>
      <c r="F11" s="47"/>
      <c r="G11" s="48"/>
      <c r="H11" s="48"/>
      <c r="I11" s="48"/>
      <c r="J11" s="47"/>
      <c r="K11" s="47"/>
    </row>
    <row r="12" spans="1:11">
      <c r="B12" s="46"/>
      <c r="C12" s="47"/>
      <c r="D12" s="47"/>
      <c r="E12" s="47"/>
      <c r="F12" s="47"/>
      <c r="G12" s="48"/>
      <c r="H12" s="48"/>
      <c r="I12" s="48"/>
      <c r="J12" s="47"/>
      <c r="K12" s="47"/>
    </row>
    <row r="13" spans="1:11">
      <c r="B13" s="46"/>
      <c r="C13" s="47"/>
      <c r="D13" s="47"/>
      <c r="E13" s="47"/>
      <c r="F13" s="47"/>
      <c r="G13" s="48"/>
      <c r="H13" s="48"/>
      <c r="I13" s="48"/>
      <c r="J13" s="47"/>
      <c r="K13" s="47"/>
    </row>
    <row r="14" spans="1:11">
      <c r="B14" s="46"/>
      <c r="C14" s="47"/>
      <c r="D14" s="47"/>
      <c r="E14" s="47"/>
      <c r="F14" s="47"/>
      <c r="G14" s="48"/>
      <c r="H14" s="48"/>
      <c r="I14" s="48"/>
      <c r="J14" s="47"/>
      <c r="K14" s="47"/>
    </row>
    <row r="15" spans="1:11">
      <c r="B15" s="46"/>
      <c r="C15" s="47"/>
      <c r="D15" s="47"/>
      <c r="E15" s="47"/>
      <c r="F15" s="47"/>
      <c r="G15" s="48"/>
      <c r="H15" s="48"/>
      <c r="I15" s="48"/>
      <c r="J15" s="47"/>
      <c r="K15" s="47"/>
    </row>
    <row r="16" spans="1:11">
      <c r="B16" s="46"/>
      <c r="C16" s="47"/>
      <c r="D16" s="47"/>
      <c r="E16" s="47"/>
      <c r="F16" s="47"/>
      <c r="G16" s="48"/>
      <c r="H16" s="48"/>
      <c r="I16" s="48"/>
      <c r="J16" s="47"/>
      <c r="K16" s="47"/>
    </row>
    <row r="17" spans="2:11">
      <c r="B17" s="46"/>
      <c r="C17" s="47"/>
      <c r="D17" s="47"/>
      <c r="E17" s="47"/>
      <c r="F17" s="47"/>
      <c r="G17" s="48"/>
      <c r="H17" s="48"/>
      <c r="I17" s="48"/>
      <c r="J17" s="47"/>
      <c r="K17" s="4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A1C58-7743-4B6E-97C2-1FB8702017C7}">
  <dimension ref="A1:AF112"/>
  <sheetViews>
    <sheetView topLeftCell="B9" zoomScaleNormal="100" workbookViewId="0">
      <selection activeCell="Q25" sqref="Q25"/>
    </sheetView>
  </sheetViews>
  <sheetFormatPr baseColWidth="10" defaultColWidth="8.83203125" defaultRowHeight="15"/>
  <cols>
    <col min="1" max="1" width="4.33203125" customWidth="1"/>
    <col min="7" max="7" width="2" customWidth="1"/>
    <col min="11" max="11" width="1.83203125" customWidth="1"/>
    <col min="22" max="22" width="11.5" customWidth="1"/>
  </cols>
  <sheetData>
    <row r="1" spans="1:32">
      <c r="A1" s="3" t="s">
        <v>53</v>
      </c>
      <c r="O1" t="s">
        <v>476</v>
      </c>
    </row>
    <row r="3" spans="1:32">
      <c r="A3" t="s">
        <v>146</v>
      </c>
      <c r="C3" t="s">
        <v>147</v>
      </c>
      <c r="H3" s="14" t="s">
        <v>148</v>
      </c>
      <c r="I3" t="s">
        <v>82</v>
      </c>
      <c r="L3" t="s">
        <v>149</v>
      </c>
      <c r="M3" t="s">
        <v>150</v>
      </c>
    </row>
    <row r="4" spans="1:32">
      <c r="B4">
        <v>1</v>
      </c>
      <c r="C4" t="s">
        <v>477</v>
      </c>
      <c r="L4">
        <v>5</v>
      </c>
      <c r="M4" t="s">
        <v>478</v>
      </c>
    </row>
    <row r="5" spans="1:32">
      <c r="H5">
        <v>1</v>
      </c>
      <c r="I5">
        <v>5</v>
      </c>
      <c r="J5" t="s">
        <v>478</v>
      </c>
    </row>
    <row r="6" spans="1:32">
      <c r="H6">
        <v>2</v>
      </c>
      <c r="I6" t="s">
        <v>479</v>
      </c>
    </row>
    <row r="8" spans="1:32">
      <c r="B8">
        <v>2</v>
      </c>
      <c r="C8" t="s">
        <v>480</v>
      </c>
      <c r="L8" t="str">
        <f>I11</f>
        <v>less than assembly time</v>
      </c>
    </row>
    <row r="9" spans="1:32">
      <c r="H9">
        <v>1</v>
      </c>
      <c r="I9">
        <v>5</v>
      </c>
      <c r="J9" t="s">
        <v>478</v>
      </c>
    </row>
    <row r="10" spans="1:32">
      <c r="H10">
        <v>2</v>
      </c>
      <c r="I10" t="s">
        <v>479</v>
      </c>
    </row>
    <row r="11" spans="1:32">
      <c r="H11">
        <v>3</v>
      </c>
      <c r="I11" t="s">
        <v>481</v>
      </c>
    </row>
    <row r="13" spans="1:32">
      <c r="B13">
        <v>3</v>
      </c>
      <c r="C13" t="s">
        <v>482</v>
      </c>
      <c r="L13" t="s">
        <v>483</v>
      </c>
      <c r="S13" t="s">
        <v>484</v>
      </c>
      <c r="V13" t="str">
        <f>D28</f>
        <v>Assembling</v>
      </c>
      <c r="W13" t="str">
        <f>E28</f>
        <v>Picking</v>
      </c>
      <c r="X13" t="str">
        <f>F28</f>
        <v>Standby</v>
      </c>
      <c r="Z13" t="str">
        <f>H28</f>
        <v>Assembling</v>
      </c>
      <c r="AA13" t="str">
        <f>I28</f>
        <v>Picking</v>
      </c>
      <c r="AB13" t="str">
        <f>J28</f>
        <v>Standby</v>
      </c>
      <c r="AD13" t="str">
        <f>L28</f>
        <v>Assembling</v>
      </c>
      <c r="AE13" t="str">
        <f>M28</f>
        <v>Picking</v>
      </c>
      <c r="AF13" t="str">
        <f>N28</f>
        <v>Standby</v>
      </c>
    </row>
    <row r="14" spans="1:32">
      <c r="H14">
        <v>1</v>
      </c>
      <c r="I14" t="s">
        <v>218</v>
      </c>
      <c r="U14" t="s">
        <v>33</v>
      </c>
      <c r="V14">
        <f>COUNTIF(D29:D112,U14)</f>
        <v>28</v>
      </c>
      <c r="W14">
        <f>COUNTIF(E29:E112,U14)</f>
        <v>28</v>
      </c>
      <c r="X14" s="23">
        <f>COUNTIF(F29:F112,U14)</f>
        <v>28</v>
      </c>
      <c r="Y14" t="s">
        <v>41</v>
      </c>
      <c r="Z14">
        <f>COUNTIF(H29:H112,Y14)</f>
        <v>28</v>
      </c>
      <c r="AA14" s="23">
        <f>COUNTIF(I29:I112,Y14)</f>
        <v>28</v>
      </c>
      <c r="AB14" s="23">
        <f>COUNTIF(J29:J112,Y14)</f>
        <v>28</v>
      </c>
      <c r="AC14" t="s">
        <v>51</v>
      </c>
      <c r="AD14">
        <f>COUNTIF(L29:L112,AC14)</f>
        <v>28</v>
      </c>
      <c r="AE14">
        <f>COUNTIF(M29:M112,AC14)</f>
        <v>28</v>
      </c>
      <c r="AF14">
        <f>COUNTIF(N29:N112,AC14)</f>
        <v>28</v>
      </c>
    </row>
    <row r="15" spans="1:32">
      <c r="H15">
        <v>2</v>
      </c>
      <c r="I15" t="s">
        <v>215</v>
      </c>
      <c r="U15" t="s">
        <v>35</v>
      </c>
      <c r="V15" s="23">
        <f>COUNTIF(D29:D112,U15)</f>
        <v>28</v>
      </c>
      <c r="W15" s="23">
        <f>COUNTIF(E29:E112,U15)</f>
        <v>28</v>
      </c>
      <c r="X15" s="23">
        <f>COUNTIF(F29:F112,U15)</f>
        <v>28</v>
      </c>
      <c r="Y15" t="s">
        <v>45</v>
      </c>
      <c r="Z15">
        <f t="shared" ref="Z15:Z16" si="0">COUNTIF(H30:H113,Y15)</f>
        <v>28</v>
      </c>
      <c r="AA15" s="23">
        <f>COUNTIF(I29:I112,Y15)</f>
        <v>28</v>
      </c>
      <c r="AB15" s="23">
        <f>COUNTIF(J29:J112,Y15)</f>
        <v>28</v>
      </c>
      <c r="AC15" t="s">
        <v>55</v>
      </c>
      <c r="AD15">
        <f>COUNTIF(L29:L112,AC15)</f>
        <v>28</v>
      </c>
      <c r="AE15">
        <f>COUNTIF(M29:M112,AC15)</f>
        <v>28</v>
      </c>
      <c r="AF15">
        <f>COUNTIF(N29:N112,AC15)</f>
        <v>28</v>
      </c>
    </row>
    <row r="16" spans="1:32">
      <c r="U16" t="s">
        <v>38</v>
      </c>
      <c r="V16" s="23">
        <f>COUNTIF(D29:D112,U16)</f>
        <v>28</v>
      </c>
      <c r="W16" s="23">
        <f>COUNTIF(E29:E112,U16)</f>
        <v>28</v>
      </c>
      <c r="X16" s="23">
        <f>COUNTIF(F29:F112,U16)</f>
        <v>28</v>
      </c>
      <c r="Y16" t="s">
        <v>48</v>
      </c>
      <c r="Z16">
        <f t="shared" si="0"/>
        <v>28</v>
      </c>
      <c r="AA16" s="23">
        <f>COUNTIF(I29:I112,Y16)</f>
        <v>28</v>
      </c>
      <c r="AB16" s="23">
        <f>COUNTIF(J29:J112,Y16)</f>
        <v>28</v>
      </c>
      <c r="AC16" t="s">
        <v>58</v>
      </c>
      <c r="AD16">
        <f>COUNTIF(L29:L112,AC16)</f>
        <v>28</v>
      </c>
      <c r="AE16">
        <f>COUNTIF(M29:M112,AC16)</f>
        <v>28</v>
      </c>
      <c r="AF16">
        <f>COUNTIF(N29:N112,AC16)</f>
        <v>28</v>
      </c>
    </row>
    <row r="17" spans="1:31">
      <c r="A17" t="s">
        <v>179</v>
      </c>
    </row>
    <row r="18" spans="1:31">
      <c r="B18">
        <v>1</v>
      </c>
      <c r="C18" t="s">
        <v>485</v>
      </c>
      <c r="S18" t="s">
        <v>486</v>
      </c>
    </row>
    <row r="19" spans="1:31">
      <c r="B19">
        <v>2</v>
      </c>
      <c r="C19" t="s">
        <v>487</v>
      </c>
      <c r="V19" t="s">
        <v>488</v>
      </c>
      <c r="W19" t="s">
        <v>489</v>
      </c>
      <c r="Z19" t="s">
        <v>488</v>
      </c>
      <c r="AA19" t="s">
        <v>489</v>
      </c>
      <c r="AD19" t="s">
        <v>488</v>
      </c>
      <c r="AE19" t="s">
        <v>489</v>
      </c>
    </row>
    <row r="20" spans="1:31">
      <c r="B20">
        <v>3</v>
      </c>
      <c r="C20" t="s">
        <v>490</v>
      </c>
      <c r="U20" t="s">
        <v>33</v>
      </c>
      <c r="V20" s="39">
        <f>((V14+W14)*5)/60</f>
        <v>4.666666666666667</v>
      </c>
      <c r="W20" s="39">
        <f>(X14*5)/60</f>
        <v>2.3333333333333335</v>
      </c>
      <c r="X20" s="39"/>
      <c r="Y20" s="39" t="s">
        <v>41</v>
      </c>
      <c r="Z20" s="39">
        <f>((Z14+AA14)*5)/60</f>
        <v>4.666666666666667</v>
      </c>
      <c r="AA20" s="39">
        <f>(AB14*5)/60</f>
        <v>2.3333333333333335</v>
      </c>
      <c r="AB20" s="39"/>
      <c r="AC20" s="39" t="s">
        <v>51</v>
      </c>
      <c r="AD20" s="39">
        <f>((AD14+AE14)*5)/60</f>
        <v>4.666666666666667</v>
      </c>
      <c r="AE20" s="39">
        <f>(AF14*5)/60</f>
        <v>2.3333333333333335</v>
      </c>
    </row>
    <row r="21" spans="1:31">
      <c r="D21" t="s">
        <v>491</v>
      </c>
      <c r="U21" t="s">
        <v>35</v>
      </c>
      <c r="V21" s="39">
        <f t="shared" ref="V21:V22" si="1">((V15+W15)*5)/60</f>
        <v>4.666666666666667</v>
      </c>
      <c r="W21" s="39">
        <f t="shared" ref="W21:W22" si="2">(X15*5)/60</f>
        <v>2.3333333333333335</v>
      </c>
      <c r="X21" s="39"/>
      <c r="Y21" s="39" t="s">
        <v>45</v>
      </c>
      <c r="Z21" s="39">
        <f>((Z15+AA15)*5)/60</f>
        <v>4.666666666666667</v>
      </c>
      <c r="AA21" s="39">
        <f>(AB15*5)/60</f>
        <v>2.3333333333333335</v>
      </c>
      <c r="AB21" s="39"/>
      <c r="AC21" s="39" t="s">
        <v>55</v>
      </c>
      <c r="AD21" s="39">
        <f>((AD15+AE15)*5)/60</f>
        <v>4.666666666666667</v>
      </c>
      <c r="AE21" s="39">
        <f>(AF15*5)/60</f>
        <v>2.3333333333333335</v>
      </c>
    </row>
    <row r="22" spans="1:31">
      <c r="U22" t="s">
        <v>38</v>
      </c>
      <c r="V22" s="39">
        <f t="shared" si="1"/>
        <v>4.666666666666667</v>
      </c>
      <c r="W22" s="39">
        <f t="shared" si="2"/>
        <v>2.3333333333333335</v>
      </c>
      <c r="X22" s="39"/>
      <c r="Y22" s="39" t="s">
        <v>48</v>
      </c>
      <c r="Z22" s="39">
        <f>((Z16+AA16)*5)/60</f>
        <v>4.666666666666667</v>
      </c>
      <c r="AA22" s="39">
        <f>(AB16*5)/60</f>
        <v>2.3333333333333335</v>
      </c>
      <c r="AB22" s="39"/>
      <c r="AC22" s="39" t="s">
        <v>58</v>
      </c>
      <c r="AD22" s="39">
        <f>((AD16+AE16)*5)/60</f>
        <v>4.666666666666667</v>
      </c>
      <c r="AE22" s="39">
        <f>(AF16*5)/60</f>
        <v>2.3333333333333335</v>
      </c>
    </row>
    <row r="23" spans="1:31">
      <c r="A23" t="s">
        <v>233</v>
      </c>
    </row>
    <row r="24" spans="1:31">
      <c r="B24">
        <v>1</v>
      </c>
      <c r="C24" t="s">
        <v>492</v>
      </c>
      <c r="H24">
        <v>5</v>
      </c>
      <c r="I24" t="s">
        <v>478</v>
      </c>
      <c r="S24" t="s">
        <v>493</v>
      </c>
    </row>
    <row r="25" spans="1:31">
      <c r="V25" t="s">
        <v>488</v>
      </c>
      <c r="W25" t="s">
        <v>489</v>
      </c>
      <c r="Z25" t="s">
        <v>488</v>
      </c>
      <c r="AA25" t="s">
        <v>489</v>
      </c>
      <c r="AD25" t="s">
        <v>488</v>
      </c>
      <c r="AE25" t="s">
        <v>489</v>
      </c>
    </row>
    <row r="26" spans="1:31">
      <c r="U26" t="s">
        <v>33</v>
      </c>
      <c r="V26" s="39">
        <f>(V20/(V20+W20))*100</f>
        <v>66.666666666666671</v>
      </c>
      <c r="W26" s="39">
        <f>(W20/(V20+W20))*100</f>
        <v>33.333333333333336</v>
      </c>
      <c r="X26" s="39"/>
      <c r="Y26" s="39" t="s">
        <v>41</v>
      </c>
      <c r="Z26" s="39">
        <f>(Z20/(Z20+AA20))*100</f>
        <v>66.666666666666671</v>
      </c>
      <c r="AA26" s="39">
        <f>(AA20/(Z20+AA20))*100</f>
        <v>33.333333333333336</v>
      </c>
      <c r="AB26" s="39"/>
      <c r="AC26" s="39" t="s">
        <v>51</v>
      </c>
      <c r="AD26" s="39">
        <f>(AD20/(AD20+AE20))*100</f>
        <v>66.666666666666671</v>
      </c>
      <c r="AE26" s="39">
        <f>(AE20/(AD20+AE20))*100</f>
        <v>33.333333333333336</v>
      </c>
    </row>
    <row r="27" spans="1:31">
      <c r="B27" t="s">
        <v>494</v>
      </c>
      <c r="C27">
        <v>1</v>
      </c>
      <c r="H27">
        <v>2</v>
      </c>
      <c r="L27">
        <v>3</v>
      </c>
      <c r="U27" t="s">
        <v>35</v>
      </c>
      <c r="V27" s="39">
        <f t="shared" ref="V27:V28" si="3">(V21/(V21+W21))*100</f>
        <v>66.666666666666671</v>
      </c>
      <c r="W27" s="39">
        <f>(W21/(V21+W21))*100</f>
        <v>33.333333333333336</v>
      </c>
      <c r="X27" s="39"/>
      <c r="Y27" s="39" t="s">
        <v>45</v>
      </c>
      <c r="Z27" s="39">
        <f t="shared" ref="Z27:Z28" si="4">(Z21/(Z21+AA21))*100</f>
        <v>66.666666666666671</v>
      </c>
      <c r="AA27" s="39">
        <f>(AA21/(Z21+AA21))*100</f>
        <v>33.333333333333336</v>
      </c>
      <c r="AB27" s="39"/>
      <c r="AC27" s="39" t="s">
        <v>55</v>
      </c>
      <c r="AD27" s="39">
        <f t="shared" ref="AD27:AD28" si="5">(AD21/(AD21+AE21))*100</f>
        <v>66.666666666666671</v>
      </c>
      <c r="AE27" s="39">
        <f>(AE21/(AD21+AE21))*100</f>
        <v>33.333333333333336</v>
      </c>
    </row>
    <row r="28" spans="1:31">
      <c r="B28" t="s">
        <v>495</v>
      </c>
      <c r="C28" t="s">
        <v>496</v>
      </c>
      <c r="D28" t="s">
        <v>497</v>
      </c>
      <c r="E28" t="s">
        <v>498</v>
      </c>
      <c r="F28" t="s">
        <v>489</v>
      </c>
      <c r="H28" t="s">
        <v>497</v>
      </c>
      <c r="I28" t="s">
        <v>498</v>
      </c>
      <c r="J28" t="s">
        <v>489</v>
      </c>
      <c r="L28" t="s">
        <v>497</v>
      </c>
      <c r="M28" t="s">
        <v>498</v>
      </c>
      <c r="N28" t="s">
        <v>489</v>
      </c>
      <c r="U28" t="s">
        <v>38</v>
      </c>
      <c r="V28" s="39">
        <f t="shared" si="3"/>
        <v>66.666666666666671</v>
      </c>
      <c r="W28" s="39">
        <f>(W22/(V22+W22))*100</f>
        <v>33.333333333333336</v>
      </c>
      <c r="X28" s="39"/>
      <c r="Y28" s="39" t="s">
        <v>48</v>
      </c>
      <c r="Z28" s="39">
        <f t="shared" si="4"/>
        <v>66.666666666666671</v>
      </c>
      <c r="AA28" s="39">
        <f>(AA22/(Z22+AA22))*100</f>
        <v>33.333333333333336</v>
      </c>
      <c r="AB28" s="39"/>
      <c r="AC28" s="39" t="s">
        <v>58</v>
      </c>
      <c r="AD28" s="39">
        <f t="shared" si="5"/>
        <v>66.666666666666671</v>
      </c>
      <c r="AE28" s="39">
        <f>(AE22/(AD22+AE22))*100</f>
        <v>33.333333333333336</v>
      </c>
    </row>
    <row r="29" spans="1:31">
      <c r="B29">
        <v>1</v>
      </c>
      <c r="C29">
        <v>0</v>
      </c>
      <c r="D29" t="s">
        <v>33</v>
      </c>
      <c r="E29" t="s">
        <v>35</v>
      </c>
      <c r="F29" t="s">
        <v>38</v>
      </c>
      <c r="H29" t="str">
        <f>IF(D29 = "A", "D",IF(D29="B","E",IF(D29="C","F","NA")))</f>
        <v>D</v>
      </c>
      <c r="I29" t="str">
        <f>IF(E29 = "A", "D",IF(E29="B","E",IF(E29="C","F","NA")))</f>
        <v>E</v>
      </c>
      <c r="J29" t="str">
        <f>IF(F29 = "A", "D",IF(F29="B","E",IF(F29="C","F","NA")))</f>
        <v>F</v>
      </c>
      <c r="L29" t="str">
        <f>IF(D29 = "A", "G",IF(D29="B","H",IF(D29="C","J","NA")))</f>
        <v>G</v>
      </c>
      <c r="M29" t="str">
        <f>IF(E29 = "A", "G",IF(E29="B","H",IF(E29="C","J","NA")))</f>
        <v>H</v>
      </c>
      <c r="N29" t="str">
        <f>IF(F29 = "A", "G",IF(F29="B","H",IF(F29="C","J","NA")))</f>
        <v>J</v>
      </c>
    </row>
    <row r="30" spans="1:31">
      <c r="B30">
        <f>B29</f>
        <v>1</v>
      </c>
      <c r="C30">
        <f>C29+$H$24</f>
        <v>5</v>
      </c>
      <c r="D30" t="s">
        <v>35</v>
      </c>
      <c r="E30" t="s">
        <v>33</v>
      </c>
      <c r="F30" t="s">
        <v>38</v>
      </c>
      <c r="H30" t="str">
        <f t="shared" ref="H30:H93" si="6">IF(D30 = "A", "D",IF(D30="B","E",IF(D30="C","F","NA")))</f>
        <v>E</v>
      </c>
      <c r="I30" t="str">
        <f t="shared" ref="I30:I93" si="7">IF(E30 = "A", "D",IF(E30="B","E",IF(E30="C","F","NA")))</f>
        <v>D</v>
      </c>
      <c r="J30" t="str">
        <f t="shared" ref="J30:J93" si="8">IF(F30 = "A", "D",IF(F30="B","E",IF(F30="C","F","NA")))</f>
        <v>F</v>
      </c>
      <c r="L30" t="str">
        <f t="shared" ref="L30:L93" si="9">IF(D30 = "A", "G",IF(D30="B","H",IF(D30="C","J","NA")))</f>
        <v>H</v>
      </c>
      <c r="M30" t="str">
        <f t="shared" ref="M30:M93" si="10">IF(E30 = "A", "G",IF(E30="B","H",IF(E30="C","J","NA")))</f>
        <v>G</v>
      </c>
      <c r="N30" t="str">
        <f t="shared" ref="N30:N93" si="11">IF(F30 = "A", "G",IF(F30="B","H",IF(F30="C","J","NA")))</f>
        <v>J</v>
      </c>
    </row>
    <row r="31" spans="1:31">
      <c r="B31">
        <f t="shared" ref="B31:B40" si="12">B30</f>
        <v>1</v>
      </c>
      <c r="C31">
        <f>C30+$H$24</f>
        <v>10</v>
      </c>
      <c r="D31" t="s">
        <v>33</v>
      </c>
      <c r="E31" t="s">
        <v>35</v>
      </c>
      <c r="F31" t="s">
        <v>38</v>
      </c>
      <c r="H31" t="str">
        <f t="shared" si="6"/>
        <v>D</v>
      </c>
      <c r="I31" t="str">
        <f t="shared" si="7"/>
        <v>E</v>
      </c>
      <c r="J31" t="str">
        <f t="shared" si="8"/>
        <v>F</v>
      </c>
      <c r="L31" t="str">
        <f t="shared" si="9"/>
        <v>G</v>
      </c>
      <c r="M31" t="str">
        <f t="shared" si="10"/>
        <v>H</v>
      </c>
      <c r="N31" t="str">
        <f t="shared" si="11"/>
        <v>J</v>
      </c>
    </row>
    <row r="32" spans="1:31">
      <c r="B32">
        <f t="shared" si="12"/>
        <v>1</v>
      </c>
      <c r="C32">
        <f t="shared" ref="C32:C40" si="13">C31+$H$24</f>
        <v>15</v>
      </c>
      <c r="D32" t="s">
        <v>35</v>
      </c>
      <c r="E32" t="s">
        <v>38</v>
      </c>
      <c r="F32" t="s">
        <v>33</v>
      </c>
      <c r="H32" t="str">
        <f t="shared" si="6"/>
        <v>E</v>
      </c>
      <c r="I32" t="str">
        <f t="shared" si="7"/>
        <v>F</v>
      </c>
      <c r="J32" t="str">
        <f t="shared" si="8"/>
        <v>D</v>
      </c>
      <c r="L32" t="str">
        <f t="shared" si="9"/>
        <v>H</v>
      </c>
      <c r="M32" t="str">
        <f t="shared" si="10"/>
        <v>J</v>
      </c>
      <c r="N32" t="str">
        <f t="shared" si="11"/>
        <v>G</v>
      </c>
    </row>
    <row r="33" spans="2:14">
      <c r="B33">
        <f t="shared" si="12"/>
        <v>1</v>
      </c>
      <c r="C33">
        <f t="shared" si="13"/>
        <v>20</v>
      </c>
      <c r="D33" t="s">
        <v>38</v>
      </c>
      <c r="E33" t="s">
        <v>35</v>
      </c>
      <c r="F33" t="s">
        <v>33</v>
      </c>
      <c r="H33" t="str">
        <f t="shared" si="6"/>
        <v>F</v>
      </c>
      <c r="I33" t="str">
        <f t="shared" si="7"/>
        <v>E</v>
      </c>
      <c r="J33" t="str">
        <f t="shared" si="8"/>
        <v>D</v>
      </c>
      <c r="L33" t="str">
        <f t="shared" si="9"/>
        <v>J</v>
      </c>
      <c r="M33" t="str">
        <f t="shared" si="10"/>
        <v>H</v>
      </c>
      <c r="N33" t="str">
        <f t="shared" si="11"/>
        <v>G</v>
      </c>
    </row>
    <row r="34" spans="2:14">
      <c r="B34">
        <f t="shared" si="12"/>
        <v>1</v>
      </c>
      <c r="C34">
        <f t="shared" si="13"/>
        <v>25</v>
      </c>
      <c r="D34" t="s">
        <v>35</v>
      </c>
      <c r="E34" t="s">
        <v>38</v>
      </c>
      <c r="F34" t="s">
        <v>33</v>
      </c>
      <c r="H34" t="str">
        <f t="shared" si="6"/>
        <v>E</v>
      </c>
      <c r="I34" t="str">
        <f t="shared" si="7"/>
        <v>F</v>
      </c>
      <c r="J34" t="str">
        <f t="shared" si="8"/>
        <v>D</v>
      </c>
      <c r="L34" t="str">
        <f t="shared" si="9"/>
        <v>H</v>
      </c>
      <c r="M34" t="str">
        <f t="shared" si="10"/>
        <v>J</v>
      </c>
      <c r="N34" t="str">
        <f t="shared" si="11"/>
        <v>G</v>
      </c>
    </row>
    <row r="35" spans="2:14">
      <c r="B35">
        <f t="shared" si="12"/>
        <v>1</v>
      </c>
      <c r="C35">
        <f t="shared" si="13"/>
        <v>30</v>
      </c>
      <c r="D35" t="s">
        <v>38</v>
      </c>
      <c r="E35" t="s">
        <v>33</v>
      </c>
      <c r="F35" t="s">
        <v>35</v>
      </c>
      <c r="H35" t="str">
        <f t="shared" si="6"/>
        <v>F</v>
      </c>
      <c r="I35" t="str">
        <f t="shared" si="7"/>
        <v>D</v>
      </c>
      <c r="J35" t="str">
        <f t="shared" si="8"/>
        <v>E</v>
      </c>
      <c r="L35" t="str">
        <f t="shared" si="9"/>
        <v>J</v>
      </c>
      <c r="M35" t="str">
        <f t="shared" si="10"/>
        <v>G</v>
      </c>
      <c r="N35" t="str">
        <f t="shared" si="11"/>
        <v>H</v>
      </c>
    </row>
    <row r="36" spans="2:14">
      <c r="B36">
        <f t="shared" si="12"/>
        <v>1</v>
      </c>
      <c r="C36">
        <f t="shared" si="13"/>
        <v>35</v>
      </c>
      <c r="D36" t="s">
        <v>33</v>
      </c>
      <c r="E36" t="s">
        <v>38</v>
      </c>
      <c r="F36" t="s">
        <v>35</v>
      </c>
      <c r="H36" t="str">
        <f t="shared" si="6"/>
        <v>D</v>
      </c>
      <c r="I36" t="str">
        <f t="shared" si="7"/>
        <v>F</v>
      </c>
      <c r="J36" t="str">
        <f t="shared" si="8"/>
        <v>E</v>
      </c>
      <c r="L36" t="str">
        <f t="shared" si="9"/>
        <v>G</v>
      </c>
      <c r="M36" t="str">
        <f t="shared" si="10"/>
        <v>J</v>
      </c>
      <c r="N36" t="str">
        <f t="shared" si="11"/>
        <v>H</v>
      </c>
    </row>
    <row r="37" spans="2:14">
      <c r="B37">
        <f t="shared" si="12"/>
        <v>1</v>
      </c>
      <c r="C37">
        <f t="shared" si="13"/>
        <v>40</v>
      </c>
      <c r="D37" t="s">
        <v>38</v>
      </c>
      <c r="E37" t="s">
        <v>33</v>
      </c>
      <c r="F37" t="s">
        <v>35</v>
      </c>
      <c r="H37" t="str">
        <f t="shared" si="6"/>
        <v>F</v>
      </c>
      <c r="I37" t="str">
        <f t="shared" si="7"/>
        <v>D</v>
      </c>
      <c r="J37" t="str">
        <f t="shared" si="8"/>
        <v>E</v>
      </c>
      <c r="L37" t="str">
        <f t="shared" si="9"/>
        <v>J</v>
      </c>
      <c r="M37" t="str">
        <f t="shared" si="10"/>
        <v>G</v>
      </c>
      <c r="N37" t="str">
        <f t="shared" si="11"/>
        <v>H</v>
      </c>
    </row>
    <row r="38" spans="2:14">
      <c r="B38">
        <f t="shared" si="12"/>
        <v>1</v>
      </c>
      <c r="C38">
        <f t="shared" si="13"/>
        <v>45</v>
      </c>
      <c r="D38" t="s">
        <v>33</v>
      </c>
      <c r="E38" t="s">
        <v>35</v>
      </c>
      <c r="F38" t="s">
        <v>38</v>
      </c>
      <c r="H38" t="str">
        <f t="shared" si="6"/>
        <v>D</v>
      </c>
      <c r="I38" t="str">
        <f t="shared" si="7"/>
        <v>E</v>
      </c>
      <c r="J38" t="str">
        <f t="shared" si="8"/>
        <v>F</v>
      </c>
      <c r="L38" t="str">
        <f t="shared" si="9"/>
        <v>G</v>
      </c>
      <c r="M38" t="str">
        <f t="shared" si="10"/>
        <v>H</v>
      </c>
      <c r="N38" t="str">
        <f t="shared" si="11"/>
        <v>J</v>
      </c>
    </row>
    <row r="39" spans="2:14">
      <c r="B39">
        <f t="shared" si="12"/>
        <v>1</v>
      </c>
      <c r="C39">
        <f t="shared" si="13"/>
        <v>50</v>
      </c>
      <c r="D39" t="s">
        <v>35</v>
      </c>
      <c r="E39" t="s">
        <v>33</v>
      </c>
      <c r="F39" t="s">
        <v>38</v>
      </c>
      <c r="H39" t="str">
        <f t="shared" si="6"/>
        <v>E</v>
      </c>
      <c r="I39" t="str">
        <f t="shared" si="7"/>
        <v>D</v>
      </c>
      <c r="J39" t="str">
        <f t="shared" si="8"/>
        <v>F</v>
      </c>
      <c r="L39" t="str">
        <f t="shared" si="9"/>
        <v>H</v>
      </c>
      <c r="M39" t="str">
        <f t="shared" si="10"/>
        <v>G</v>
      </c>
      <c r="N39" t="str">
        <f t="shared" si="11"/>
        <v>J</v>
      </c>
    </row>
    <row r="40" spans="2:14">
      <c r="B40">
        <f t="shared" si="12"/>
        <v>1</v>
      </c>
      <c r="C40">
        <f t="shared" si="13"/>
        <v>55</v>
      </c>
      <c r="D40" t="s">
        <v>33</v>
      </c>
      <c r="E40" t="s">
        <v>35</v>
      </c>
      <c r="F40" t="s">
        <v>38</v>
      </c>
      <c r="H40" t="str">
        <f t="shared" si="6"/>
        <v>D</v>
      </c>
      <c r="I40" t="str">
        <f t="shared" si="7"/>
        <v>E</v>
      </c>
      <c r="J40" t="str">
        <f t="shared" si="8"/>
        <v>F</v>
      </c>
      <c r="L40" t="str">
        <f t="shared" si="9"/>
        <v>G</v>
      </c>
      <c r="M40" t="str">
        <f t="shared" si="10"/>
        <v>H</v>
      </c>
      <c r="N40" t="str">
        <f t="shared" si="11"/>
        <v>J</v>
      </c>
    </row>
    <row r="41" spans="2:14">
      <c r="B41">
        <f>B40+1</f>
        <v>2</v>
      </c>
      <c r="C41">
        <v>0</v>
      </c>
      <c r="D41" t="s">
        <v>35</v>
      </c>
      <c r="E41" t="s">
        <v>38</v>
      </c>
      <c r="F41" t="s">
        <v>33</v>
      </c>
      <c r="H41" t="str">
        <f t="shared" si="6"/>
        <v>E</v>
      </c>
      <c r="I41" t="str">
        <f t="shared" si="7"/>
        <v>F</v>
      </c>
      <c r="J41" t="str">
        <f t="shared" si="8"/>
        <v>D</v>
      </c>
      <c r="L41" t="str">
        <f t="shared" si="9"/>
        <v>H</v>
      </c>
      <c r="M41" t="str">
        <f t="shared" si="10"/>
        <v>J</v>
      </c>
      <c r="N41" t="str">
        <f t="shared" si="11"/>
        <v>G</v>
      </c>
    </row>
    <row r="42" spans="2:14">
      <c r="B42">
        <f>B41</f>
        <v>2</v>
      </c>
      <c r="C42">
        <f>C41+$H$24</f>
        <v>5</v>
      </c>
      <c r="D42" t="s">
        <v>38</v>
      </c>
      <c r="E42" t="s">
        <v>35</v>
      </c>
      <c r="F42" t="s">
        <v>33</v>
      </c>
      <c r="H42" t="str">
        <f t="shared" si="6"/>
        <v>F</v>
      </c>
      <c r="I42" t="str">
        <f t="shared" si="7"/>
        <v>E</v>
      </c>
      <c r="J42" t="str">
        <f t="shared" si="8"/>
        <v>D</v>
      </c>
      <c r="L42" t="str">
        <f t="shared" si="9"/>
        <v>J</v>
      </c>
      <c r="M42" t="str">
        <f t="shared" si="10"/>
        <v>H</v>
      </c>
      <c r="N42" t="str">
        <f t="shared" si="11"/>
        <v>G</v>
      </c>
    </row>
    <row r="43" spans="2:14">
      <c r="B43">
        <f>B42</f>
        <v>2</v>
      </c>
      <c r="C43">
        <f>C42+$H$24</f>
        <v>10</v>
      </c>
      <c r="D43" t="s">
        <v>35</v>
      </c>
      <c r="E43" t="s">
        <v>38</v>
      </c>
      <c r="F43" t="s">
        <v>33</v>
      </c>
      <c r="H43" t="str">
        <f t="shared" si="6"/>
        <v>E</v>
      </c>
      <c r="I43" t="str">
        <f t="shared" si="7"/>
        <v>F</v>
      </c>
      <c r="J43" t="str">
        <f t="shared" si="8"/>
        <v>D</v>
      </c>
      <c r="L43" t="str">
        <f t="shared" si="9"/>
        <v>H</v>
      </c>
      <c r="M43" t="str">
        <f t="shared" si="10"/>
        <v>J</v>
      </c>
      <c r="N43" t="str">
        <f t="shared" si="11"/>
        <v>G</v>
      </c>
    </row>
    <row r="44" spans="2:14">
      <c r="B44">
        <f t="shared" ref="B44:B52" si="14">B43</f>
        <v>2</v>
      </c>
      <c r="C44">
        <f t="shared" ref="C44:C52" si="15">C43+$H$24</f>
        <v>15</v>
      </c>
      <c r="D44" t="s">
        <v>38</v>
      </c>
      <c r="E44" t="s">
        <v>33</v>
      </c>
      <c r="F44" t="s">
        <v>35</v>
      </c>
      <c r="H44" t="str">
        <f t="shared" si="6"/>
        <v>F</v>
      </c>
      <c r="I44" t="str">
        <f t="shared" si="7"/>
        <v>D</v>
      </c>
      <c r="J44" t="str">
        <f t="shared" si="8"/>
        <v>E</v>
      </c>
      <c r="L44" t="str">
        <f t="shared" si="9"/>
        <v>J</v>
      </c>
      <c r="M44" t="str">
        <f t="shared" si="10"/>
        <v>G</v>
      </c>
      <c r="N44" t="str">
        <f t="shared" si="11"/>
        <v>H</v>
      </c>
    </row>
    <row r="45" spans="2:14">
      <c r="B45">
        <f t="shared" si="14"/>
        <v>2</v>
      </c>
      <c r="C45">
        <f t="shared" si="15"/>
        <v>20</v>
      </c>
      <c r="D45" t="s">
        <v>33</v>
      </c>
      <c r="E45" t="s">
        <v>38</v>
      </c>
      <c r="F45" t="s">
        <v>35</v>
      </c>
      <c r="H45" t="str">
        <f t="shared" si="6"/>
        <v>D</v>
      </c>
      <c r="I45" t="str">
        <f t="shared" si="7"/>
        <v>F</v>
      </c>
      <c r="J45" t="str">
        <f t="shared" si="8"/>
        <v>E</v>
      </c>
      <c r="L45" t="str">
        <f t="shared" si="9"/>
        <v>G</v>
      </c>
      <c r="M45" t="str">
        <f t="shared" si="10"/>
        <v>J</v>
      </c>
      <c r="N45" t="str">
        <f t="shared" si="11"/>
        <v>H</v>
      </c>
    </row>
    <row r="46" spans="2:14">
      <c r="B46">
        <f t="shared" si="14"/>
        <v>2</v>
      </c>
      <c r="C46">
        <f t="shared" si="15"/>
        <v>25</v>
      </c>
      <c r="D46" t="s">
        <v>38</v>
      </c>
      <c r="E46" t="s">
        <v>33</v>
      </c>
      <c r="F46" t="s">
        <v>35</v>
      </c>
      <c r="H46" t="str">
        <f t="shared" si="6"/>
        <v>F</v>
      </c>
      <c r="I46" t="str">
        <f t="shared" si="7"/>
        <v>D</v>
      </c>
      <c r="J46" t="str">
        <f t="shared" si="8"/>
        <v>E</v>
      </c>
      <c r="L46" t="str">
        <f t="shared" si="9"/>
        <v>J</v>
      </c>
      <c r="M46" t="str">
        <f t="shared" si="10"/>
        <v>G</v>
      </c>
      <c r="N46" t="str">
        <f t="shared" si="11"/>
        <v>H</v>
      </c>
    </row>
    <row r="47" spans="2:14">
      <c r="B47">
        <f t="shared" si="14"/>
        <v>2</v>
      </c>
      <c r="C47">
        <f t="shared" si="15"/>
        <v>30</v>
      </c>
      <c r="D47" t="s">
        <v>33</v>
      </c>
      <c r="E47" t="s">
        <v>35</v>
      </c>
      <c r="F47" t="s">
        <v>38</v>
      </c>
      <c r="H47" t="str">
        <f t="shared" si="6"/>
        <v>D</v>
      </c>
      <c r="I47" t="str">
        <f t="shared" si="7"/>
        <v>E</v>
      </c>
      <c r="J47" t="str">
        <f t="shared" si="8"/>
        <v>F</v>
      </c>
      <c r="L47" t="str">
        <f t="shared" si="9"/>
        <v>G</v>
      </c>
      <c r="M47" t="str">
        <f t="shared" si="10"/>
        <v>H</v>
      </c>
      <c r="N47" t="str">
        <f t="shared" si="11"/>
        <v>J</v>
      </c>
    </row>
    <row r="48" spans="2:14">
      <c r="B48">
        <f t="shared" si="14"/>
        <v>2</v>
      </c>
      <c r="C48">
        <f t="shared" si="15"/>
        <v>35</v>
      </c>
      <c r="D48" t="s">
        <v>35</v>
      </c>
      <c r="E48" t="s">
        <v>33</v>
      </c>
      <c r="F48" t="s">
        <v>38</v>
      </c>
      <c r="H48" t="str">
        <f t="shared" si="6"/>
        <v>E</v>
      </c>
      <c r="I48" t="str">
        <f t="shared" si="7"/>
        <v>D</v>
      </c>
      <c r="J48" t="str">
        <f t="shared" si="8"/>
        <v>F</v>
      </c>
      <c r="L48" t="str">
        <f t="shared" si="9"/>
        <v>H</v>
      </c>
      <c r="M48" t="str">
        <f t="shared" si="10"/>
        <v>G</v>
      </c>
      <c r="N48" t="str">
        <f t="shared" si="11"/>
        <v>J</v>
      </c>
    </row>
    <row r="49" spans="2:14">
      <c r="B49">
        <f t="shared" si="14"/>
        <v>2</v>
      </c>
      <c r="C49">
        <f t="shared" si="15"/>
        <v>40</v>
      </c>
      <c r="D49" t="s">
        <v>33</v>
      </c>
      <c r="E49" t="s">
        <v>35</v>
      </c>
      <c r="F49" t="s">
        <v>38</v>
      </c>
      <c r="H49" t="str">
        <f t="shared" si="6"/>
        <v>D</v>
      </c>
      <c r="I49" t="str">
        <f t="shared" si="7"/>
        <v>E</v>
      </c>
      <c r="J49" t="str">
        <f t="shared" si="8"/>
        <v>F</v>
      </c>
      <c r="L49" t="str">
        <f t="shared" si="9"/>
        <v>G</v>
      </c>
      <c r="M49" t="str">
        <f t="shared" si="10"/>
        <v>H</v>
      </c>
      <c r="N49" t="str">
        <f t="shared" si="11"/>
        <v>J</v>
      </c>
    </row>
    <row r="50" spans="2:14">
      <c r="B50">
        <f t="shared" si="14"/>
        <v>2</v>
      </c>
      <c r="C50">
        <f t="shared" si="15"/>
        <v>45</v>
      </c>
      <c r="D50" t="s">
        <v>35</v>
      </c>
      <c r="E50" t="s">
        <v>38</v>
      </c>
      <c r="F50" t="s">
        <v>33</v>
      </c>
      <c r="H50" t="str">
        <f t="shared" si="6"/>
        <v>E</v>
      </c>
      <c r="I50" t="str">
        <f t="shared" si="7"/>
        <v>F</v>
      </c>
      <c r="J50" t="str">
        <f t="shared" si="8"/>
        <v>D</v>
      </c>
      <c r="L50" t="str">
        <f t="shared" si="9"/>
        <v>H</v>
      </c>
      <c r="M50" t="str">
        <f t="shared" si="10"/>
        <v>J</v>
      </c>
      <c r="N50" t="str">
        <f t="shared" si="11"/>
        <v>G</v>
      </c>
    </row>
    <row r="51" spans="2:14">
      <c r="B51">
        <f t="shared" si="14"/>
        <v>2</v>
      </c>
      <c r="C51">
        <f t="shared" si="15"/>
        <v>50</v>
      </c>
      <c r="D51" t="s">
        <v>38</v>
      </c>
      <c r="E51" t="s">
        <v>35</v>
      </c>
      <c r="F51" t="s">
        <v>33</v>
      </c>
      <c r="H51" t="str">
        <f t="shared" si="6"/>
        <v>F</v>
      </c>
      <c r="I51" t="str">
        <f t="shared" si="7"/>
        <v>E</v>
      </c>
      <c r="J51" t="str">
        <f t="shared" si="8"/>
        <v>D</v>
      </c>
      <c r="L51" t="str">
        <f t="shared" si="9"/>
        <v>J</v>
      </c>
      <c r="M51" t="str">
        <f t="shared" si="10"/>
        <v>H</v>
      </c>
      <c r="N51" t="str">
        <f t="shared" si="11"/>
        <v>G</v>
      </c>
    </row>
    <row r="52" spans="2:14">
      <c r="B52">
        <f t="shared" si="14"/>
        <v>2</v>
      </c>
      <c r="C52">
        <f t="shared" si="15"/>
        <v>55</v>
      </c>
      <c r="D52" t="s">
        <v>35</v>
      </c>
      <c r="E52" t="s">
        <v>38</v>
      </c>
      <c r="F52" t="s">
        <v>33</v>
      </c>
      <c r="H52" t="str">
        <f t="shared" si="6"/>
        <v>E</v>
      </c>
      <c r="I52" t="str">
        <f t="shared" si="7"/>
        <v>F</v>
      </c>
      <c r="J52" t="str">
        <f t="shared" si="8"/>
        <v>D</v>
      </c>
      <c r="L52" t="str">
        <f t="shared" si="9"/>
        <v>H</v>
      </c>
      <c r="M52" t="str">
        <f t="shared" si="10"/>
        <v>J</v>
      </c>
      <c r="N52" t="str">
        <f t="shared" si="11"/>
        <v>G</v>
      </c>
    </row>
    <row r="53" spans="2:14">
      <c r="B53">
        <v>3</v>
      </c>
      <c r="C53">
        <v>0</v>
      </c>
      <c r="D53" t="s">
        <v>38</v>
      </c>
      <c r="E53" t="s">
        <v>33</v>
      </c>
      <c r="F53" t="s">
        <v>35</v>
      </c>
      <c r="H53" t="str">
        <f t="shared" si="6"/>
        <v>F</v>
      </c>
      <c r="I53" t="str">
        <f t="shared" si="7"/>
        <v>D</v>
      </c>
      <c r="J53" t="str">
        <f t="shared" si="8"/>
        <v>E</v>
      </c>
      <c r="L53" t="str">
        <f t="shared" si="9"/>
        <v>J</v>
      </c>
      <c r="M53" t="str">
        <f t="shared" si="10"/>
        <v>G</v>
      </c>
      <c r="N53" t="str">
        <f t="shared" si="11"/>
        <v>H</v>
      </c>
    </row>
    <row r="54" spans="2:14">
      <c r="B54">
        <v>3</v>
      </c>
      <c r="C54">
        <f>C53+$H$24</f>
        <v>5</v>
      </c>
      <c r="D54" t="s">
        <v>33</v>
      </c>
      <c r="E54" t="s">
        <v>38</v>
      </c>
      <c r="F54" t="s">
        <v>35</v>
      </c>
      <c r="H54" t="str">
        <f t="shared" si="6"/>
        <v>D</v>
      </c>
      <c r="I54" t="str">
        <f t="shared" si="7"/>
        <v>F</v>
      </c>
      <c r="J54" t="str">
        <f t="shared" si="8"/>
        <v>E</v>
      </c>
      <c r="L54" t="str">
        <f t="shared" si="9"/>
        <v>G</v>
      </c>
      <c r="M54" t="str">
        <f t="shared" si="10"/>
        <v>J</v>
      </c>
      <c r="N54" t="str">
        <f t="shared" si="11"/>
        <v>H</v>
      </c>
    </row>
    <row r="55" spans="2:14">
      <c r="B55">
        <v>3</v>
      </c>
      <c r="C55">
        <f>C54+$H$24</f>
        <v>10</v>
      </c>
      <c r="D55" t="s">
        <v>38</v>
      </c>
      <c r="E55" t="s">
        <v>33</v>
      </c>
      <c r="F55" t="s">
        <v>35</v>
      </c>
      <c r="H55" t="str">
        <f t="shared" si="6"/>
        <v>F</v>
      </c>
      <c r="I55" t="str">
        <f t="shared" si="7"/>
        <v>D</v>
      </c>
      <c r="J55" t="str">
        <f t="shared" si="8"/>
        <v>E</v>
      </c>
      <c r="L55" t="str">
        <f t="shared" si="9"/>
        <v>J</v>
      </c>
      <c r="M55" t="str">
        <f t="shared" si="10"/>
        <v>G</v>
      </c>
      <c r="N55" t="str">
        <f t="shared" si="11"/>
        <v>H</v>
      </c>
    </row>
    <row r="56" spans="2:14">
      <c r="B56">
        <v>3</v>
      </c>
      <c r="C56">
        <f t="shared" ref="C56:C64" si="16">C55+$H$24</f>
        <v>15</v>
      </c>
      <c r="D56" t="s">
        <v>33</v>
      </c>
      <c r="E56" t="s">
        <v>35</v>
      </c>
      <c r="F56" t="s">
        <v>38</v>
      </c>
      <c r="H56" t="str">
        <f t="shared" si="6"/>
        <v>D</v>
      </c>
      <c r="I56" t="str">
        <f t="shared" si="7"/>
        <v>E</v>
      </c>
      <c r="J56" t="str">
        <f t="shared" si="8"/>
        <v>F</v>
      </c>
      <c r="L56" t="str">
        <f t="shared" si="9"/>
        <v>G</v>
      </c>
      <c r="M56" t="str">
        <f t="shared" si="10"/>
        <v>H</v>
      </c>
      <c r="N56" t="str">
        <f t="shared" si="11"/>
        <v>J</v>
      </c>
    </row>
    <row r="57" spans="2:14">
      <c r="B57">
        <v>3</v>
      </c>
      <c r="C57">
        <f t="shared" si="16"/>
        <v>20</v>
      </c>
      <c r="D57" t="s">
        <v>35</v>
      </c>
      <c r="E57" t="s">
        <v>33</v>
      </c>
      <c r="F57" t="s">
        <v>38</v>
      </c>
      <c r="H57" t="str">
        <f t="shared" si="6"/>
        <v>E</v>
      </c>
      <c r="I57" t="str">
        <f t="shared" si="7"/>
        <v>D</v>
      </c>
      <c r="J57" t="str">
        <f t="shared" si="8"/>
        <v>F</v>
      </c>
      <c r="L57" t="str">
        <f t="shared" si="9"/>
        <v>H</v>
      </c>
      <c r="M57" t="str">
        <f t="shared" si="10"/>
        <v>G</v>
      </c>
      <c r="N57" t="str">
        <f t="shared" si="11"/>
        <v>J</v>
      </c>
    </row>
    <row r="58" spans="2:14">
      <c r="B58">
        <v>3</v>
      </c>
      <c r="C58">
        <f t="shared" si="16"/>
        <v>25</v>
      </c>
      <c r="D58" t="s">
        <v>33</v>
      </c>
      <c r="E58" t="s">
        <v>35</v>
      </c>
      <c r="F58" t="s">
        <v>38</v>
      </c>
      <c r="H58" t="str">
        <f t="shared" si="6"/>
        <v>D</v>
      </c>
      <c r="I58" t="str">
        <f t="shared" si="7"/>
        <v>E</v>
      </c>
      <c r="J58" t="str">
        <f t="shared" si="8"/>
        <v>F</v>
      </c>
      <c r="L58" t="str">
        <f t="shared" si="9"/>
        <v>G</v>
      </c>
      <c r="M58" t="str">
        <f t="shared" si="10"/>
        <v>H</v>
      </c>
      <c r="N58" t="str">
        <f t="shared" si="11"/>
        <v>J</v>
      </c>
    </row>
    <row r="59" spans="2:14">
      <c r="B59">
        <v>3</v>
      </c>
      <c r="C59">
        <f t="shared" si="16"/>
        <v>30</v>
      </c>
      <c r="D59" t="s">
        <v>35</v>
      </c>
      <c r="E59" t="s">
        <v>38</v>
      </c>
      <c r="F59" t="s">
        <v>33</v>
      </c>
      <c r="H59" t="str">
        <f t="shared" si="6"/>
        <v>E</v>
      </c>
      <c r="I59" t="str">
        <f t="shared" si="7"/>
        <v>F</v>
      </c>
      <c r="J59" t="str">
        <f t="shared" si="8"/>
        <v>D</v>
      </c>
      <c r="L59" t="str">
        <f t="shared" si="9"/>
        <v>H</v>
      </c>
      <c r="M59" t="str">
        <f t="shared" si="10"/>
        <v>J</v>
      </c>
      <c r="N59" t="str">
        <f t="shared" si="11"/>
        <v>G</v>
      </c>
    </row>
    <row r="60" spans="2:14">
      <c r="B60">
        <v>3</v>
      </c>
      <c r="C60">
        <f t="shared" si="16"/>
        <v>35</v>
      </c>
      <c r="D60" t="s">
        <v>38</v>
      </c>
      <c r="E60" t="s">
        <v>35</v>
      </c>
      <c r="F60" t="s">
        <v>33</v>
      </c>
      <c r="H60" t="str">
        <f t="shared" si="6"/>
        <v>F</v>
      </c>
      <c r="I60" t="str">
        <f t="shared" si="7"/>
        <v>E</v>
      </c>
      <c r="J60" t="str">
        <f t="shared" si="8"/>
        <v>D</v>
      </c>
      <c r="L60" t="str">
        <f t="shared" si="9"/>
        <v>J</v>
      </c>
      <c r="M60" t="str">
        <f t="shared" si="10"/>
        <v>H</v>
      </c>
      <c r="N60" t="str">
        <f t="shared" si="11"/>
        <v>G</v>
      </c>
    </row>
    <row r="61" spans="2:14">
      <c r="B61">
        <v>3</v>
      </c>
      <c r="C61">
        <f t="shared" si="16"/>
        <v>40</v>
      </c>
      <c r="D61" t="s">
        <v>35</v>
      </c>
      <c r="E61" t="s">
        <v>38</v>
      </c>
      <c r="F61" t="s">
        <v>33</v>
      </c>
      <c r="H61" t="str">
        <f t="shared" si="6"/>
        <v>E</v>
      </c>
      <c r="I61" t="str">
        <f t="shared" si="7"/>
        <v>F</v>
      </c>
      <c r="J61" t="str">
        <f t="shared" si="8"/>
        <v>D</v>
      </c>
      <c r="L61" t="str">
        <f t="shared" si="9"/>
        <v>H</v>
      </c>
      <c r="M61" t="str">
        <f t="shared" si="10"/>
        <v>J</v>
      </c>
      <c r="N61" t="str">
        <f t="shared" si="11"/>
        <v>G</v>
      </c>
    </row>
    <row r="62" spans="2:14">
      <c r="B62">
        <v>3</v>
      </c>
      <c r="C62">
        <f t="shared" si="16"/>
        <v>45</v>
      </c>
      <c r="D62" t="s">
        <v>38</v>
      </c>
      <c r="E62" t="s">
        <v>33</v>
      </c>
      <c r="F62" t="s">
        <v>35</v>
      </c>
      <c r="H62" t="str">
        <f t="shared" si="6"/>
        <v>F</v>
      </c>
      <c r="I62" t="str">
        <f t="shared" si="7"/>
        <v>D</v>
      </c>
      <c r="J62" t="str">
        <f t="shared" si="8"/>
        <v>E</v>
      </c>
      <c r="L62" t="str">
        <f t="shared" si="9"/>
        <v>J</v>
      </c>
      <c r="M62" t="str">
        <f t="shared" si="10"/>
        <v>G</v>
      </c>
      <c r="N62" t="str">
        <f t="shared" si="11"/>
        <v>H</v>
      </c>
    </row>
    <row r="63" spans="2:14">
      <c r="B63">
        <v>3</v>
      </c>
      <c r="C63">
        <f t="shared" si="16"/>
        <v>50</v>
      </c>
      <c r="D63" t="s">
        <v>33</v>
      </c>
      <c r="E63" t="s">
        <v>38</v>
      </c>
      <c r="F63" t="s">
        <v>35</v>
      </c>
      <c r="H63" t="str">
        <f t="shared" si="6"/>
        <v>D</v>
      </c>
      <c r="I63" t="str">
        <f t="shared" si="7"/>
        <v>F</v>
      </c>
      <c r="J63" t="str">
        <f t="shared" si="8"/>
        <v>E</v>
      </c>
      <c r="L63" t="str">
        <f t="shared" si="9"/>
        <v>G</v>
      </c>
      <c r="M63" t="str">
        <f t="shared" si="10"/>
        <v>J</v>
      </c>
      <c r="N63" t="str">
        <f t="shared" si="11"/>
        <v>H</v>
      </c>
    </row>
    <row r="64" spans="2:14">
      <c r="B64">
        <v>3</v>
      </c>
      <c r="C64">
        <f t="shared" si="16"/>
        <v>55</v>
      </c>
      <c r="D64" t="s">
        <v>38</v>
      </c>
      <c r="E64" t="s">
        <v>33</v>
      </c>
      <c r="F64" t="s">
        <v>35</v>
      </c>
      <c r="H64" t="str">
        <f t="shared" si="6"/>
        <v>F</v>
      </c>
      <c r="I64" t="str">
        <f t="shared" si="7"/>
        <v>D</v>
      </c>
      <c r="J64" t="str">
        <f t="shared" si="8"/>
        <v>E</v>
      </c>
      <c r="L64" t="str">
        <f t="shared" si="9"/>
        <v>J</v>
      </c>
      <c r="M64" t="str">
        <f t="shared" si="10"/>
        <v>G</v>
      </c>
      <c r="N64" t="str">
        <f t="shared" si="11"/>
        <v>H</v>
      </c>
    </row>
    <row r="65" spans="2:14">
      <c r="B65">
        <v>4</v>
      </c>
      <c r="C65">
        <v>0</v>
      </c>
      <c r="D65" t="s">
        <v>33</v>
      </c>
      <c r="E65" t="s">
        <v>35</v>
      </c>
      <c r="F65" t="s">
        <v>38</v>
      </c>
      <c r="H65" t="str">
        <f t="shared" si="6"/>
        <v>D</v>
      </c>
      <c r="I65" t="str">
        <f t="shared" si="7"/>
        <v>E</v>
      </c>
      <c r="J65" t="str">
        <f t="shared" si="8"/>
        <v>F</v>
      </c>
      <c r="L65" t="str">
        <f t="shared" si="9"/>
        <v>G</v>
      </c>
      <c r="M65" t="str">
        <f t="shared" si="10"/>
        <v>H</v>
      </c>
      <c r="N65" t="str">
        <f t="shared" si="11"/>
        <v>J</v>
      </c>
    </row>
    <row r="66" spans="2:14">
      <c r="B66">
        <v>4</v>
      </c>
      <c r="C66">
        <f>C65+$H$24</f>
        <v>5</v>
      </c>
      <c r="D66" t="s">
        <v>35</v>
      </c>
      <c r="E66" t="s">
        <v>33</v>
      </c>
      <c r="F66" t="s">
        <v>38</v>
      </c>
      <c r="H66" t="str">
        <f t="shared" si="6"/>
        <v>E</v>
      </c>
      <c r="I66" t="str">
        <f t="shared" si="7"/>
        <v>D</v>
      </c>
      <c r="J66" t="str">
        <f t="shared" si="8"/>
        <v>F</v>
      </c>
      <c r="L66" t="str">
        <f t="shared" si="9"/>
        <v>H</v>
      </c>
      <c r="M66" t="str">
        <f t="shared" si="10"/>
        <v>G</v>
      </c>
      <c r="N66" t="str">
        <f t="shared" si="11"/>
        <v>J</v>
      </c>
    </row>
    <row r="67" spans="2:14">
      <c r="B67">
        <v>4</v>
      </c>
      <c r="C67">
        <f>C66+$H$24</f>
        <v>10</v>
      </c>
      <c r="D67" t="s">
        <v>33</v>
      </c>
      <c r="E67" t="s">
        <v>35</v>
      </c>
      <c r="F67" t="s">
        <v>38</v>
      </c>
      <c r="H67" t="str">
        <f t="shared" si="6"/>
        <v>D</v>
      </c>
      <c r="I67" t="str">
        <f t="shared" si="7"/>
        <v>E</v>
      </c>
      <c r="J67" t="str">
        <f t="shared" si="8"/>
        <v>F</v>
      </c>
      <c r="L67" t="str">
        <f t="shared" si="9"/>
        <v>G</v>
      </c>
      <c r="M67" t="str">
        <f t="shared" si="10"/>
        <v>H</v>
      </c>
      <c r="N67" t="str">
        <f t="shared" si="11"/>
        <v>J</v>
      </c>
    </row>
    <row r="68" spans="2:14">
      <c r="B68">
        <v>4</v>
      </c>
      <c r="C68">
        <f t="shared" ref="C68:C76" si="17">C67+$H$24</f>
        <v>15</v>
      </c>
      <c r="D68" t="s">
        <v>35</v>
      </c>
      <c r="E68" t="s">
        <v>33</v>
      </c>
      <c r="F68" t="s">
        <v>38</v>
      </c>
      <c r="H68" t="str">
        <f t="shared" si="6"/>
        <v>E</v>
      </c>
      <c r="I68" t="str">
        <f t="shared" si="7"/>
        <v>D</v>
      </c>
      <c r="J68" t="str">
        <f t="shared" si="8"/>
        <v>F</v>
      </c>
      <c r="L68" t="str">
        <f t="shared" si="9"/>
        <v>H</v>
      </c>
      <c r="M68" t="str">
        <f t="shared" si="10"/>
        <v>G</v>
      </c>
      <c r="N68" t="str">
        <f t="shared" si="11"/>
        <v>J</v>
      </c>
    </row>
    <row r="69" spans="2:14">
      <c r="B69">
        <v>4</v>
      </c>
      <c r="C69">
        <f t="shared" si="17"/>
        <v>20</v>
      </c>
      <c r="D69" t="s">
        <v>33</v>
      </c>
      <c r="E69" t="s">
        <v>35</v>
      </c>
      <c r="F69" t="s">
        <v>38</v>
      </c>
      <c r="H69" t="str">
        <f t="shared" si="6"/>
        <v>D</v>
      </c>
      <c r="I69" t="str">
        <f t="shared" si="7"/>
        <v>E</v>
      </c>
      <c r="J69" t="str">
        <f t="shared" si="8"/>
        <v>F</v>
      </c>
      <c r="L69" t="str">
        <f t="shared" si="9"/>
        <v>G</v>
      </c>
      <c r="M69" t="str">
        <f t="shared" si="10"/>
        <v>H</v>
      </c>
      <c r="N69" t="str">
        <f t="shared" si="11"/>
        <v>J</v>
      </c>
    </row>
    <row r="70" spans="2:14">
      <c r="B70">
        <v>4</v>
      </c>
      <c r="C70">
        <f t="shared" si="17"/>
        <v>25</v>
      </c>
      <c r="D70" t="s">
        <v>35</v>
      </c>
      <c r="E70" t="s">
        <v>33</v>
      </c>
      <c r="F70" t="s">
        <v>38</v>
      </c>
      <c r="H70" t="str">
        <f t="shared" si="6"/>
        <v>E</v>
      </c>
      <c r="I70" t="str">
        <f t="shared" si="7"/>
        <v>D</v>
      </c>
      <c r="J70" t="str">
        <f t="shared" si="8"/>
        <v>F</v>
      </c>
      <c r="L70" t="str">
        <f t="shared" si="9"/>
        <v>H</v>
      </c>
      <c r="M70" t="str">
        <f t="shared" si="10"/>
        <v>G</v>
      </c>
      <c r="N70" t="str">
        <f t="shared" si="11"/>
        <v>J</v>
      </c>
    </row>
    <row r="71" spans="2:14">
      <c r="B71">
        <v>4</v>
      </c>
      <c r="C71">
        <f t="shared" si="17"/>
        <v>30</v>
      </c>
      <c r="D71" t="s">
        <v>33</v>
      </c>
      <c r="E71" t="s">
        <v>35</v>
      </c>
      <c r="F71" t="s">
        <v>38</v>
      </c>
      <c r="H71" t="str">
        <f t="shared" si="6"/>
        <v>D</v>
      </c>
      <c r="I71" t="str">
        <f t="shared" si="7"/>
        <v>E</v>
      </c>
      <c r="J71" t="str">
        <f t="shared" si="8"/>
        <v>F</v>
      </c>
      <c r="L71" t="str">
        <f t="shared" si="9"/>
        <v>G</v>
      </c>
      <c r="M71" t="str">
        <f t="shared" si="10"/>
        <v>H</v>
      </c>
      <c r="N71" t="str">
        <f t="shared" si="11"/>
        <v>J</v>
      </c>
    </row>
    <row r="72" spans="2:14">
      <c r="B72">
        <v>4</v>
      </c>
      <c r="C72">
        <f t="shared" si="17"/>
        <v>35</v>
      </c>
      <c r="D72" t="s">
        <v>35</v>
      </c>
      <c r="E72" t="s">
        <v>38</v>
      </c>
      <c r="F72" t="s">
        <v>33</v>
      </c>
      <c r="H72" t="str">
        <f t="shared" si="6"/>
        <v>E</v>
      </c>
      <c r="I72" t="str">
        <f t="shared" si="7"/>
        <v>F</v>
      </c>
      <c r="J72" t="str">
        <f t="shared" si="8"/>
        <v>D</v>
      </c>
      <c r="L72" t="str">
        <f t="shared" si="9"/>
        <v>H</v>
      </c>
      <c r="M72" t="str">
        <f t="shared" si="10"/>
        <v>J</v>
      </c>
      <c r="N72" t="str">
        <f t="shared" si="11"/>
        <v>G</v>
      </c>
    </row>
    <row r="73" spans="2:14">
      <c r="B73">
        <v>4</v>
      </c>
      <c r="C73">
        <f t="shared" si="17"/>
        <v>40</v>
      </c>
      <c r="D73" t="s">
        <v>38</v>
      </c>
      <c r="E73" t="s">
        <v>35</v>
      </c>
      <c r="F73" t="s">
        <v>33</v>
      </c>
      <c r="H73" t="str">
        <f t="shared" si="6"/>
        <v>F</v>
      </c>
      <c r="I73" t="str">
        <f t="shared" si="7"/>
        <v>E</v>
      </c>
      <c r="J73" t="str">
        <f t="shared" si="8"/>
        <v>D</v>
      </c>
      <c r="L73" t="str">
        <f t="shared" si="9"/>
        <v>J</v>
      </c>
      <c r="M73" t="str">
        <f t="shared" si="10"/>
        <v>H</v>
      </c>
      <c r="N73" t="str">
        <f t="shared" si="11"/>
        <v>G</v>
      </c>
    </row>
    <row r="74" spans="2:14">
      <c r="B74">
        <v>4</v>
      </c>
      <c r="C74">
        <f t="shared" si="17"/>
        <v>45</v>
      </c>
      <c r="D74" t="s">
        <v>35</v>
      </c>
      <c r="E74" t="s">
        <v>38</v>
      </c>
      <c r="F74" t="s">
        <v>33</v>
      </c>
      <c r="H74" t="str">
        <f t="shared" si="6"/>
        <v>E</v>
      </c>
      <c r="I74" t="str">
        <f t="shared" si="7"/>
        <v>F</v>
      </c>
      <c r="J74" t="str">
        <f t="shared" si="8"/>
        <v>D</v>
      </c>
      <c r="L74" t="str">
        <f t="shared" si="9"/>
        <v>H</v>
      </c>
      <c r="M74" t="str">
        <f t="shared" si="10"/>
        <v>J</v>
      </c>
      <c r="N74" t="str">
        <f t="shared" si="11"/>
        <v>G</v>
      </c>
    </row>
    <row r="75" spans="2:14">
      <c r="B75">
        <v>4</v>
      </c>
      <c r="C75">
        <f t="shared" si="17"/>
        <v>50</v>
      </c>
      <c r="D75" t="s">
        <v>38</v>
      </c>
      <c r="E75" t="s">
        <v>35</v>
      </c>
      <c r="F75" t="s">
        <v>33</v>
      </c>
      <c r="H75" t="str">
        <f t="shared" si="6"/>
        <v>F</v>
      </c>
      <c r="I75" t="str">
        <f t="shared" si="7"/>
        <v>E</v>
      </c>
      <c r="J75" t="str">
        <f t="shared" si="8"/>
        <v>D</v>
      </c>
      <c r="L75" t="str">
        <f t="shared" si="9"/>
        <v>J</v>
      </c>
      <c r="M75" t="str">
        <f t="shared" si="10"/>
        <v>H</v>
      </c>
      <c r="N75" t="str">
        <f t="shared" si="11"/>
        <v>G</v>
      </c>
    </row>
    <row r="76" spans="2:14">
      <c r="B76">
        <v>4</v>
      </c>
      <c r="C76">
        <f t="shared" si="17"/>
        <v>55</v>
      </c>
      <c r="D76" t="s">
        <v>35</v>
      </c>
      <c r="E76" t="s">
        <v>38</v>
      </c>
      <c r="F76" t="s">
        <v>33</v>
      </c>
      <c r="H76" t="str">
        <f t="shared" si="6"/>
        <v>E</v>
      </c>
      <c r="I76" t="str">
        <f t="shared" si="7"/>
        <v>F</v>
      </c>
      <c r="J76" t="str">
        <f t="shared" si="8"/>
        <v>D</v>
      </c>
      <c r="L76" t="str">
        <f t="shared" si="9"/>
        <v>H</v>
      </c>
      <c r="M76" t="str">
        <f t="shared" si="10"/>
        <v>J</v>
      </c>
      <c r="N76" t="str">
        <f t="shared" si="11"/>
        <v>G</v>
      </c>
    </row>
    <row r="77" spans="2:14">
      <c r="B77">
        <v>5</v>
      </c>
      <c r="C77">
        <v>0</v>
      </c>
      <c r="D77" t="s">
        <v>38</v>
      </c>
      <c r="E77" t="s">
        <v>35</v>
      </c>
      <c r="F77" t="s">
        <v>33</v>
      </c>
      <c r="H77" t="str">
        <f t="shared" si="6"/>
        <v>F</v>
      </c>
      <c r="I77" t="str">
        <f t="shared" si="7"/>
        <v>E</v>
      </c>
      <c r="J77" t="str">
        <f t="shared" si="8"/>
        <v>D</v>
      </c>
      <c r="L77" t="str">
        <f t="shared" si="9"/>
        <v>J</v>
      </c>
      <c r="M77" t="str">
        <f t="shared" si="10"/>
        <v>H</v>
      </c>
      <c r="N77" t="str">
        <f t="shared" si="11"/>
        <v>G</v>
      </c>
    </row>
    <row r="78" spans="2:14">
      <c r="B78">
        <v>5</v>
      </c>
      <c r="C78">
        <f>C77+$H$24</f>
        <v>5</v>
      </c>
      <c r="D78" t="s">
        <v>35</v>
      </c>
      <c r="E78" t="s">
        <v>38</v>
      </c>
      <c r="F78" t="s">
        <v>33</v>
      </c>
      <c r="H78" t="str">
        <f t="shared" si="6"/>
        <v>E</v>
      </c>
      <c r="I78" t="str">
        <f t="shared" si="7"/>
        <v>F</v>
      </c>
      <c r="J78" t="str">
        <f t="shared" si="8"/>
        <v>D</v>
      </c>
      <c r="L78" t="str">
        <f t="shared" si="9"/>
        <v>H</v>
      </c>
      <c r="M78" t="str">
        <f t="shared" si="10"/>
        <v>J</v>
      </c>
      <c r="N78" t="str">
        <f t="shared" si="11"/>
        <v>G</v>
      </c>
    </row>
    <row r="79" spans="2:14">
      <c r="B79">
        <v>5</v>
      </c>
      <c r="C79">
        <f>C78+$H$24</f>
        <v>10</v>
      </c>
      <c r="D79" t="s">
        <v>38</v>
      </c>
      <c r="E79" t="s">
        <v>33</v>
      </c>
      <c r="F79" t="s">
        <v>35</v>
      </c>
      <c r="H79" t="str">
        <f t="shared" si="6"/>
        <v>F</v>
      </c>
      <c r="I79" t="str">
        <f t="shared" si="7"/>
        <v>D</v>
      </c>
      <c r="J79" t="str">
        <f t="shared" si="8"/>
        <v>E</v>
      </c>
      <c r="L79" t="str">
        <f t="shared" si="9"/>
        <v>J</v>
      </c>
      <c r="M79" t="str">
        <f t="shared" si="10"/>
        <v>G</v>
      </c>
      <c r="N79" t="str">
        <f t="shared" si="11"/>
        <v>H</v>
      </c>
    </row>
    <row r="80" spans="2:14">
      <c r="B80">
        <v>5</v>
      </c>
      <c r="C80">
        <f t="shared" ref="C80:C88" si="18">C79+$H$24</f>
        <v>15</v>
      </c>
      <c r="D80" t="s">
        <v>33</v>
      </c>
      <c r="E80" t="s">
        <v>38</v>
      </c>
      <c r="F80" t="s">
        <v>35</v>
      </c>
      <c r="H80" t="str">
        <f t="shared" si="6"/>
        <v>D</v>
      </c>
      <c r="I80" t="str">
        <f t="shared" si="7"/>
        <v>F</v>
      </c>
      <c r="J80" t="str">
        <f t="shared" si="8"/>
        <v>E</v>
      </c>
      <c r="L80" t="str">
        <f t="shared" si="9"/>
        <v>G</v>
      </c>
      <c r="M80" t="str">
        <f t="shared" si="10"/>
        <v>J</v>
      </c>
      <c r="N80" t="str">
        <f t="shared" si="11"/>
        <v>H</v>
      </c>
    </row>
    <row r="81" spans="2:14">
      <c r="B81">
        <v>5</v>
      </c>
      <c r="C81">
        <f t="shared" si="18"/>
        <v>20</v>
      </c>
      <c r="D81" t="s">
        <v>38</v>
      </c>
      <c r="E81" t="s">
        <v>33</v>
      </c>
      <c r="F81" t="s">
        <v>35</v>
      </c>
      <c r="H81" t="str">
        <f t="shared" si="6"/>
        <v>F</v>
      </c>
      <c r="I81" t="str">
        <f t="shared" si="7"/>
        <v>D</v>
      </c>
      <c r="J81" t="str">
        <f t="shared" si="8"/>
        <v>E</v>
      </c>
      <c r="L81" t="str">
        <f t="shared" si="9"/>
        <v>J</v>
      </c>
      <c r="M81" t="str">
        <f t="shared" si="10"/>
        <v>G</v>
      </c>
      <c r="N81" t="str">
        <f t="shared" si="11"/>
        <v>H</v>
      </c>
    </row>
    <row r="82" spans="2:14">
      <c r="B82">
        <v>5</v>
      </c>
      <c r="C82">
        <f t="shared" si="18"/>
        <v>25</v>
      </c>
      <c r="D82" t="s">
        <v>33</v>
      </c>
      <c r="E82" t="s">
        <v>38</v>
      </c>
      <c r="F82" t="s">
        <v>35</v>
      </c>
      <c r="H82" t="str">
        <f t="shared" si="6"/>
        <v>D</v>
      </c>
      <c r="I82" t="str">
        <f t="shared" si="7"/>
        <v>F</v>
      </c>
      <c r="J82" t="str">
        <f t="shared" si="8"/>
        <v>E</v>
      </c>
      <c r="L82" t="str">
        <f t="shared" si="9"/>
        <v>G</v>
      </c>
      <c r="M82" t="str">
        <f t="shared" si="10"/>
        <v>J</v>
      </c>
      <c r="N82" t="str">
        <f t="shared" si="11"/>
        <v>H</v>
      </c>
    </row>
    <row r="83" spans="2:14">
      <c r="B83">
        <v>5</v>
      </c>
      <c r="C83">
        <f t="shared" si="18"/>
        <v>30</v>
      </c>
      <c r="D83" t="s">
        <v>38</v>
      </c>
      <c r="E83" t="s">
        <v>33</v>
      </c>
      <c r="F83" t="s">
        <v>35</v>
      </c>
      <c r="H83" t="str">
        <f t="shared" si="6"/>
        <v>F</v>
      </c>
      <c r="I83" t="str">
        <f t="shared" si="7"/>
        <v>D</v>
      </c>
      <c r="J83" t="str">
        <f t="shared" si="8"/>
        <v>E</v>
      </c>
      <c r="L83" t="str">
        <f t="shared" si="9"/>
        <v>J</v>
      </c>
      <c r="M83" t="str">
        <f t="shared" si="10"/>
        <v>G</v>
      </c>
      <c r="N83" t="str">
        <f t="shared" si="11"/>
        <v>H</v>
      </c>
    </row>
    <row r="84" spans="2:14">
      <c r="B84">
        <v>5</v>
      </c>
      <c r="C84">
        <f t="shared" si="18"/>
        <v>35</v>
      </c>
      <c r="D84" t="s">
        <v>33</v>
      </c>
      <c r="E84" t="s">
        <v>38</v>
      </c>
      <c r="F84" t="s">
        <v>35</v>
      </c>
      <c r="H84" t="str">
        <f t="shared" si="6"/>
        <v>D</v>
      </c>
      <c r="I84" t="str">
        <f t="shared" si="7"/>
        <v>F</v>
      </c>
      <c r="J84" t="str">
        <f t="shared" si="8"/>
        <v>E</v>
      </c>
      <c r="L84" t="str">
        <f t="shared" si="9"/>
        <v>G</v>
      </c>
      <c r="M84" t="str">
        <f t="shared" si="10"/>
        <v>J</v>
      </c>
      <c r="N84" t="str">
        <f t="shared" si="11"/>
        <v>H</v>
      </c>
    </row>
    <row r="85" spans="2:14">
      <c r="B85">
        <v>5</v>
      </c>
      <c r="C85">
        <f t="shared" si="18"/>
        <v>40</v>
      </c>
      <c r="D85" t="s">
        <v>38</v>
      </c>
      <c r="E85" t="s">
        <v>33</v>
      </c>
      <c r="F85" t="s">
        <v>35</v>
      </c>
      <c r="H85" t="str">
        <f t="shared" si="6"/>
        <v>F</v>
      </c>
      <c r="I85" t="str">
        <f t="shared" si="7"/>
        <v>D</v>
      </c>
      <c r="J85" t="str">
        <f t="shared" si="8"/>
        <v>E</v>
      </c>
      <c r="L85" t="str">
        <f t="shared" si="9"/>
        <v>J</v>
      </c>
      <c r="M85" t="str">
        <f t="shared" si="10"/>
        <v>G</v>
      </c>
      <c r="N85" t="str">
        <f t="shared" si="11"/>
        <v>H</v>
      </c>
    </row>
    <row r="86" spans="2:14">
      <c r="B86">
        <v>5</v>
      </c>
      <c r="C86">
        <f t="shared" si="18"/>
        <v>45</v>
      </c>
      <c r="D86" t="s">
        <v>33</v>
      </c>
      <c r="E86" t="s">
        <v>35</v>
      </c>
      <c r="F86" t="s">
        <v>38</v>
      </c>
      <c r="H86" t="str">
        <f t="shared" si="6"/>
        <v>D</v>
      </c>
      <c r="I86" t="str">
        <f t="shared" si="7"/>
        <v>E</v>
      </c>
      <c r="J86" t="str">
        <f t="shared" si="8"/>
        <v>F</v>
      </c>
      <c r="L86" t="str">
        <f t="shared" si="9"/>
        <v>G</v>
      </c>
      <c r="M86" t="str">
        <f t="shared" si="10"/>
        <v>H</v>
      </c>
      <c r="N86" t="str">
        <f t="shared" si="11"/>
        <v>J</v>
      </c>
    </row>
    <row r="87" spans="2:14">
      <c r="B87">
        <v>5</v>
      </c>
      <c r="C87">
        <f t="shared" si="18"/>
        <v>50</v>
      </c>
      <c r="D87" t="s">
        <v>35</v>
      </c>
      <c r="E87" t="s">
        <v>33</v>
      </c>
      <c r="F87" t="s">
        <v>38</v>
      </c>
      <c r="H87" t="str">
        <f t="shared" si="6"/>
        <v>E</v>
      </c>
      <c r="I87" t="str">
        <f t="shared" si="7"/>
        <v>D</v>
      </c>
      <c r="J87" t="str">
        <f t="shared" si="8"/>
        <v>F</v>
      </c>
      <c r="L87" t="str">
        <f t="shared" si="9"/>
        <v>H</v>
      </c>
      <c r="M87" t="str">
        <f t="shared" si="10"/>
        <v>G</v>
      </c>
      <c r="N87" t="str">
        <f t="shared" si="11"/>
        <v>J</v>
      </c>
    </row>
    <row r="88" spans="2:14">
      <c r="B88">
        <v>5</v>
      </c>
      <c r="C88">
        <f t="shared" si="18"/>
        <v>55</v>
      </c>
      <c r="D88" t="s">
        <v>33</v>
      </c>
      <c r="E88" t="s">
        <v>35</v>
      </c>
      <c r="F88" t="s">
        <v>38</v>
      </c>
      <c r="H88" t="str">
        <f t="shared" si="6"/>
        <v>D</v>
      </c>
      <c r="I88" t="str">
        <f t="shared" si="7"/>
        <v>E</v>
      </c>
      <c r="J88" t="str">
        <f t="shared" si="8"/>
        <v>F</v>
      </c>
      <c r="L88" t="str">
        <f t="shared" si="9"/>
        <v>G</v>
      </c>
      <c r="M88" t="str">
        <f t="shared" si="10"/>
        <v>H</v>
      </c>
      <c r="N88" t="str">
        <f t="shared" si="11"/>
        <v>J</v>
      </c>
    </row>
    <row r="89" spans="2:14">
      <c r="B89">
        <v>6</v>
      </c>
      <c r="C89">
        <v>0</v>
      </c>
      <c r="D89" t="s">
        <v>35</v>
      </c>
      <c r="E89" t="s">
        <v>38</v>
      </c>
      <c r="F89" t="s">
        <v>33</v>
      </c>
      <c r="H89" t="str">
        <f t="shared" si="6"/>
        <v>E</v>
      </c>
      <c r="I89" t="str">
        <f t="shared" si="7"/>
        <v>F</v>
      </c>
      <c r="J89" t="str">
        <f t="shared" si="8"/>
        <v>D</v>
      </c>
      <c r="L89" t="str">
        <f t="shared" si="9"/>
        <v>H</v>
      </c>
      <c r="M89" t="str">
        <f t="shared" si="10"/>
        <v>J</v>
      </c>
      <c r="N89" t="str">
        <f t="shared" si="11"/>
        <v>G</v>
      </c>
    </row>
    <row r="90" spans="2:14">
      <c r="B90">
        <v>6</v>
      </c>
      <c r="C90">
        <f>C89+$H$24</f>
        <v>5</v>
      </c>
      <c r="D90" t="s">
        <v>38</v>
      </c>
      <c r="E90" t="s">
        <v>35</v>
      </c>
      <c r="F90" t="s">
        <v>33</v>
      </c>
      <c r="H90" t="str">
        <f t="shared" si="6"/>
        <v>F</v>
      </c>
      <c r="I90" t="str">
        <f t="shared" si="7"/>
        <v>E</v>
      </c>
      <c r="J90" t="str">
        <f t="shared" si="8"/>
        <v>D</v>
      </c>
      <c r="L90" t="str">
        <f t="shared" si="9"/>
        <v>J</v>
      </c>
      <c r="M90" t="str">
        <f t="shared" si="10"/>
        <v>H</v>
      </c>
      <c r="N90" t="str">
        <f t="shared" si="11"/>
        <v>G</v>
      </c>
    </row>
    <row r="91" spans="2:14">
      <c r="B91">
        <v>6</v>
      </c>
      <c r="C91">
        <f>C90+$H$24</f>
        <v>10</v>
      </c>
      <c r="D91" t="s">
        <v>35</v>
      </c>
      <c r="E91" t="s">
        <v>38</v>
      </c>
      <c r="F91" t="s">
        <v>33</v>
      </c>
      <c r="H91" t="str">
        <f t="shared" si="6"/>
        <v>E</v>
      </c>
      <c r="I91" t="str">
        <f t="shared" si="7"/>
        <v>F</v>
      </c>
      <c r="J91" t="str">
        <f t="shared" si="8"/>
        <v>D</v>
      </c>
      <c r="L91" t="str">
        <f t="shared" si="9"/>
        <v>H</v>
      </c>
      <c r="M91" t="str">
        <f t="shared" si="10"/>
        <v>J</v>
      </c>
      <c r="N91" t="str">
        <f t="shared" si="11"/>
        <v>G</v>
      </c>
    </row>
    <row r="92" spans="2:14">
      <c r="B92">
        <v>6</v>
      </c>
      <c r="C92">
        <f t="shared" ref="C92:C100" si="19">C91+$H$24</f>
        <v>15</v>
      </c>
      <c r="D92" t="s">
        <v>38</v>
      </c>
      <c r="E92" t="s">
        <v>33</v>
      </c>
      <c r="F92" t="s">
        <v>35</v>
      </c>
      <c r="H92" t="str">
        <f t="shared" si="6"/>
        <v>F</v>
      </c>
      <c r="I92" t="str">
        <f t="shared" si="7"/>
        <v>D</v>
      </c>
      <c r="J92" t="str">
        <f t="shared" si="8"/>
        <v>E</v>
      </c>
      <c r="L92" t="str">
        <f t="shared" si="9"/>
        <v>J</v>
      </c>
      <c r="M92" t="str">
        <f t="shared" si="10"/>
        <v>G</v>
      </c>
      <c r="N92" t="str">
        <f t="shared" si="11"/>
        <v>H</v>
      </c>
    </row>
    <row r="93" spans="2:14">
      <c r="B93">
        <v>6</v>
      </c>
      <c r="C93">
        <f t="shared" si="19"/>
        <v>20</v>
      </c>
      <c r="D93" t="s">
        <v>33</v>
      </c>
      <c r="E93" t="s">
        <v>38</v>
      </c>
      <c r="F93" t="s">
        <v>35</v>
      </c>
      <c r="H93" t="str">
        <f t="shared" si="6"/>
        <v>D</v>
      </c>
      <c r="I93" t="str">
        <f t="shared" si="7"/>
        <v>F</v>
      </c>
      <c r="J93" t="str">
        <f t="shared" si="8"/>
        <v>E</v>
      </c>
      <c r="L93" t="str">
        <f t="shared" si="9"/>
        <v>G</v>
      </c>
      <c r="M93" t="str">
        <f t="shared" si="10"/>
        <v>J</v>
      </c>
      <c r="N93" t="str">
        <f t="shared" si="11"/>
        <v>H</v>
      </c>
    </row>
    <row r="94" spans="2:14">
      <c r="B94">
        <v>6</v>
      </c>
      <c r="C94">
        <f t="shared" si="19"/>
        <v>25</v>
      </c>
      <c r="D94" t="s">
        <v>38</v>
      </c>
      <c r="E94" t="s">
        <v>33</v>
      </c>
      <c r="F94" t="s">
        <v>35</v>
      </c>
      <c r="H94" t="str">
        <f t="shared" ref="H94:H112" si="20">IF(D94 = "A", "D",IF(D94="B","E",IF(D94="C","F","NA")))</f>
        <v>F</v>
      </c>
      <c r="I94" t="str">
        <f t="shared" ref="I94:I112" si="21">IF(E94 = "A", "D",IF(E94="B","E",IF(E94="C","F","NA")))</f>
        <v>D</v>
      </c>
      <c r="J94" t="str">
        <f t="shared" ref="J94:J112" si="22">IF(F94 = "A", "D",IF(F94="B","E",IF(F94="C","F","NA")))</f>
        <v>E</v>
      </c>
      <c r="L94" t="str">
        <f t="shared" ref="L94:L112" si="23">IF(D94 = "A", "G",IF(D94="B","H",IF(D94="C","J","NA")))</f>
        <v>J</v>
      </c>
      <c r="M94" t="str">
        <f t="shared" ref="M94:M112" si="24">IF(E94 = "A", "G",IF(E94="B","H",IF(E94="C","J","NA")))</f>
        <v>G</v>
      </c>
      <c r="N94" t="str">
        <f t="shared" ref="N94:N112" si="25">IF(F94 = "A", "G",IF(F94="B","H",IF(F94="C","J","NA")))</f>
        <v>H</v>
      </c>
    </row>
    <row r="95" spans="2:14">
      <c r="B95">
        <v>6</v>
      </c>
      <c r="C95">
        <f t="shared" si="19"/>
        <v>30</v>
      </c>
      <c r="D95" t="s">
        <v>33</v>
      </c>
      <c r="E95" t="s">
        <v>35</v>
      </c>
      <c r="F95" t="s">
        <v>38</v>
      </c>
      <c r="H95" t="str">
        <f t="shared" si="20"/>
        <v>D</v>
      </c>
      <c r="I95" t="str">
        <f t="shared" si="21"/>
        <v>E</v>
      </c>
      <c r="J95" t="str">
        <f t="shared" si="22"/>
        <v>F</v>
      </c>
      <c r="L95" t="str">
        <f t="shared" si="23"/>
        <v>G</v>
      </c>
      <c r="M95" t="str">
        <f t="shared" si="24"/>
        <v>H</v>
      </c>
      <c r="N95" t="str">
        <f t="shared" si="25"/>
        <v>J</v>
      </c>
    </row>
    <row r="96" spans="2:14">
      <c r="B96">
        <v>6</v>
      </c>
      <c r="C96">
        <f t="shared" si="19"/>
        <v>35</v>
      </c>
      <c r="D96" t="s">
        <v>35</v>
      </c>
      <c r="E96" t="s">
        <v>33</v>
      </c>
      <c r="F96" t="s">
        <v>38</v>
      </c>
      <c r="H96" t="str">
        <f t="shared" si="20"/>
        <v>E</v>
      </c>
      <c r="I96" t="str">
        <f t="shared" si="21"/>
        <v>D</v>
      </c>
      <c r="J96" t="str">
        <f t="shared" si="22"/>
        <v>F</v>
      </c>
      <c r="L96" t="str">
        <f t="shared" si="23"/>
        <v>H</v>
      </c>
      <c r="M96" t="str">
        <f t="shared" si="24"/>
        <v>G</v>
      </c>
      <c r="N96" t="str">
        <f t="shared" si="25"/>
        <v>J</v>
      </c>
    </row>
    <row r="97" spans="2:14">
      <c r="B97">
        <v>6</v>
      </c>
      <c r="C97">
        <f t="shared" si="19"/>
        <v>40</v>
      </c>
      <c r="D97" t="s">
        <v>33</v>
      </c>
      <c r="E97" t="s">
        <v>35</v>
      </c>
      <c r="F97" t="s">
        <v>38</v>
      </c>
      <c r="H97" t="str">
        <f t="shared" si="20"/>
        <v>D</v>
      </c>
      <c r="I97" t="str">
        <f t="shared" si="21"/>
        <v>E</v>
      </c>
      <c r="J97" t="str">
        <f t="shared" si="22"/>
        <v>F</v>
      </c>
      <c r="L97" t="str">
        <f t="shared" si="23"/>
        <v>G</v>
      </c>
      <c r="M97" t="str">
        <f t="shared" si="24"/>
        <v>H</v>
      </c>
      <c r="N97" t="str">
        <f t="shared" si="25"/>
        <v>J</v>
      </c>
    </row>
    <row r="98" spans="2:14">
      <c r="B98">
        <v>6</v>
      </c>
      <c r="C98">
        <f t="shared" si="19"/>
        <v>45</v>
      </c>
      <c r="D98" t="s">
        <v>35</v>
      </c>
      <c r="E98" t="s">
        <v>38</v>
      </c>
      <c r="F98" t="s">
        <v>33</v>
      </c>
      <c r="H98" t="str">
        <f t="shared" si="20"/>
        <v>E</v>
      </c>
      <c r="I98" t="str">
        <f t="shared" si="21"/>
        <v>F</v>
      </c>
      <c r="J98" t="str">
        <f t="shared" si="22"/>
        <v>D</v>
      </c>
      <c r="L98" t="str">
        <f t="shared" si="23"/>
        <v>H</v>
      </c>
      <c r="M98" t="str">
        <f t="shared" si="24"/>
        <v>J</v>
      </c>
      <c r="N98" t="str">
        <f t="shared" si="25"/>
        <v>G</v>
      </c>
    </row>
    <row r="99" spans="2:14">
      <c r="B99">
        <v>6</v>
      </c>
      <c r="C99">
        <f t="shared" si="19"/>
        <v>50</v>
      </c>
      <c r="D99" t="s">
        <v>38</v>
      </c>
      <c r="E99" t="s">
        <v>35</v>
      </c>
      <c r="F99" t="s">
        <v>33</v>
      </c>
      <c r="H99" t="str">
        <f t="shared" si="20"/>
        <v>F</v>
      </c>
      <c r="I99" t="str">
        <f t="shared" si="21"/>
        <v>E</v>
      </c>
      <c r="J99" t="str">
        <f t="shared" si="22"/>
        <v>D</v>
      </c>
      <c r="L99" t="str">
        <f t="shared" si="23"/>
        <v>J</v>
      </c>
      <c r="M99" t="str">
        <f t="shared" si="24"/>
        <v>H</v>
      </c>
      <c r="N99" t="str">
        <f t="shared" si="25"/>
        <v>G</v>
      </c>
    </row>
    <row r="100" spans="2:14">
      <c r="B100">
        <v>6</v>
      </c>
      <c r="C100">
        <f t="shared" si="19"/>
        <v>55</v>
      </c>
      <c r="D100" t="s">
        <v>35</v>
      </c>
      <c r="E100" t="s">
        <v>38</v>
      </c>
      <c r="F100" t="s">
        <v>33</v>
      </c>
      <c r="H100" t="str">
        <f t="shared" si="20"/>
        <v>E</v>
      </c>
      <c r="I100" t="str">
        <f t="shared" si="21"/>
        <v>F</v>
      </c>
      <c r="J100" t="str">
        <f t="shared" si="22"/>
        <v>D</v>
      </c>
      <c r="L100" t="str">
        <f t="shared" si="23"/>
        <v>H</v>
      </c>
      <c r="M100" t="str">
        <f t="shared" si="24"/>
        <v>J</v>
      </c>
      <c r="N100" t="str">
        <f t="shared" si="25"/>
        <v>G</v>
      </c>
    </row>
    <row r="101" spans="2:14">
      <c r="B101">
        <v>7</v>
      </c>
      <c r="C101">
        <v>0</v>
      </c>
      <c r="D101" t="s">
        <v>38</v>
      </c>
      <c r="E101" t="s">
        <v>33</v>
      </c>
      <c r="F101" t="s">
        <v>35</v>
      </c>
      <c r="H101" t="str">
        <f t="shared" si="20"/>
        <v>F</v>
      </c>
      <c r="I101" t="str">
        <f t="shared" si="21"/>
        <v>D</v>
      </c>
      <c r="J101" t="str">
        <f t="shared" si="22"/>
        <v>E</v>
      </c>
      <c r="L101" t="str">
        <f t="shared" si="23"/>
        <v>J</v>
      </c>
      <c r="M101" t="str">
        <f t="shared" si="24"/>
        <v>G</v>
      </c>
      <c r="N101" t="str">
        <f t="shared" si="25"/>
        <v>H</v>
      </c>
    </row>
    <row r="102" spans="2:14">
      <c r="B102">
        <v>7</v>
      </c>
      <c r="C102">
        <f>C101+$H$24</f>
        <v>5</v>
      </c>
      <c r="D102" t="s">
        <v>33</v>
      </c>
      <c r="E102" t="s">
        <v>38</v>
      </c>
      <c r="F102" t="s">
        <v>35</v>
      </c>
      <c r="H102" t="str">
        <f t="shared" si="20"/>
        <v>D</v>
      </c>
      <c r="I102" t="str">
        <f t="shared" si="21"/>
        <v>F</v>
      </c>
      <c r="J102" t="str">
        <f t="shared" si="22"/>
        <v>E</v>
      </c>
      <c r="L102" t="str">
        <f t="shared" si="23"/>
        <v>G</v>
      </c>
      <c r="M102" t="str">
        <f t="shared" si="24"/>
        <v>J</v>
      </c>
      <c r="N102" t="str">
        <f t="shared" si="25"/>
        <v>H</v>
      </c>
    </row>
    <row r="103" spans="2:14">
      <c r="B103">
        <v>7</v>
      </c>
      <c r="C103">
        <f>C102+$H$24</f>
        <v>10</v>
      </c>
      <c r="D103" t="s">
        <v>38</v>
      </c>
      <c r="E103" t="s">
        <v>33</v>
      </c>
      <c r="F103" t="s">
        <v>35</v>
      </c>
      <c r="H103" t="str">
        <f t="shared" si="20"/>
        <v>F</v>
      </c>
      <c r="I103" t="str">
        <f t="shared" si="21"/>
        <v>D</v>
      </c>
      <c r="J103" t="str">
        <f t="shared" si="22"/>
        <v>E</v>
      </c>
      <c r="L103" t="str">
        <f t="shared" si="23"/>
        <v>J</v>
      </c>
      <c r="M103" t="str">
        <f t="shared" si="24"/>
        <v>G</v>
      </c>
      <c r="N103" t="str">
        <f t="shared" si="25"/>
        <v>H</v>
      </c>
    </row>
    <row r="104" spans="2:14">
      <c r="B104">
        <v>7</v>
      </c>
      <c r="C104">
        <f t="shared" ref="C104:C112" si="26">C103+$H$24</f>
        <v>15</v>
      </c>
      <c r="D104" t="s">
        <v>33</v>
      </c>
      <c r="E104" t="s">
        <v>35</v>
      </c>
      <c r="F104" t="s">
        <v>38</v>
      </c>
      <c r="H104" t="str">
        <f t="shared" si="20"/>
        <v>D</v>
      </c>
      <c r="I104" t="str">
        <f t="shared" si="21"/>
        <v>E</v>
      </c>
      <c r="J104" t="str">
        <f t="shared" si="22"/>
        <v>F</v>
      </c>
      <c r="L104" t="str">
        <f t="shared" si="23"/>
        <v>G</v>
      </c>
      <c r="M104" t="str">
        <f t="shared" si="24"/>
        <v>H</v>
      </c>
      <c r="N104" t="str">
        <f t="shared" si="25"/>
        <v>J</v>
      </c>
    </row>
    <row r="105" spans="2:14">
      <c r="B105">
        <v>7</v>
      </c>
      <c r="C105">
        <f t="shared" si="26"/>
        <v>20</v>
      </c>
      <c r="D105" t="s">
        <v>35</v>
      </c>
      <c r="E105" t="s">
        <v>33</v>
      </c>
      <c r="F105" t="s">
        <v>38</v>
      </c>
      <c r="H105" t="str">
        <f t="shared" si="20"/>
        <v>E</v>
      </c>
      <c r="I105" t="str">
        <f t="shared" si="21"/>
        <v>D</v>
      </c>
      <c r="J105" t="str">
        <f t="shared" si="22"/>
        <v>F</v>
      </c>
      <c r="L105" t="str">
        <f t="shared" si="23"/>
        <v>H</v>
      </c>
      <c r="M105" t="str">
        <f t="shared" si="24"/>
        <v>G</v>
      </c>
      <c r="N105" t="str">
        <f t="shared" si="25"/>
        <v>J</v>
      </c>
    </row>
    <row r="106" spans="2:14">
      <c r="B106">
        <v>7</v>
      </c>
      <c r="C106">
        <f t="shared" si="26"/>
        <v>25</v>
      </c>
      <c r="D106" t="s">
        <v>33</v>
      </c>
      <c r="E106" t="s">
        <v>35</v>
      </c>
      <c r="F106" t="s">
        <v>38</v>
      </c>
      <c r="H106" t="str">
        <f t="shared" si="20"/>
        <v>D</v>
      </c>
      <c r="I106" t="str">
        <f t="shared" si="21"/>
        <v>E</v>
      </c>
      <c r="J106" t="str">
        <f t="shared" si="22"/>
        <v>F</v>
      </c>
      <c r="L106" t="str">
        <f t="shared" si="23"/>
        <v>G</v>
      </c>
      <c r="M106" t="str">
        <f t="shared" si="24"/>
        <v>H</v>
      </c>
      <c r="N106" t="str">
        <f t="shared" si="25"/>
        <v>J</v>
      </c>
    </row>
    <row r="107" spans="2:14">
      <c r="B107">
        <v>7</v>
      </c>
      <c r="C107">
        <f t="shared" si="26"/>
        <v>30</v>
      </c>
      <c r="D107" t="s">
        <v>35</v>
      </c>
      <c r="E107" t="s">
        <v>38</v>
      </c>
      <c r="F107" t="s">
        <v>33</v>
      </c>
      <c r="H107" t="str">
        <f t="shared" si="20"/>
        <v>E</v>
      </c>
      <c r="I107" t="str">
        <f t="shared" si="21"/>
        <v>F</v>
      </c>
      <c r="J107" t="str">
        <f t="shared" si="22"/>
        <v>D</v>
      </c>
      <c r="L107" t="str">
        <f t="shared" si="23"/>
        <v>H</v>
      </c>
      <c r="M107" t="str">
        <f t="shared" si="24"/>
        <v>J</v>
      </c>
      <c r="N107" t="str">
        <f t="shared" si="25"/>
        <v>G</v>
      </c>
    </row>
    <row r="108" spans="2:14">
      <c r="B108">
        <v>7</v>
      </c>
      <c r="C108">
        <f t="shared" si="26"/>
        <v>35</v>
      </c>
      <c r="D108" t="s">
        <v>38</v>
      </c>
      <c r="E108" t="s">
        <v>35</v>
      </c>
      <c r="F108" t="s">
        <v>33</v>
      </c>
      <c r="H108" t="str">
        <f t="shared" si="20"/>
        <v>F</v>
      </c>
      <c r="I108" t="str">
        <f t="shared" si="21"/>
        <v>E</v>
      </c>
      <c r="J108" t="str">
        <f t="shared" si="22"/>
        <v>D</v>
      </c>
      <c r="L108" t="str">
        <f t="shared" si="23"/>
        <v>J</v>
      </c>
      <c r="M108" t="str">
        <f t="shared" si="24"/>
        <v>H</v>
      </c>
      <c r="N108" t="str">
        <f t="shared" si="25"/>
        <v>G</v>
      </c>
    </row>
    <row r="109" spans="2:14">
      <c r="B109">
        <v>7</v>
      </c>
      <c r="C109">
        <f t="shared" si="26"/>
        <v>40</v>
      </c>
      <c r="D109" t="s">
        <v>35</v>
      </c>
      <c r="E109" t="s">
        <v>38</v>
      </c>
      <c r="F109" t="s">
        <v>33</v>
      </c>
      <c r="H109" t="str">
        <f t="shared" si="20"/>
        <v>E</v>
      </c>
      <c r="I109" t="str">
        <f t="shared" si="21"/>
        <v>F</v>
      </c>
      <c r="J109" t="str">
        <f t="shared" si="22"/>
        <v>D</v>
      </c>
      <c r="L109" t="str">
        <f t="shared" si="23"/>
        <v>H</v>
      </c>
      <c r="M109" t="str">
        <f t="shared" si="24"/>
        <v>J</v>
      </c>
      <c r="N109" t="str">
        <f t="shared" si="25"/>
        <v>G</v>
      </c>
    </row>
    <row r="110" spans="2:14">
      <c r="B110">
        <v>7</v>
      </c>
      <c r="C110">
        <f t="shared" si="26"/>
        <v>45</v>
      </c>
      <c r="D110" t="s">
        <v>38</v>
      </c>
      <c r="E110" t="s">
        <v>33</v>
      </c>
      <c r="F110" t="s">
        <v>35</v>
      </c>
      <c r="H110" t="str">
        <f t="shared" si="20"/>
        <v>F</v>
      </c>
      <c r="I110" t="str">
        <f t="shared" si="21"/>
        <v>D</v>
      </c>
      <c r="J110" t="str">
        <f t="shared" si="22"/>
        <v>E</v>
      </c>
      <c r="L110" t="str">
        <f t="shared" si="23"/>
        <v>J</v>
      </c>
      <c r="M110" t="str">
        <f t="shared" si="24"/>
        <v>G</v>
      </c>
      <c r="N110" t="str">
        <f t="shared" si="25"/>
        <v>H</v>
      </c>
    </row>
    <row r="111" spans="2:14">
      <c r="B111">
        <v>7</v>
      </c>
      <c r="C111">
        <f t="shared" si="26"/>
        <v>50</v>
      </c>
      <c r="D111" t="s">
        <v>33</v>
      </c>
      <c r="E111" t="s">
        <v>38</v>
      </c>
      <c r="F111" t="s">
        <v>35</v>
      </c>
      <c r="H111" t="str">
        <f t="shared" si="20"/>
        <v>D</v>
      </c>
      <c r="I111" t="str">
        <f t="shared" si="21"/>
        <v>F</v>
      </c>
      <c r="J111" t="str">
        <f t="shared" si="22"/>
        <v>E</v>
      </c>
      <c r="L111" t="str">
        <f t="shared" si="23"/>
        <v>G</v>
      </c>
      <c r="M111" t="str">
        <f t="shared" si="24"/>
        <v>J</v>
      </c>
      <c r="N111" t="str">
        <f t="shared" si="25"/>
        <v>H</v>
      </c>
    </row>
    <row r="112" spans="2:14">
      <c r="B112">
        <v>7</v>
      </c>
      <c r="C112">
        <f t="shared" si="26"/>
        <v>55</v>
      </c>
      <c r="D112" t="s">
        <v>38</v>
      </c>
      <c r="E112" t="s">
        <v>33</v>
      </c>
      <c r="F112" t="s">
        <v>35</v>
      </c>
      <c r="H112" t="str">
        <f t="shared" si="20"/>
        <v>F</v>
      </c>
      <c r="I112" t="str">
        <f t="shared" si="21"/>
        <v>D</v>
      </c>
      <c r="J112" t="str">
        <f t="shared" si="22"/>
        <v>E</v>
      </c>
      <c r="L112" t="str">
        <f t="shared" si="23"/>
        <v>J</v>
      </c>
      <c r="M112" t="str">
        <f t="shared" si="24"/>
        <v>G</v>
      </c>
      <c r="N112" t="str">
        <f t="shared" si="25"/>
        <v>H</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E9695-885D-42EA-A3B2-7E14733B7099}">
  <dimension ref="A1:G279"/>
  <sheetViews>
    <sheetView workbookViewId="0">
      <selection activeCell="E2" sqref="E2"/>
    </sheetView>
  </sheetViews>
  <sheetFormatPr baseColWidth="10" defaultColWidth="8.83203125" defaultRowHeight="15"/>
  <cols>
    <col min="2" max="2" width="15.5" customWidth="1"/>
    <col min="3" max="3" width="21.83203125" customWidth="1"/>
    <col min="4" max="4" width="14.83203125" customWidth="1"/>
    <col min="5" max="5" width="19.33203125" customWidth="1"/>
    <col min="6" max="6" width="22" customWidth="1"/>
    <col min="7" max="7" width="27.1640625" customWidth="1"/>
  </cols>
  <sheetData>
    <row r="1" spans="1:7">
      <c r="A1" t="s">
        <v>457</v>
      </c>
    </row>
    <row r="2" spans="1:7">
      <c r="B2" t="s">
        <v>499</v>
      </c>
    </row>
    <row r="4" spans="1:7" ht="16">
      <c r="A4" s="24" t="s">
        <v>500</v>
      </c>
      <c r="B4" s="25" t="s">
        <v>501</v>
      </c>
      <c r="C4" s="25" t="s">
        <v>502</v>
      </c>
      <c r="D4" s="25" t="s">
        <v>461</v>
      </c>
      <c r="E4" s="25" t="s">
        <v>503</v>
      </c>
      <c r="F4" s="25" t="s">
        <v>504</v>
      </c>
      <c r="G4" s="25" t="s">
        <v>505</v>
      </c>
    </row>
    <row r="5" spans="1:7" ht="17">
      <c r="A5" s="26">
        <v>2018</v>
      </c>
      <c r="B5" s="27">
        <v>4</v>
      </c>
      <c r="C5" s="28">
        <v>43374</v>
      </c>
      <c r="D5" s="27" t="s">
        <v>470</v>
      </c>
      <c r="E5" s="29">
        <v>118</v>
      </c>
      <c r="F5" s="30">
        <v>126</v>
      </c>
      <c r="G5" s="31">
        <v>14868</v>
      </c>
    </row>
    <row r="6" spans="1:7" ht="17">
      <c r="A6" s="32">
        <v>2018</v>
      </c>
      <c r="B6" s="33">
        <v>4</v>
      </c>
      <c r="C6" s="34">
        <v>43375</v>
      </c>
      <c r="D6" s="33" t="s">
        <v>470</v>
      </c>
      <c r="E6" s="35">
        <v>118</v>
      </c>
      <c r="F6" s="27">
        <v>39</v>
      </c>
      <c r="G6" s="31">
        <v>4602</v>
      </c>
    </row>
    <row r="7" spans="1:7" ht="17">
      <c r="A7" s="32">
        <v>2018</v>
      </c>
      <c r="B7" s="33">
        <v>4</v>
      </c>
      <c r="C7" s="34">
        <v>43376</v>
      </c>
      <c r="D7" s="33" t="s">
        <v>470</v>
      </c>
      <c r="E7" s="35">
        <v>118</v>
      </c>
      <c r="F7" s="30">
        <v>117</v>
      </c>
      <c r="G7" s="31">
        <v>13806</v>
      </c>
    </row>
    <row r="8" spans="1:7" ht="17">
      <c r="A8" s="32">
        <v>2018</v>
      </c>
      <c r="B8" s="33">
        <v>4</v>
      </c>
      <c r="C8" s="34">
        <v>43377</v>
      </c>
      <c r="D8" s="33" t="s">
        <v>470</v>
      </c>
      <c r="E8" s="35">
        <v>118</v>
      </c>
      <c r="F8" s="27">
        <v>37</v>
      </c>
      <c r="G8" s="31">
        <v>4366</v>
      </c>
    </row>
    <row r="9" spans="1:7" ht="17">
      <c r="A9" s="32">
        <v>2018</v>
      </c>
      <c r="B9" s="33">
        <v>4</v>
      </c>
      <c r="C9" s="34">
        <v>43378</v>
      </c>
      <c r="D9" s="33" t="s">
        <v>470</v>
      </c>
      <c r="E9" s="35">
        <v>118</v>
      </c>
      <c r="F9" s="33">
        <v>47</v>
      </c>
      <c r="G9" s="31">
        <v>5546</v>
      </c>
    </row>
    <row r="10" spans="1:7" ht="17">
      <c r="A10" s="32">
        <v>2018</v>
      </c>
      <c r="B10" s="33">
        <v>4</v>
      </c>
      <c r="C10" s="34">
        <v>43383</v>
      </c>
      <c r="D10" s="33" t="s">
        <v>470</v>
      </c>
      <c r="E10" s="35">
        <v>118</v>
      </c>
      <c r="F10" s="30">
        <v>222</v>
      </c>
      <c r="G10" s="31">
        <v>26196</v>
      </c>
    </row>
    <row r="11" spans="1:7" ht="17">
      <c r="A11" s="32">
        <v>2018</v>
      </c>
      <c r="B11" s="33">
        <v>4</v>
      </c>
      <c r="C11" s="34">
        <v>43384</v>
      </c>
      <c r="D11" s="33" t="s">
        <v>470</v>
      </c>
      <c r="E11" s="35">
        <v>118</v>
      </c>
      <c r="F11" s="27">
        <v>34</v>
      </c>
      <c r="G11" s="31">
        <v>4012</v>
      </c>
    </row>
    <row r="12" spans="1:7" ht="17">
      <c r="A12" s="32">
        <v>2018</v>
      </c>
      <c r="B12" s="33">
        <v>4</v>
      </c>
      <c r="C12" s="34">
        <v>43385</v>
      </c>
      <c r="D12" s="33" t="s">
        <v>470</v>
      </c>
      <c r="E12" s="35">
        <v>118</v>
      </c>
      <c r="F12" s="33">
        <v>48</v>
      </c>
      <c r="G12" s="31">
        <v>5664</v>
      </c>
    </row>
    <row r="13" spans="1:7" ht="17">
      <c r="A13" s="32">
        <v>2018</v>
      </c>
      <c r="B13" s="33">
        <v>4</v>
      </c>
      <c r="C13" s="34">
        <v>43388</v>
      </c>
      <c r="D13" s="33" t="s">
        <v>470</v>
      </c>
      <c r="E13" s="35">
        <v>118</v>
      </c>
      <c r="F13" s="33">
        <v>40</v>
      </c>
      <c r="G13" s="31">
        <v>4720</v>
      </c>
    </row>
    <row r="14" spans="1:7" ht="17">
      <c r="A14" s="32">
        <v>2018</v>
      </c>
      <c r="B14" s="33">
        <v>4</v>
      </c>
      <c r="C14" s="34">
        <v>43389</v>
      </c>
      <c r="D14" s="33" t="s">
        <v>470</v>
      </c>
      <c r="E14" s="35">
        <v>118</v>
      </c>
      <c r="F14" s="30">
        <v>106</v>
      </c>
      <c r="G14" s="31">
        <v>12508</v>
      </c>
    </row>
    <row r="15" spans="1:7" ht="17">
      <c r="A15" s="32">
        <v>2018</v>
      </c>
      <c r="B15" s="33">
        <v>4</v>
      </c>
      <c r="C15" s="34">
        <v>43390</v>
      </c>
      <c r="D15" s="33" t="s">
        <v>470</v>
      </c>
      <c r="E15" s="35">
        <v>118</v>
      </c>
      <c r="F15" s="27">
        <v>46</v>
      </c>
      <c r="G15" s="31">
        <v>5428</v>
      </c>
    </row>
    <row r="16" spans="1:7" ht="17">
      <c r="A16" s="32">
        <v>2018</v>
      </c>
      <c r="B16" s="33">
        <v>4</v>
      </c>
      <c r="C16" s="34">
        <v>43391</v>
      </c>
      <c r="D16" s="33" t="s">
        <v>470</v>
      </c>
      <c r="E16" s="35">
        <v>118</v>
      </c>
      <c r="F16" s="33">
        <v>56</v>
      </c>
      <c r="G16" s="31">
        <v>6608</v>
      </c>
    </row>
    <row r="17" spans="1:7" ht="17">
      <c r="A17" s="32">
        <v>2018</v>
      </c>
      <c r="B17" s="33">
        <v>4</v>
      </c>
      <c r="C17" s="34">
        <v>43395</v>
      </c>
      <c r="D17" s="33" t="s">
        <v>470</v>
      </c>
      <c r="E17" s="35">
        <v>118</v>
      </c>
      <c r="F17" s="30">
        <v>97</v>
      </c>
      <c r="G17" s="31">
        <v>11446</v>
      </c>
    </row>
    <row r="18" spans="1:7" ht="17">
      <c r="A18" s="32">
        <v>2018</v>
      </c>
      <c r="B18" s="33">
        <v>4</v>
      </c>
      <c r="C18" s="34">
        <v>43396</v>
      </c>
      <c r="D18" s="33" t="s">
        <v>470</v>
      </c>
      <c r="E18" s="35">
        <v>118</v>
      </c>
      <c r="F18" s="36">
        <v>101</v>
      </c>
      <c r="G18" s="31">
        <v>11918</v>
      </c>
    </row>
    <row r="19" spans="1:7" ht="17">
      <c r="A19" s="32">
        <v>2018</v>
      </c>
      <c r="B19" s="33">
        <v>4</v>
      </c>
      <c r="C19" s="34">
        <v>43397</v>
      </c>
      <c r="D19" s="33" t="s">
        <v>470</v>
      </c>
      <c r="E19" s="35">
        <v>118</v>
      </c>
      <c r="F19" s="36">
        <v>98</v>
      </c>
      <c r="G19" s="31">
        <v>11564</v>
      </c>
    </row>
    <row r="20" spans="1:7" ht="17">
      <c r="A20" s="32">
        <v>2018</v>
      </c>
      <c r="B20" s="33">
        <v>4</v>
      </c>
      <c r="C20" s="34">
        <v>43398</v>
      </c>
      <c r="D20" s="33" t="s">
        <v>470</v>
      </c>
      <c r="E20" s="35">
        <v>118</v>
      </c>
      <c r="F20" s="36">
        <v>239</v>
      </c>
      <c r="G20" s="31">
        <v>28202</v>
      </c>
    </row>
    <row r="21" spans="1:7" ht="17">
      <c r="A21" s="32">
        <v>2018</v>
      </c>
      <c r="B21" s="33">
        <v>4</v>
      </c>
      <c r="C21" s="34">
        <v>43399</v>
      </c>
      <c r="D21" s="33" t="s">
        <v>470</v>
      </c>
      <c r="E21" s="35">
        <v>118</v>
      </c>
      <c r="F21" s="27">
        <v>54</v>
      </c>
      <c r="G21" s="31">
        <v>6372</v>
      </c>
    </row>
    <row r="22" spans="1:7" ht="17">
      <c r="A22" s="32">
        <v>2018</v>
      </c>
      <c r="B22" s="33">
        <v>4</v>
      </c>
      <c r="C22" s="34">
        <v>43406</v>
      </c>
      <c r="D22" s="33" t="s">
        <v>470</v>
      </c>
      <c r="E22" s="35">
        <v>118</v>
      </c>
      <c r="F22" s="30">
        <v>132</v>
      </c>
      <c r="G22" s="31">
        <v>15576</v>
      </c>
    </row>
    <row r="23" spans="1:7" ht="17">
      <c r="A23" s="32">
        <v>2018</v>
      </c>
      <c r="B23" s="33">
        <v>4</v>
      </c>
      <c r="C23" s="34">
        <v>43409</v>
      </c>
      <c r="D23" s="33" t="s">
        <v>470</v>
      </c>
      <c r="E23" s="35">
        <v>118</v>
      </c>
      <c r="F23" s="27">
        <v>54</v>
      </c>
      <c r="G23" s="31">
        <v>6372</v>
      </c>
    </row>
    <row r="24" spans="1:7" ht="17">
      <c r="A24" s="32">
        <v>2018</v>
      </c>
      <c r="B24" s="33">
        <v>4</v>
      </c>
      <c r="C24" s="34">
        <v>43411</v>
      </c>
      <c r="D24" s="33" t="s">
        <v>470</v>
      </c>
      <c r="E24" s="35">
        <v>118</v>
      </c>
      <c r="F24" s="30">
        <v>82</v>
      </c>
      <c r="G24" s="31">
        <v>9676</v>
      </c>
    </row>
    <row r="25" spans="1:7" ht="17">
      <c r="A25" s="32">
        <v>2018</v>
      </c>
      <c r="B25" s="33">
        <v>4</v>
      </c>
      <c r="C25" s="34">
        <v>43412</v>
      </c>
      <c r="D25" s="33" t="s">
        <v>470</v>
      </c>
      <c r="E25" s="35">
        <v>118</v>
      </c>
      <c r="F25" s="27">
        <v>47</v>
      </c>
      <c r="G25" s="31">
        <v>5546</v>
      </c>
    </row>
    <row r="26" spans="1:7" ht="17">
      <c r="A26" s="32">
        <v>2018</v>
      </c>
      <c r="B26" s="33">
        <v>4</v>
      </c>
      <c r="C26" s="34">
        <v>43413</v>
      </c>
      <c r="D26" s="33" t="s">
        <v>470</v>
      </c>
      <c r="E26" s="35">
        <v>118</v>
      </c>
      <c r="F26" s="33">
        <v>47</v>
      </c>
      <c r="G26" s="31">
        <v>5546</v>
      </c>
    </row>
    <row r="27" spans="1:7" ht="17">
      <c r="A27" s="32">
        <v>2018</v>
      </c>
      <c r="B27" s="33">
        <v>4</v>
      </c>
      <c r="C27" s="34">
        <v>43416</v>
      </c>
      <c r="D27" s="33" t="s">
        <v>470</v>
      </c>
      <c r="E27" s="35">
        <v>118</v>
      </c>
      <c r="F27" s="30">
        <v>98</v>
      </c>
      <c r="G27" s="31">
        <v>11564</v>
      </c>
    </row>
    <row r="28" spans="1:7" ht="17">
      <c r="A28" s="32">
        <v>2018</v>
      </c>
      <c r="B28" s="33">
        <v>4</v>
      </c>
      <c r="C28" s="34">
        <v>43417</v>
      </c>
      <c r="D28" s="33" t="s">
        <v>470</v>
      </c>
      <c r="E28" s="35">
        <v>118</v>
      </c>
      <c r="F28" s="27">
        <v>38</v>
      </c>
      <c r="G28" s="31">
        <v>4484</v>
      </c>
    </row>
    <row r="29" spans="1:7" ht="17">
      <c r="A29" s="32">
        <v>2018</v>
      </c>
      <c r="B29" s="33">
        <v>4</v>
      </c>
      <c r="C29" s="34">
        <v>43419</v>
      </c>
      <c r="D29" s="33" t="s">
        <v>470</v>
      </c>
      <c r="E29" s="35">
        <v>118</v>
      </c>
      <c r="F29" s="30">
        <v>95</v>
      </c>
      <c r="G29" s="31">
        <v>11210</v>
      </c>
    </row>
    <row r="30" spans="1:7" ht="17">
      <c r="A30" s="32">
        <v>2018</v>
      </c>
      <c r="B30" s="33">
        <v>4</v>
      </c>
      <c r="C30" s="34">
        <v>43420</v>
      </c>
      <c r="D30" s="33" t="s">
        <v>470</v>
      </c>
      <c r="E30" s="35">
        <v>118</v>
      </c>
      <c r="F30" s="36">
        <v>92</v>
      </c>
      <c r="G30" s="31">
        <v>10856</v>
      </c>
    </row>
    <row r="31" spans="1:7" ht="17">
      <c r="A31" s="32">
        <v>2018</v>
      </c>
      <c r="B31" s="33">
        <v>4</v>
      </c>
      <c r="C31" s="34">
        <v>43423</v>
      </c>
      <c r="D31" s="33" t="s">
        <v>470</v>
      </c>
      <c r="E31" s="35">
        <v>118</v>
      </c>
      <c r="F31" s="36">
        <v>106</v>
      </c>
      <c r="G31" s="31">
        <v>12508</v>
      </c>
    </row>
    <row r="32" spans="1:7" ht="17">
      <c r="A32" s="32">
        <v>2018</v>
      </c>
      <c r="B32" s="33">
        <v>4</v>
      </c>
      <c r="C32" s="34">
        <v>43424</v>
      </c>
      <c r="D32" s="33" t="s">
        <v>470</v>
      </c>
      <c r="E32" s="35">
        <v>118</v>
      </c>
      <c r="F32" s="36">
        <v>135</v>
      </c>
      <c r="G32" s="31">
        <v>15930</v>
      </c>
    </row>
    <row r="33" spans="1:7" ht="17">
      <c r="A33" s="32">
        <v>2018</v>
      </c>
      <c r="B33" s="33">
        <v>4</v>
      </c>
      <c r="C33" s="34">
        <v>43425</v>
      </c>
      <c r="D33" s="33" t="s">
        <v>470</v>
      </c>
      <c r="E33" s="35">
        <v>118</v>
      </c>
      <c r="F33" s="36">
        <v>200</v>
      </c>
      <c r="G33" s="31">
        <v>23600</v>
      </c>
    </row>
    <row r="34" spans="1:7" ht="17">
      <c r="A34" s="32">
        <v>2018</v>
      </c>
      <c r="B34" s="33">
        <v>4</v>
      </c>
      <c r="C34" s="34">
        <v>43426</v>
      </c>
      <c r="D34" s="33" t="s">
        <v>470</v>
      </c>
      <c r="E34" s="35">
        <v>118</v>
      </c>
      <c r="F34" s="27">
        <v>38</v>
      </c>
      <c r="G34" s="31">
        <v>4484</v>
      </c>
    </row>
    <row r="35" spans="1:7" ht="17">
      <c r="A35" s="32">
        <v>2018</v>
      </c>
      <c r="B35" s="33">
        <v>4</v>
      </c>
      <c r="C35" s="34">
        <v>43427</v>
      </c>
      <c r="D35" s="33" t="s">
        <v>470</v>
      </c>
      <c r="E35" s="35">
        <v>118</v>
      </c>
      <c r="F35" s="30">
        <v>113</v>
      </c>
      <c r="G35" s="31">
        <v>13334</v>
      </c>
    </row>
    <row r="36" spans="1:7" ht="17">
      <c r="A36" s="32">
        <v>2018</v>
      </c>
      <c r="B36" s="33">
        <v>4</v>
      </c>
      <c r="C36" s="34">
        <v>43430</v>
      </c>
      <c r="D36" s="33" t="s">
        <v>470</v>
      </c>
      <c r="E36" s="35">
        <v>118</v>
      </c>
      <c r="F36" s="27">
        <v>51</v>
      </c>
      <c r="G36" s="31">
        <v>6018</v>
      </c>
    </row>
    <row r="37" spans="1:7" ht="17">
      <c r="A37" s="32">
        <v>2018</v>
      </c>
      <c r="B37" s="33">
        <v>4</v>
      </c>
      <c r="C37" s="34">
        <v>43431</v>
      </c>
      <c r="D37" s="33" t="s">
        <v>470</v>
      </c>
      <c r="E37" s="35">
        <v>118</v>
      </c>
      <c r="F37" s="30">
        <v>111</v>
      </c>
      <c r="G37" s="31">
        <v>13098</v>
      </c>
    </row>
    <row r="38" spans="1:7" ht="17">
      <c r="A38" s="32">
        <v>2018</v>
      </c>
      <c r="B38" s="33">
        <v>4</v>
      </c>
      <c r="C38" s="34">
        <v>43433</v>
      </c>
      <c r="D38" s="33" t="s">
        <v>470</v>
      </c>
      <c r="E38" s="35">
        <v>118</v>
      </c>
      <c r="F38" s="36">
        <v>99</v>
      </c>
      <c r="G38" s="31">
        <v>11682</v>
      </c>
    </row>
    <row r="39" spans="1:7" ht="17">
      <c r="A39" s="32">
        <v>2018</v>
      </c>
      <c r="B39" s="33">
        <v>4</v>
      </c>
      <c r="C39" s="34">
        <v>43434</v>
      </c>
      <c r="D39" s="33" t="s">
        <v>470</v>
      </c>
      <c r="E39" s="35">
        <v>118</v>
      </c>
      <c r="F39" s="36">
        <v>95</v>
      </c>
      <c r="G39" s="31">
        <v>11210</v>
      </c>
    </row>
    <row r="40" spans="1:7" ht="17">
      <c r="A40" s="32">
        <v>2018</v>
      </c>
      <c r="B40" s="33">
        <v>4</v>
      </c>
      <c r="C40" s="34">
        <v>43437</v>
      </c>
      <c r="D40" s="33" t="s">
        <v>470</v>
      </c>
      <c r="E40" s="35">
        <v>118</v>
      </c>
      <c r="F40" s="27">
        <v>59</v>
      </c>
      <c r="G40" s="31">
        <v>6962</v>
      </c>
    </row>
    <row r="41" spans="1:7" ht="17">
      <c r="A41" s="32">
        <v>2018</v>
      </c>
      <c r="B41" s="33">
        <v>4</v>
      </c>
      <c r="C41" s="34">
        <v>43438</v>
      </c>
      <c r="D41" s="33" t="s">
        <v>470</v>
      </c>
      <c r="E41" s="35">
        <v>118</v>
      </c>
      <c r="F41" s="33">
        <v>39</v>
      </c>
      <c r="G41" s="31">
        <v>4602</v>
      </c>
    </row>
    <row r="42" spans="1:7" ht="17">
      <c r="A42" s="32">
        <v>2018</v>
      </c>
      <c r="B42" s="33">
        <v>4</v>
      </c>
      <c r="C42" s="34">
        <v>43439</v>
      </c>
      <c r="D42" s="33" t="s">
        <v>470</v>
      </c>
      <c r="E42" s="35">
        <v>118</v>
      </c>
      <c r="F42" s="30">
        <v>183</v>
      </c>
      <c r="G42" s="31">
        <v>21594</v>
      </c>
    </row>
    <row r="43" spans="1:7" ht="17">
      <c r="A43" s="32">
        <v>2018</v>
      </c>
      <c r="B43" s="33">
        <v>4</v>
      </c>
      <c r="C43" s="34">
        <v>43440</v>
      </c>
      <c r="D43" s="33" t="s">
        <v>470</v>
      </c>
      <c r="E43" s="35">
        <v>118</v>
      </c>
      <c r="F43" s="36">
        <v>201</v>
      </c>
      <c r="G43" s="31">
        <v>23718</v>
      </c>
    </row>
    <row r="44" spans="1:7" ht="17">
      <c r="A44" s="32">
        <v>2018</v>
      </c>
      <c r="B44" s="33">
        <v>4</v>
      </c>
      <c r="C44" s="34">
        <v>43445</v>
      </c>
      <c r="D44" s="33" t="s">
        <v>470</v>
      </c>
      <c r="E44" s="35">
        <v>118</v>
      </c>
      <c r="F44" s="36">
        <v>86</v>
      </c>
      <c r="G44" s="31">
        <v>10148</v>
      </c>
    </row>
    <row r="45" spans="1:7" ht="17">
      <c r="A45" s="32">
        <v>2018</v>
      </c>
      <c r="B45" s="33">
        <v>4</v>
      </c>
      <c r="C45" s="34">
        <v>43446</v>
      </c>
      <c r="D45" s="33" t="s">
        <v>470</v>
      </c>
      <c r="E45" s="35">
        <v>118</v>
      </c>
      <c r="F45" s="27">
        <v>46</v>
      </c>
      <c r="G45" s="31">
        <v>5428</v>
      </c>
    </row>
    <row r="46" spans="1:7" ht="17">
      <c r="A46" s="32">
        <v>2018</v>
      </c>
      <c r="B46" s="33">
        <v>4</v>
      </c>
      <c r="C46" s="34">
        <v>43447</v>
      </c>
      <c r="D46" s="33" t="s">
        <v>470</v>
      </c>
      <c r="E46" s="35">
        <v>118</v>
      </c>
      <c r="F46" s="33">
        <v>35</v>
      </c>
      <c r="G46" s="31">
        <v>4130</v>
      </c>
    </row>
    <row r="47" spans="1:7" ht="17">
      <c r="A47" s="32">
        <v>2018</v>
      </c>
      <c r="B47" s="33">
        <v>4</v>
      </c>
      <c r="C47" s="34">
        <v>43448</v>
      </c>
      <c r="D47" s="33" t="s">
        <v>470</v>
      </c>
      <c r="E47" s="35">
        <v>118</v>
      </c>
      <c r="F47" s="30">
        <v>216</v>
      </c>
      <c r="G47" s="31">
        <v>25488</v>
      </c>
    </row>
    <row r="48" spans="1:7" ht="17">
      <c r="A48" s="32">
        <v>2018</v>
      </c>
      <c r="B48" s="33">
        <v>4</v>
      </c>
      <c r="C48" s="34">
        <v>43451</v>
      </c>
      <c r="D48" s="33" t="s">
        <v>470</v>
      </c>
      <c r="E48" s="35">
        <v>118</v>
      </c>
      <c r="F48" s="27">
        <v>41</v>
      </c>
      <c r="G48" s="31">
        <v>4838</v>
      </c>
    </row>
    <row r="49" spans="1:7" ht="17">
      <c r="A49" s="32">
        <v>2018</v>
      </c>
      <c r="B49" s="33">
        <v>4</v>
      </c>
      <c r="C49" s="34">
        <v>43453</v>
      </c>
      <c r="D49" s="33" t="s">
        <v>470</v>
      </c>
      <c r="E49" s="35">
        <v>118</v>
      </c>
      <c r="F49" s="30">
        <v>73</v>
      </c>
      <c r="G49" s="31">
        <v>8614</v>
      </c>
    </row>
    <row r="50" spans="1:7" ht="17">
      <c r="A50" s="32">
        <v>2018</v>
      </c>
      <c r="B50" s="33">
        <v>4</v>
      </c>
      <c r="C50" s="34">
        <v>43454</v>
      </c>
      <c r="D50" s="33" t="s">
        <v>470</v>
      </c>
      <c r="E50" s="35">
        <v>118</v>
      </c>
      <c r="F50" s="36">
        <v>108</v>
      </c>
      <c r="G50" s="31">
        <v>12744</v>
      </c>
    </row>
    <row r="51" spans="1:7" ht="17">
      <c r="A51" s="32">
        <v>2018</v>
      </c>
      <c r="B51" s="33">
        <v>4</v>
      </c>
      <c r="C51" s="34">
        <v>43455</v>
      </c>
      <c r="D51" s="33" t="s">
        <v>470</v>
      </c>
      <c r="E51" s="35">
        <v>118</v>
      </c>
      <c r="F51" s="36">
        <v>83</v>
      </c>
      <c r="G51" s="31">
        <v>9794</v>
      </c>
    </row>
    <row r="52" spans="1:7" ht="17">
      <c r="A52" s="32">
        <v>2018</v>
      </c>
      <c r="B52" s="33">
        <v>4</v>
      </c>
      <c r="C52" s="34">
        <v>43459</v>
      </c>
      <c r="D52" s="33" t="s">
        <v>470</v>
      </c>
      <c r="E52" s="35">
        <v>118</v>
      </c>
      <c r="F52" s="27">
        <v>42</v>
      </c>
      <c r="G52" s="31">
        <v>4956</v>
      </c>
    </row>
    <row r="53" spans="1:7" ht="17">
      <c r="A53" s="32">
        <v>2018</v>
      </c>
      <c r="B53" s="33">
        <v>4</v>
      </c>
      <c r="C53" s="34">
        <v>43460</v>
      </c>
      <c r="D53" s="33" t="s">
        <v>470</v>
      </c>
      <c r="E53" s="35">
        <v>118</v>
      </c>
      <c r="F53" s="33">
        <v>59</v>
      </c>
      <c r="G53" s="31">
        <v>6962</v>
      </c>
    </row>
    <row r="54" spans="1:7" ht="17">
      <c r="A54" s="32">
        <v>2018</v>
      </c>
      <c r="B54" s="33">
        <v>4</v>
      </c>
      <c r="C54" s="34">
        <v>43461</v>
      </c>
      <c r="D54" s="33" t="s">
        <v>470</v>
      </c>
      <c r="E54" s="35">
        <v>118</v>
      </c>
      <c r="F54" s="30">
        <v>146</v>
      </c>
      <c r="G54" s="31">
        <v>17228</v>
      </c>
    </row>
    <row r="55" spans="1:7" ht="17">
      <c r="A55" s="32">
        <v>2018</v>
      </c>
      <c r="B55" s="33">
        <v>4</v>
      </c>
      <c r="C55" s="34">
        <v>43462</v>
      </c>
      <c r="D55" s="33" t="s">
        <v>470</v>
      </c>
      <c r="E55" s="35">
        <v>118</v>
      </c>
      <c r="F55" s="36">
        <v>137</v>
      </c>
      <c r="G55" s="31">
        <v>16166</v>
      </c>
    </row>
    <row r="56" spans="1:7" ht="17">
      <c r="A56" s="32">
        <v>2018</v>
      </c>
      <c r="B56" s="33">
        <v>4</v>
      </c>
      <c r="C56" s="34">
        <v>43465</v>
      </c>
      <c r="D56" s="33" t="s">
        <v>470</v>
      </c>
      <c r="E56" s="35">
        <v>118</v>
      </c>
      <c r="F56" s="36">
        <v>197</v>
      </c>
      <c r="G56" s="31">
        <v>23246</v>
      </c>
    </row>
    <row r="57" spans="1:7" ht="17">
      <c r="A57" s="32">
        <v>2018</v>
      </c>
      <c r="B57" s="33">
        <v>4</v>
      </c>
      <c r="C57" s="34">
        <v>43375</v>
      </c>
      <c r="D57" s="33" t="s">
        <v>472</v>
      </c>
      <c r="E57" s="35">
        <v>114</v>
      </c>
      <c r="F57" s="36">
        <v>85</v>
      </c>
      <c r="G57" s="31">
        <v>9690</v>
      </c>
    </row>
    <row r="58" spans="1:7" ht="17">
      <c r="A58" s="32">
        <v>2018</v>
      </c>
      <c r="B58" s="33">
        <v>4</v>
      </c>
      <c r="C58" s="34">
        <v>43376</v>
      </c>
      <c r="D58" s="33" t="s">
        <v>472</v>
      </c>
      <c r="E58" s="35">
        <v>114</v>
      </c>
      <c r="F58" s="27">
        <v>46</v>
      </c>
      <c r="G58" s="31">
        <v>5244</v>
      </c>
    </row>
    <row r="59" spans="1:7" ht="17">
      <c r="A59" s="32">
        <v>2018</v>
      </c>
      <c r="B59" s="33">
        <v>4</v>
      </c>
      <c r="C59" s="34">
        <v>43378</v>
      </c>
      <c r="D59" s="33" t="s">
        <v>472</v>
      </c>
      <c r="E59" s="35">
        <v>114</v>
      </c>
      <c r="F59" s="33">
        <v>31</v>
      </c>
      <c r="G59" s="31">
        <v>3534</v>
      </c>
    </row>
    <row r="60" spans="1:7" ht="17">
      <c r="A60" s="32">
        <v>2018</v>
      </c>
      <c r="B60" s="33">
        <v>4</v>
      </c>
      <c r="C60" s="34">
        <v>43381</v>
      </c>
      <c r="D60" s="33" t="s">
        <v>472</v>
      </c>
      <c r="E60" s="35">
        <v>114</v>
      </c>
      <c r="F60" s="30">
        <v>93</v>
      </c>
      <c r="G60" s="31">
        <v>10602</v>
      </c>
    </row>
    <row r="61" spans="1:7" ht="17">
      <c r="A61" s="32">
        <v>2018</v>
      </c>
      <c r="B61" s="33">
        <v>4</v>
      </c>
      <c r="C61" s="34">
        <v>43382</v>
      </c>
      <c r="D61" s="33" t="s">
        <v>472</v>
      </c>
      <c r="E61" s="35">
        <v>114</v>
      </c>
      <c r="F61" s="27">
        <v>35</v>
      </c>
      <c r="G61" s="31">
        <v>3990</v>
      </c>
    </row>
    <row r="62" spans="1:7" ht="17">
      <c r="A62" s="32">
        <v>2018</v>
      </c>
      <c r="B62" s="33">
        <v>4</v>
      </c>
      <c r="C62" s="34">
        <v>43383</v>
      </c>
      <c r="D62" s="33" t="s">
        <v>472</v>
      </c>
      <c r="E62" s="35">
        <v>114</v>
      </c>
      <c r="F62" s="33">
        <v>44</v>
      </c>
      <c r="G62" s="31">
        <v>5016</v>
      </c>
    </row>
    <row r="63" spans="1:7" ht="17">
      <c r="A63" s="32">
        <v>2018</v>
      </c>
      <c r="B63" s="33">
        <v>4</v>
      </c>
      <c r="C63" s="34">
        <v>43385</v>
      </c>
      <c r="D63" s="33" t="s">
        <v>472</v>
      </c>
      <c r="E63" s="35">
        <v>114</v>
      </c>
      <c r="F63" s="33">
        <v>45</v>
      </c>
      <c r="G63" s="31">
        <v>5130</v>
      </c>
    </row>
    <row r="64" spans="1:7" ht="17">
      <c r="A64" s="32">
        <v>2018</v>
      </c>
      <c r="B64" s="33">
        <v>4</v>
      </c>
      <c r="C64" s="34">
        <v>43388</v>
      </c>
      <c r="D64" s="33" t="s">
        <v>472</v>
      </c>
      <c r="E64" s="35">
        <v>114</v>
      </c>
      <c r="F64" s="30">
        <v>85</v>
      </c>
      <c r="G64" s="31">
        <v>9690</v>
      </c>
    </row>
    <row r="65" spans="1:7" ht="17">
      <c r="A65" s="32">
        <v>2018</v>
      </c>
      <c r="B65" s="33">
        <v>4</v>
      </c>
      <c r="C65" s="34">
        <v>43390</v>
      </c>
      <c r="D65" s="33" t="s">
        <v>472</v>
      </c>
      <c r="E65" s="35">
        <v>114</v>
      </c>
      <c r="F65" s="27">
        <v>30</v>
      </c>
      <c r="G65" s="31">
        <v>3420</v>
      </c>
    </row>
    <row r="66" spans="1:7" ht="17">
      <c r="A66" s="32">
        <v>2018</v>
      </c>
      <c r="B66" s="33">
        <v>4</v>
      </c>
      <c r="C66" s="34">
        <v>43392</v>
      </c>
      <c r="D66" s="33" t="s">
        <v>472</v>
      </c>
      <c r="E66" s="35">
        <v>114</v>
      </c>
      <c r="F66" s="30">
        <v>96</v>
      </c>
      <c r="G66" s="31">
        <v>10944</v>
      </c>
    </row>
    <row r="67" spans="1:7" ht="17">
      <c r="A67" s="32">
        <v>2018</v>
      </c>
      <c r="B67" s="33">
        <v>4</v>
      </c>
      <c r="C67" s="34">
        <v>43395</v>
      </c>
      <c r="D67" s="33" t="s">
        <v>472</v>
      </c>
      <c r="E67" s="35">
        <v>114</v>
      </c>
      <c r="F67" s="36">
        <v>259</v>
      </c>
      <c r="G67" s="31">
        <v>29526</v>
      </c>
    </row>
    <row r="68" spans="1:7" ht="17">
      <c r="A68" s="32">
        <v>2018</v>
      </c>
      <c r="B68" s="33">
        <v>4</v>
      </c>
      <c r="C68" s="34">
        <v>43396</v>
      </c>
      <c r="D68" s="33" t="s">
        <v>472</v>
      </c>
      <c r="E68" s="35">
        <v>114</v>
      </c>
      <c r="F68" s="36">
        <v>65</v>
      </c>
      <c r="G68" s="31">
        <v>7410</v>
      </c>
    </row>
    <row r="69" spans="1:7" ht="17">
      <c r="A69" s="32">
        <v>2018</v>
      </c>
      <c r="B69" s="33">
        <v>4</v>
      </c>
      <c r="C69" s="34">
        <v>43397</v>
      </c>
      <c r="D69" s="33" t="s">
        <v>472</v>
      </c>
      <c r="E69" s="35">
        <v>114</v>
      </c>
      <c r="F69" s="36">
        <v>150</v>
      </c>
      <c r="G69" s="31">
        <v>17100</v>
      </c>
    </row>
    <row r="70" spans="1:7" ht="17">
      <c r="A70" s="32">
        <v>2018</v>
      </c>
      <c r="B70" s="33">
        <v>4</v>
      </c>
      <c r="C70" s="34">
        <v>43398</v>
      </c>
      <c r="D70" s="33" t="s">
        <v>472</v>
      </c>
      <c r="E70" s="35">
        <v>114</v>
      </c>
      <c r="F70" s="27">
        <v>30</v>
      </c>
      <c r="G70" s="31">
        <v>3420</v>
      </c>
    </row>
    <row r="71" spans="1:7" ht="17">
      <c r="A71" s="32">
        <v>2018</v>
      </c>
      <c r="B71" s="33">
        <v>4</v>
      </c>
      <c r="C71" s="34">
        <v>43399</v>
      </c>
      <c r="D71" s="33" t="s">
        <v>472</v>
      </c>
      <c r="E71" s="35">
        <v>114</v>
      </c>
      <c r="F71" s="30">
        <v>120</v>
      </c>
      <c r="G71" s="31">
        <v>13680</v>
      </c>
    </row>
    <row r="72" spans="1:7" ht="17">
      <c r="A72" s="32">
        <v>2018</v>
      </c>
      <c r="B72" s="33">
        <v>4</v>
      </c>
      <c r="C72" s="34">
        <v>43403</v>
      </c>
      <c r="D72" s="33" t="s">
        <v>472</v>
      </c>
      <c r="E72" s="35">
        <v>114</v>
      </c>
      <c r="F72" s="27">
        <v>35</v>
      </c>
      <c r="G72" s="31">
        <v>3990</v>
      </c>
    </row>
    <row r="73" spans="1:7" ht="17">
      <c r="A73" s="32">
        <v>2018</v>
      </c>
      <c r="B73" s="33">
        <v>4</v>
      </c>
      <c r="C73" s="34">
        <v>43404</v>
      </c>
      <c r="D73" s="33" t="s">
        <v>472</v>
      </c>
      <c r="E73" s="35">
        <v>114</v>
      </c>
      <c r="F73" s="33">
        <v>35</v>
      </c>
      <c r="G73" s="31">
        <v>3990</v>
      </c>
    </row>
    <row r="74" spans="1:7" ht="17">
      <c r="A74" s="32">
        <v>2018</v>
      </c>
      <c r="B74" s="33">
        <v>4</v>
      </c>
      <c r="C74" s="34">
        <v>43405</v>
      </c>
      <c r="D74" s="33" t="s">
        <v>472</v>
      </c>
      <c r="E74" s="35">
        <v>114</v>
      </c>
      <c r="F74" s="33">
        <v>51</v>
      </c>
      <c r="G74" s="31">
        <v>5814</v>
      </c>
    </row>
    <row r="75" spans="1:7" ht="17">
      <c r="A75" s="32">
        <v>2018</v>
      </c>
      <c r="B75" s="33">
        <v>4</v>
      </c>
      <c r="C75" s="34">
        <v>43406</v>
      </c>
      <c r="D75" s="33" t="s">
        <v>472</v>
      </c>
      <c r="E75" s="35">
        <v>114</v>
      </c>
      <c r="F75" s="33">
        <v>49</v>
      </c>
      <c r="G75" s="31">
        <v>5586</v>
      </c>
    </row>
    <row r="76" spans="1:7" ht="17">
      <c r="A76" s="32">
        <v>2018</v>
      </c>
      <c r="B76" s="33">
        <v>4</v>
      </c>
      <c r="C76" s="34">
        <v>43410</v>
      </c>
      <c r="D76" s="33" t="s">
        <v>472</v>
      </c>
      <c r="E76" s="35">
        <v>114</v>
      </c>
      <c r="F76" s="30">
        <v>136</v>
      </c>
      <c r="G76" s="31">
        <v>15504</v>
      </c>
    </row>
    <row r="77" spans="1:7" ht="17">
      <c r="A77" s="32">
        <v>2018</v>
      </c>
      <c r="B77" s="33">
        <v>4</v>
      </c>
      <c r="C77" s="34">
        <v>43413</v>
      </c>
      <c r="D77" s="33" t="s">
        <v>472</v>
      </c>
      <c r="E77" s="35">
        <v>114</v>
      </c>
      <c r="F77" s="36">
        <v>165</v>
      </c>
      <c r="G77" s="31">
        <v>18810</v>
      </c>
    </row>
    <row r="78" spans="1:7" ht="17">
      <c r="A78" s="32">
        <v>2018</v>
      </c>
      <c r="B78" s="33">
        <v>4</v>
      </c>
      <c r="C78" s="34">
        <v>43416</v>
      </c>
      <c r="D78" s="33" t="s">
        <v>472</v>
      </c>
      <c r="E78" s="35">
        <v>114</v>
      </c>
      <c r="F78" s="36">
        <v>155</v>
      </c>
      <c r="G78" s="31">
        <v>17670</v>
      </c>
    </row>
    <row r="79" spans="1:7" ht="17">
      <c r="A79" s="32">
        <v>2018</v>
      </c>
      <c r="B79" s="33">
        <v>4</v>
      </c>
      <c r="C79" s="34">
        <v>43417</v>
      </c>
      <c r="D79" s="33" t="s">
        <v>472</v>
      </c>
      <c r="E79" s="35">
        <v>114</v>
      </c>
      <c r="F79" s="27">
        <v>42</v>
      </c>
      <c r="G79" s="31">
        <v>4788</v>
      </c>
    </row>
    <row r="80" spans="1:7" ht="17">
      <c r="A80" s="32">
        <v>2018</v>
      </c>
      <c r="B80" s="33">
        <v>4</v>
      </c>
      <c r="C80" s="34">
        <v>43418</v>
      </c>
      <c r="D80" s="33" t="s">
        <v>472</v>
      </c>
      <c r="E80" s="35">
        <v>114</v>
      </c>
      <c r="F80" s="30">
        <v>267</v>
      </c>
      <c r="G80" s="31">
        <v>30438</v>
      </c>
    </row>
    <row r="81" spans="1:7" ht="17">
      <c r="A81" s="32">
        <v>2018</v>
      </c>
      <c r="B81" s="33">
        <v>4</v>
      </c>
      <c r="C81" s="34">
        <v>43419</v>
      </c>
      <c r="D81" s="33" t="s">
        <v>472</v>
      </c>
      <c r="E81" s="35">
        <v>114</v>
      </c>
      <c r="F81" s="36">
        <v>74</v>
      </c>
      <c r="G81" s="31">
        <v>8436</v>
      </c>
    </row>
    <row r="82" spans="1:7" ht="17">
      <c r="A82" s="32">
        <v>2018</v>
      </c>
      <c r="B82" s="33">
        <v>4</v>
      </c>
      <c r="C82" s="34">
        <v>43420</v>
      </c>
      <c r="D82" s="33" t="s">
        <v>472</v>
      </c>
      <c r="E82" s="35">
        <v>114</v>
      </c>
      <c r="F82" s="36">
        <v>99</v>
      </c>
      <c r="G82" s="31">
        <v>11286</v>
      </c>
    </row>
    <row r="83" spans="1:7" ht="17">
      <c r="A83" s="32">
        <v>2018</v>
      </c>
      <c r="B83" s="33">
        <v>4</v>
      </c>
      <c r="C83" s="34">
        <v>43423</v>
      </c>
      <c r="D83" s="33" t="s">
        <v>472</v>
      </c>
      <c r="E83" s="35">
        <v>114</v>
      </c>
      <c r="F83" s="27">
        <v>48</v>
      </c>
      <c r="G83" s="31">
        <v>5472</v>
      </c>
    </row>
    <row r="84" spans="1:7" ht="17">
      <c r="A84" s="32">
        <v>2018</v>
      </c>
      <c r="B84" s="33">
        <v>4</v>
      </c>
      <c r="C84" s="34">
        <v>43424</v>
      </c>
      <c r="D84" s="33" t="s">
        <v>472</v>
      </c>
      <c r="E84" s="35">
        <v>114</v>
      </c>
      <c r="F84" s="33">
        <v>29</v>
      </c>
      <c r="G84" s="31">
        <v>3306</v>
      </c>
    </row>
    <row r="85" spans="1:7" ht="17">
      <c r="A85" s="32">
        <v>2018</v>
      </c>
      <c r="B85" s="33">
        <v>4</v>
      </c>
      <c r="C85" s="34">
        <v>43425</v>
      </c>
      <c r="D85" s="33" t="s">
        <v>472</v>
      </c>
      <c r="E85" s="35">
        <v>114</v>
      </c>
      <c r="F85" s="33">
        <v>44</v>
      </c>
      <c r="G85" s="31">
        <v>5016</v>
      </c>
    </row>
    <row r="86" spans="1:7" ht="17">
      <c r="A86" s="32">
        <v>2018</v>
      </c>
      <c r="B86" s="33">
        <v>4</v>
      </c>
      <c r="C86" s="34">
        <v>43426</v>
      </c>
      <c r="D86" s="33" t="s">
        <v>472</v>
      </c>
      <c r="E86" s="35">
        <v>114</v>
      </c>
      <c r="F86" s="33">
        <v>29</v>
      </c>
      <c r="G86" s="31">
        <v>3306</v>
      </c>
    </row>
    <row r="87" spans="1:7" ht="17">
      <c r="A87" s="32">
        <v>2018</v>
      </c>
      <c r="B87" s="33">
        <v>4</v>
      </c>
      <c r="C87" s="34">
        <v>43427</v>
      </c>
      <c r="D87" s="33" t="s">
        <v>472</v>
      </c>
      <c r="E87" s="35">
        <v>114</v>
      </c>
      <c r="F87" s="30">
        <v>82</v>
      </c>
      <c r="G87" s="31">
        <v>9348</v>
      </c>
    </row>
    <row r="88" spans="1:7" ht="17">
      <c r="A88" s="32">
        <v>2018</v>
      </c>
      <c r="B88" s="33">
        <v>4</v>
      </c>
      <c r="C88" s="34">
        <v>43430</v>
      </c>
      <c r="D88" s="33" t="s">
        <v>472</v>
      </c>
      <c r="E88" s="35">
        <v>114</v>
      </c>
      <c r="F88" s="36">
        <v>78</v>
      </c>
      <c r="G88" s="31">
        <v>8892</v>
      </c>
    </row>
    <row r="89" spans="1:7" ht="17">
      <c r="A89" s="32">
        <v>2018</v>
      </c>
      <c r="B89" s="33">
        <v>4</v>
      </c>
      <c r="C89" s="34">
        <v>43431</v>
      </c>
      <c r="D89" s="33" t="s">
        <v>472</v>
      </c>
      <c r="E89" s="35">
        <v>114</v>
      </c>
      <c r="F89" s="27">
        <v>49</v>
      </c>
      <c r="G89" s="31">
        <v>5586</v>
      </c>
    </row>
    <row r="90" spans="1:7" ht="17">
      <c r="A90" s="32">
        <v>2018</v>
      </c>
      <c r="B90" s="33">
        <v>4</v>
      </c>
      <c r="C90" s="34">
        <v>43432</v>
      </c>
      <c r="D90" s="33" t="s">
        <v>472</v>
      </c>
      <c r="E90" s="35">
        <v>114</v>
      </c>
      <c r="F90" s="33">
        <v>51</v>
      </c>
      <c r="G90" s="31">
        <v>5814</v>
      </c>
    </row>
    <row r="91" spans="1:7" ht="17">
      <c r="A91" s="32">
        <v>2018</v>
      </c>
      <c r="B91" s="33">
        <v>4</v>
      </c>
      <c r="C91" s="34">
        <v>43433</v>
      </c>
      <c r="D91" s="33" t="s">
        <v>472</v>
      </c>
      <c r="E91" s="35">
        <v>114</v>
      </c>
      <c r="F91" s="33">
        <v>42</v>
      </c>
      <c r="G91" s="31">
        <v>4788</v>
      </c>
    </row>
    <row r="92" spans="1:7" ht="17">
      <c r="A92" s="32">
        <v>2018</v>
      </c>
      <c r="B92" s="33">
        <v>4</v>
      </c>
      <c r="C92" s="34">
        <v>43434</v>
      </c>
      <c r="D92" s="33" t="s">
        <v>472</v>
      </c>
      <c r="E92" s="35">
        <v>114</v>
      </c>
      <c r="F92" s="30">
        <v>85</v>
      </c>
      <c r="G92" s="31">
        <v>9690</v>
      </c>
    </row>
    <row r="93" spans="1:7" ht="17">
      <c r="A93" s="32">
        <v>2018</v>
      </c>
      <c r="B93" s="33">
        <v>4</v>
      </c>
      <c r="C93" s="34">
        <v>43437</v>
      </c>
      <c r="D93" s="33" t="s">
        <v>472</v>
      </c>
      <c r="E93" s="35">
        <v>114</v>
      </c>
      <c r="F93" s="36">
        <v>143</v>
      </c>
      <c r="G93" s="31">
        <v>16302</v>
      </c>
    </row>
    <row r="94" spans="1:7" ht="17">
      <c r="A94" s="32">
        <v>2018</v>
      </c>
      <c r="B94" s="33">
        <v>4</v>
      </c>
      <c r="C94" s="34">
        <v>43439</v>
      </c>
      <c r="D94" s="33" t="s">
        <v>472</v>
      </c>
      <c r="E94" s="35">
        <v>114</v>
      </c>
      <c r="F94" s="36">
        <v>86</v>
      </c>
      <c r="G94" s="31">
        <v>9804</v>
      </c>
    </row>
    <row r="95" spans="1:7" ht="17">
      <c r="A95" s="32">
        <v>2018</v>
      </c>
      <c r="B95" s="33">
        <v>4</v>
      </c>
      <c r="C95" s="34">
        <v>43445</v>
      </c>
      <c r="D95" s="33" t="s">
        <v>472</v>
      </c>
      <c r="E95" s="35">
        <v>114</v>
      </c>
      <c r="F95" s="36">
        <v>61</v>
      </c>
      <c r="G95" s="31">
        <v>6954</v>
      </c>
    </row>
    <row r="96" spans="1:7" ht="17">
      <c r="A96" s="32">
        <v>2018</v>
      </c>
      <c r="B96" s="33">
        <v>4</v>
      </c>
      <c r="C96" s="34">
        <v>43446</v>
      </c>
      <c r="D96" s="33" t="s">
        <v>472</v>
      </c>
      <c r="E96" s="35">
        <v>114</v>
      </c>
      <c r="F96" s="36">
        <v>80</v>
      </c>
      <c r="G96" s="31">
        <v>9120</v>
      </c>
    </row>
    <row r="97" spans="1:7" ht="17">
      <c r="A97" s="32">
        <v>2018</v>
      </c>
      <c r="B97" s="33">
        <v>4</v>
      </c>
      <c r="C97" s="34">
        <v>43447</v>
      </c>
      <c r="D97" s="33" t="s">
        <v>472</v>
      </c>
      <c r="E97" s="35">
        <v>114</v>
      </c>
      <c r="F97" s="27">
        <v>51</v>
      </c>
      <c r="G97" s="31">
        <v>5814</v>
      </c>
    </row>
    <row r="98" spans="1:7" ht="17">
      <c r="A98" s="32">
        <v>2018</v>
      </c>
      <c r="B98" s="33">
        <v>4</v>
      </c>
      <c r="C98" s="34">
        <v>43452</v>
      </c>
      <c r="D98" s="33" t="s">
        <v>472</v>
      </c>
      <c r="E98" s="35">
        <v>114</v>
      </c>
      <c r="F98" s="33">
        <v>29</v>
      </c>
      <c r="G98" s="31">
        <v>3306</v>
      </c>
    </row>
    <row r="99" spans="1:7" ht="17">
      <c r="A99" s="32">
        <v>2018</v>
      </c>
      <c r="B99" s="33">
        <v>4</v>
      </c>
      <c r="C99" s="34">
        <v>43454</v>
      </c>
      <c r="D99" s="33" t="s">
        <v>472</v>
      </c>
      <c r="E99" s="35">
        <v>114</v>
      </c>
      <c r="F99" s="30">
        <v>181</v>
      </c>
      <c r="G99" s="31">
        <v>20634</v>
      </c>
    </row>
    <row r="100" spans="1:7" ht="17">
      <c r="A100" s="32">
        <v>2018</v>
      </c>
      <c r="B100" s="33">
        <v>4</v>
      </c>
      <c r="C100" s="34">
        <v>43462</v>
      </c>
      <c r="D100" s="33" t="s">
        <v>472</v>
      </c>
      <c r="E100" s="35">
        <v>114</v>
      </c>
      <c r="F100" s="36">
        <v>139</v>
      </c>
      <c r="G100" s="31">
        <v>15846</v>
      </c>
    </row>
    <row r="101" spans="1:7" ht="17">
      <c r="A101" s="32">
        <v>2018</v>
      </c>
      <c r="B101" s="33">
        <v>4</v>
      </c>
      <c r="C101" s="34">
        <v>43465</v>
      </c>
      <c r="D101" s="33" t="s">
        <v>472</v>
      </c>
      <c r="E101" s="35">
        <v>114</v>
      </c>
      <c r="F101" s="36">
        <v>82</v>
      </c>
      <c r="G101" s="31">
        <v>9348</v>
      </c>
    </row>
    <row r="102" spans="1:7" ht="17">
      <c r="A102" s="32">
        <v>2018</v>
      </c>
      <c r="B102" s="33">
        <v>4</v>
      </c>
      <c r="C102" s="34">
        <v>43374</v>
      </c>
      <c r="D102" s="33" t="s">
        <v>474</v>
      </c>
      <c r="E102" s="35">
        <v>123</v>
      </c>
      <c r="F102" s="36">
        <v>150</v>
      </c>
      <c r="G102" s="31">
        <v>18450</v>
      </c>
    </row>
    <row r="103" spans="1:7" ht="17">
      <c r="A103" s="32">
        <v>2018</v>
      </c>
      <c r="B103" s="33">
        <v>4</v>
      </c>
      <c r="C103" s="34">
        <v>43375</v>
      </c>
      <c r="D103" s="33" t="s">
        <v>474</v>
      </c>
      <c r="E103" s="35">
        <v>123</v>
      </c>
      <c r="F103" s="36">
        <v>187</v>
      </c>
      <c r="G103" s="31">
        <v>23001</v>
      </c>
    </row>
    <row r="104" spans="1:7" ht="17">
      <c r="A104" s="32">
        <v>2018</v>
      </c>
      <c r="B104" s="33">
        <v>4</v>
      </c>
      <c r="C104" s="34">
        <v>43376</v>
      </c>
      <c r="D104" s="33" t="s">
        <v>474</v>
      </c>
      <c r="E104" s="35">
        <v>123</v>
      </c>
      <c r="F104" s="36">
        <v>152</v>
      </c>
      <c r="G104" s="31">
        <v>18696</v>
      </c>
    </row>
    <row r="105" spans="1:7" ht="17">
      <c r="A105" s="32">
        <v>2018</v>
      </c>
      <c r="B105" s="33">
        <v>4</v>
      </c>
      <c r="C105" s="34">
        <v>43381</v>
      </c>
      <c r="D105" s="33" t="s">
        <v>474</v>
      </c>
      <c r="E105" s="35">
        <v>123</v>
      </c>
      <c r="F105" s="36">
        <v>159</v>
      </c>
      <c r="G105" s="31">
        <v>19557</v>
      </c>
    </row>
    <row r="106" spans="1:7" ht="17">
      <c r="A106" s="32">
        <v>2018</v>
      </c>
      <c r="B106" s="33">
        <v>4</v>
      </c>
      <c r="C106" s="34">
        <v>43382</v>
      </c>
      <c r="D106" s="33" t="s">
        <v>474</v>
      </c>
      <c r="E106" s="35">
        <v>123</v>
      </c>
      <c r="F106" s="36">
        <v>202</v>
      </c>
      <c r="G106" s="31">
        <v>24846</v>
      </c>
    </row>
    <row r="107" spans="1:7" ht="17">
      <c r="A107" s="32">
        <v>2018</v>
      </c>
      <c r="B107" s="33">
        <v>4</v>
      </c>
      <c r="C107" s="34">
        <v>43383</v>
      </c>
      <c r="D107" s="33" t="s">
        <v>474</v>
      </c>
      <c r="E107" s="35">
        <v>123</v>
      </c>
      <c r="F107" s="27">
        <v>32</v>
      </c>
      <c r="G107" s="31">
        <v>3936</v>
      </c>
    </row>
    <row r="108" spans="1:7" ht="17">
      <c r="A108" s="32">
        <v>2018</v>
      </c>
      <c r="B108" s="33">
        <v>4</v>
      </c>
      <c r="C108" s="34">
        <v>43384</v>
      </c>
      <c r="D108" s="33" t="s">
        <v>474</v>
      </c>
      <c r="E108" s="35">
        <v>123</v>
      </c>
      <c r="F108" s="33">
        <v>47</v>
      </c>
      <c r="G108" s="31">
        <v>5781</v>
      </c>
    </row>
    <row r="109" spans="1:7" ht="17">
      <c r="A109" s="32">
        <v>2018</v>
      </c>
      <c r="B109" s="33">
        <v>4</v>
      </c>
      <c r="C109" s="34">
        <v>43385</v>
      </c>
      <c r="D109" s="33" t="s">
        <v>474</v>
      </c>
      <c r="E109" s="35">
        <v>123</v>
      </c>
      <c r="F109" s="30">
        <v>82</v>
      </c>
      <c r="G109" s="31">
        <v>10086</v>
      </c>
    </row>
    <row r="110" spans="1:7" ht="17">
      <c r="A110" s="32">
        <v>2018</v>
      </c>
      <c r="B110" s="33">
        <v>4</v>
      </c>
      <c r="C110" s="34">
        <v>43389</v>
      </c>
      <c r="D110" s="33" t="s">
        <v>474</v>
      </c>
      <c r="E110" s="35">
        <v>123</v>
      </c>
      <c r="F110" s="27">
        <v>27</v>
      </c>
      <c r="G110" s="31">
        <v>3321</v>
      </c>
    </row>
    <row r="111" spans="1:7" ht="17">
      <c r="A111" s="32">
        <v>2018</v>
      </c>
      <c r="B111" s="33">
        <v>4</v>
      </c>
      <c r="C111" s="34">
        <v>43390</v>
      </c>
      <c r="D111" s="33" t="s">
        <v>474</v>
      </c>
      <c r="E111" s="35">
        <v>123</v>
      </c>
      <c r="F111" s="30">
        <v>79</v>
      </c>
      <c r="G111" s="31">
        <v>9717</v>
      </c>
    </row>
    <row r="112" spans="1:7" ht="17">
      <c r="A112" s="32">
        <v>2018</v>
      </c>
      <c r="B112" s="33">
        <v>4</v>
      </c>
      <c r="C112" s="34">
        <v>43391</v>
      </c>
      <c r="D112" s="33" t="s">
        <v>474</v>
      </c>
      <c r="E112" s="35">
        <v>123</v>
      </c>
      <c r="F112" s="27">
        <v>24</v>
      </c>
      <c r="G112" s="31">
        <v>2952</v>
      </c>
    </row>
    <row r="113" spans="1:7" ht="17">
      <c r="A113" s="32">
        <v>2018</v>
      </c>
      <c r="B113" s="33">
        <v>4</v>
      </c>
      <c r="C113" s="34">
        <v>43392</v>
      </c>
      <c r="D113" s="33" t="s">
        <v>474</v>
      </c>
      <c r="E113" s="35">
        <v>123</v>
      </c>
      <c r="F113" s="33">
        <v>36</v>
      </c>
      <c r="G113" s="31">
        <v>4428</v>
      </c>
    </row>
    <row r="114" spans="1:7" ht="17">
      <c r="A114" s="32">
        <v>2018</v>
      </c>
      <c r="B114" s="33">
        <v>4</v>
      </c>
      <c r="C114" s="34">
        <v>43395</v>
      </c>
      <c r="D114" s="33" t="s">
        <v>474</v>
      </c>
      <c r="E114" s="35">
        <v>123</v>
      </c>
      <c r="F114" s="33">
        <v>49</v>
      </c>
      <c r="G114" s="31">
        <v>6027</v>
      </c>
    </row>
    <row r="115" spans="1:7" ht="17">
      <c r="A115" s="32">
        <v>2018</v>
      </c>
      <c r="B115" s="33">
        <v>4</v>
      </c>
      <c r="C115" s="34">
        <v>43396</v>
      </c>
      <c r="D115" s="33" t="s">
        <v>474</v>
      </c>
      <c r="E115" s="35">
        <v>123</v>
      </c>
      <c r="F115" s="33">
        <v>24</v>
      </c>
      <c r="G115" s="31">
        <v>2952</v>
      </c>
    </row>
    <row r="116" spans="1:7" ht="17">
      <c r="A116" s="32">
        <v>2018</v>
      </c>
      <c r="B116" s="33">
        <v>4</v>
      </c>
      <c r="C116" s="34">
        <v>43398</v>
      </c>
      <c r="D116" s="33" t="s">
        <v>474</v>
      </c>
      <c r="E116" s="35">
        <v>123</v>
      </c>
      <c r="F116" s="30">
        <v>86</v>
      </c>
      <c r="G116" s="31">
        <v>10578</v>
      </c>
    </row>
    <row r="117" spans="1:7" ht="17">
      <c r="A117" s="32">
        <v>2018</v>
      </c>
      <c r="B117" s="33">
        <v>4</v>
      </c>
      <c r="C117" s="34">
        <v>43399</v>
      </c>
      <c r="D117" s="33" t="s">
        <v>474</v>
      </c>
      <c r="E117" s="35">
        <v>123</v>
      </c>
      <c r="F117" s="36">
        <v>78</v>
      </c>
      <c r="G117" s="31">
        <v>9594</v>
      </c>
    </row>
    <row r="118" spans="1:7" ht="17">
      <c r="A118" s="32">
        <v>2018</v>
      </c>
      <c r="B118" s="33">
        <v>4</v>
      </c>
      <c r="C118" s="34">
        <v>43402</v>
      </c>
      <c r="D118" s="33" t="s">
        <v>474</v>
      </c>
      <c r="E118" s="35">
        <v>123</v>
      </c>
      <c r="F118" s="36">
        <v>124</v>
      </c>
      <c r="G118" s="31">
        <v>15252</v>
      </c>
    </row>
    <row r="119" spans="1:7" ht="17">
      <c r="A119" s="32">
        <v>2018</v>
      </c>
      <c r="B119" s="33">
        <v>4</v>
      </c>
      <c r="C119" s="34">
        <v>43405</v>
      </c>
      <c r="D119" s="33" t="s">
        <v>474</v>
      </c>
      <c r="E119" s="35">
        <v>123</v>
      </c>
      <c r="F119" s="27">
        <v>37</v>
      </c>
      <c r="G119" s="31">
        <v>4551</v>
      </c>
    </row>
    <row r="120" spans="1:7" ht="17">
      <c r="A120" s="32">
        <v>2018</v>
      </c>
      <c r="B120" s="33">
        <v>4</v>
      </c>
      <c r="C120" s="34">
        <v>43406</v>
      </c>
      <c r="D120" s="33" t="s">
        <v>474</v>
      </c>
      <c r="E120" s="35">
        <v>123</v>
      </c>
      <c r="F120" s="33">
        <v>26</v>
      </c>
      <c r="G120" s="31">
        <v>3198</v>
      </c>
    </row>
    <row r="121" spans="1:7" ht="17">
      <c r="A121" s="32">
        <v>2018</v>
      </c>
      <c r="B121" s="33">
        <v>4</v>
      </c>
      <c r="C121" s="34">
        <v>43410</v>
      </c>
      <c r="D121" s="33" t="s">
        <v>474</v>
      </c>
      <c r="E121" s="35">
        <v>123</v>
      </c>
      <c r="F121" s="30">
        <v>88</v>
      </c>
      <c r="G121" s="31">
        <v>10824</v>
      </c>
    </row>
    <row r="122" spans="1:7" ht="17">
      <c r="A122" s="32">
        <v>2018</v>
      </c>
      <c r="B122" s="33">
        <v>4</v>
      </c>
      <c r="C122" s="34">
        <v>43411</v>
      </c>
      <c r="D122" s="33" t="s">
        <v>474</v>
      </c>
      <c r="E122" s="35">
        <v>123</v>
      </c>
      <c r="F122" s="27">
        <v>27</v>
      </c>
      <c r="G122" s="31">
        <v>3321</v>
      </c>
    </row>
    <row r="123" spans="1:7" ht="17">
      <c r="A123" s="32">
        <v>2018</v>
      </c>
      <c r="B123" s="33">
        <v>4</v>
      </c>
      <c r="C123" s="34">
        <v>43416</v>
      </c>
      <c r="D123" s="33" t="s">
        <v>474</v>
      </c>
      <c r="E123" s="35">
        <v>123</v>
      </c>
      <c r="F123" s="30">
        <v>76</v>
      </c>
      <c r="G123" s="31">
        <v>9348</v>
      </c>
    </row>
    <row r="124" spans="1:7" ht="17">
      <c r="A124" s="32">
        <v>2018</v>
      </c>
      <c r="B124" s="33">
        <v>4</v>
      </c>
      <c r="C124" s="34">
        <v>43417</v>
      </c>
      <c r="D124" s="33" t="s">
        <v>474</v>
      </c>
      <c r="E124" s="35">
        <v>123</v>
      </c>
      <c r="F124" s="27">
        <v>29</v>
      </c>
      <c r="G124" s="31">
        <v>3567</v>
      </c>
    </row>
    <row r="125" spans="1:7" ht="17">
      <c r="A125" s="32">
        <v>2018</v>
      </c>
      <c r="B125" s="33">
        <v>4</v>
      </c>
      <c r="C125" s="34">
        <v>43418</v>
      </c>
      <c r="D125" s="33" t="s">
        <v>474</v>
      </c>
      <c r="E125" s="35">
        <v>123</v>
      </c>
      <c r="F125" s="30">
        <v>75</v>
      </c>
      <c r="G125" s="31">
        <v>9225</v>
      </c>
    </row>
    <row r="126" spans="1:7" ht="17">
      <c r="A126" s="32">
        <v>2018</v>
      </c>
      <c r="B126" s="33">
        <v>4</v>
      </c>
      <c r="C126" s="34">
        <v>43419</v>
      </c>
      <c r="D126" s="33" t="s">
        <v>474</v>
      </c>
      <c r="E126" s="35">
        <v>123</v>
      </c>
      <c r="F126" s="27">
        <v>29</v>
      </c>
      <c r="G126" s="31">
        <v>3567</v>
      </c>
    </row>
    <row r="127" spans="1:7" ht="17">
      <c r="A127" s="32">
        <v>2018</v>
      </c>
      <c r="B127" s="33">
        <v>4</v>
      </c>
      <c r="C127" s="34">
        <v>43420</v>
      </c>
      <c r="D127" s="33" t="s">
        <v>474</v>
      </c>
      <c r="E127" s="35">
        <v>123</v>
      </c>
      <c r="F127" s="30">
        <v>126</v>
      </c>
      <c r="G127" s="31">
        <v>15498</v>
      </c>
    </row>
    <row r="128" spans="1:7" ht="17">
      <c r="A128" s="32">
        <v>2018</v>
      </c>
      <c r="B128" s="33">
        <v>4</v>
      </c>
      <c r="C128" s="34">
        <v>43423</v>
      </c>
      <c r="D128" s="33" t="s">
        <v>474</v>
      </c>
      <c r="E128" s="35">
        <v>123</v>
      </c>
      <c r="F128" s="36">
        <v>67</v>
      </c>
      <c r="G128" s="31">
        <v>8241</v>
      </c>
    </row>
    <row r="129" spans="1:7" ht="17">
      <c r="A129" s="32">
        <v>2018</v>
      </c>
      <c r="B129" s="33">
        <v>4</v>
      </c>
      <c r="C129" s="34">
        <v>43425</v>
      </c>
      <c r="D129" s="33" t="s">
        <v>474</v>
      </c>
      <c r="E129" s="35">
        <v>123</v>
      </c>
      <c r="F129" s="36">
        <v>93</v>
      </c>
      <c r="G129" s="31">
        <v>11439</v>
      </c>
    </row>
    <row r="130" spans="1:7" ht="17">
      <c r="A130" s="32">
        <v>2018</v>
      </c>
      <c r="B130" s="33">
        <v>4</v>
      </c>
      <c r="C130" s="34">
        <v>43426</v>
      </c>
      <c r="D130" s="33" t="s">
        <v>474</v>
      </c>
      <c r="E130" s="35">
        <v>123</v>
      </c>
      <c r="F130" s="36">
        <v>92</v>
      </c>
      <c r="G130" s="31">
        <v>11316</v>
      </c>
    </row>
    <row r="131" spans="1:7" ht="17">
      <c r="A131" s="32">
        <v>2018</v>
      </c>
      <c r="B131" s="33">
        <v>4</v>
      </c>
      <c r="C131" s="34">
        <v>43427</v>
      </c>
      <c r="D131" s="33" t="s">
        <v>474</v>
      </c>
      <c r="E131" s="35">
        <v>123</v>
      </c>
      <c r="F131" s="36">
        <v>66</v>
      </c>
      <c r="G131" s="31">
        <v>8118</v>
      </c>
    </row>
    <row r="132" spans="1:7" ht="17">
      <c r="A132" s="32">
        <v>2018</v>
      </c>
      <c r="B132" s="33">
        <v>4</v>
      </c>
      <c r="C132" s="34">
        <v>43430</v>
      </c>
      <c r="D132" s="33" t="s">
        <v>474</v>
      </c>
      <c r="E132" s="35">
        <v>123</v>
      </c>
      <c r="F132" s="27">
        <v>36</v>
      </c>
      <c r="G132" s="31">
        <v>4428</v>
      </c>
    </row>
    <row r="133" spans="1:7" ht="17">
      <c r="A133" s="32">
        <v>2018</v>
      </c>
      <c r="B133" s="33">
        <v>4</v>
      </c>
      <c r="C133" s="34">
        <v>43431</v>
      </c>
      <c r="D133" s="33" t="s">
        <v>474</v>
      </c>
      <c r="E133" s="35">
        <v>123</v>
      </c>
      <c r="F133" s="33">
        <v>41</v>
      </c>
      <c r="G133" s="31">
        <v>5043</v>
      </c>
    </row>
    <row r="134" spans="1:7" ht="17">
      <c r="A134" s="32">
        <v>2018</v>
      </c>
      <c r="B134" s="33">
        <v>4</v>
      </c>
      <c r="C134" s="34">
        <v>43432</v>
      </c>
      <c r="D134" s="33" t="s">
        <v>474</v>
      </c>
      <c r="E134" s="35">
        <v>123</v>
      </c>
      <c r="F134" s="30">
        <v>85</v>
      </c>
      <c r="G134" s="31">
        <v>10455</v>
      </c>
    </row>
    <row r="135" spans="1:7" ht="17">
      <c r="A135" s="32">
        <v>2018</v>
      </c>
      <c r="B135" s="33">
        <v>4</v>
      </c>
      <c r="C135" s="34">
        <v>43433</v>
      </c>
      <c r="D135" s="33" t="s">
        <v>474</v>
      </c>
      <c r="E135" s="35">
        <v>123</v>
      </c>
      <c r="F135" s="36">
        <v>132</v>
      </c>
      <c r="G135" s="31">
        <v>16236</v>
      </c>
    </row>
    <row r="136" spans="1:7" ht="17">
      <c r="A136" s="32">
        <v>2018</v>
      </c>
      <c r="B136" s="33">
        <v>4</v>
      </c>
      <c r="C136" s="34">
        <v>43434</v>
      </c>
      <c r="D136" s="33" t="s">
        <v>474</v>
      </c>
      <c r="E136" s="35">
        <v>123</v>
      </c>
      <c r="F136" s="36">
        <v>83</v>
      </c>
      <c r="G136" s="31">
        <v>10209</v>
      </c>
    </row>
    <row r="137" spans="1:7" ht="17">
      <c r="A137" s="32">
        <v>2018</v>
      </c>
      <c r="B137" s="33">
        <v>4</v>
      </c>
      <c r="C137" s="34">
        <v>43437</v>
      </c>
      <c r="D137" s="33" t="s">
        <v>474</v>
      </c>
      <c r="E137" s="35">
        <v>123</v>
      </c>
      <c r="F137" s="36">
        <v>113</v>
      </c>
      <c r="G137" s="31">
        <v>13899</v>
      </c>
    </row>
    <row r="138" spans="1:7" ht="17">
      <c r="A138" s="32">
        <v>2018</v>
      </c>
      <c r="B138" s="33">
        <v>4</v>
      </c>
      <c r="C138" s="34">
        <v>43438</v>
      </c>
      <c r="D138" s="33" t="s">
        <v>474</v>
      </c>
      <c r="E138" s="35">
        <v>123</v>
      </c>
      <c r="F138" s="36">
        <v>80</v>
      </c>
      <c r="G138" s="31">
        <v>9840</v>
      </c>
    </row>
    <row r="139" spans="1:7" ht="17">
      <c r="A139" s="32">
        <v>2018</v>
      </c>
      <c r="B139" s="33">
        <v>4</v>
      </c>
      <c r="C139" s="34">
        <v>43439</v>
      </c>
      <c r="D139" s="33" t="s">
        <v>474</v>
      </c>
      <c r="E139" s="35">
        <v>123</v>
      </c>
      <c r="F139" s="36">
        <v>61</v>
      </c>
      <c r="G139" s="31">
        <v>7503</v>
      </c>
    </row>
    <row r="140" spans="1:7" ht="17">
      <c r="A140" s="32">
        <v>2018</v>
      </c>
      <c r="B140" s="33">
        <v>4</v>
      </c>
      <c r="C140" s="34">
        <v>43441</v>
      </c>
      <c r="D140" s="33" t="s">
        <v>474</v>
      </c>
      <c r="E140" s="35">
        <v>123</v>
      </c>
      <c r="F140" s="27">
        <v>30</v>
      </c>
      <c r="G140" s="31">
        <v>3690</v>
      </c>
    </row>
    <row r="141" spans="1:7" ht="17">
      <c r="A141" s="32">
        <v>2018</v>
      </c>
      <c r="B141" s="33">
        <v>4</v>
      </c>
      <c r="C141" s="34">
        <v>43444</v>
      </c>
      <c r="D141" s="33" t="s">
        <v>474</v>
      </c>
      <c r="E141" s="35">
        <v>123</v>
      </c>
      <c r="F141" s="33">
        <v>41</v>
      </c>
      <c r="G141" s="31">
        <v>5043</v>
      </c>
    </row>
    <row r="142" spans="1:7" ht="17">
      <c r="A142" s="32">
        <v>2018</v>
      </c>
      <c r="B142" s="33">
        <v>4</v>
      </c>
      <c r="C142" s="34">
        <v>43446</v>
      </c>
      <c r="D142" s="33" t="s">
        <v>474</v>
      </c>
      <c r="E142" s="35">
        <v>123</v>
      </c>
      <c r="F142" s="30">
        <v>129</v>
      </c>
      <c r="G142" s="31">
        <v>15867</v>
      </c>
    </row>
    <row r="143" spans="1:7" ht="17">
      <c r="A143" s="32">
        <v>2018</v>
      </c>
      <c r="B143" s="33">
        <v>4</v>
      </c>
      <c r="C143" s="34">
        <v>43447</v>
      </c>
      <c r="D143" s="33" t="s">
        <v>474</v>
      </c>
      <c r="E143" s="35">
        <v>123</v>
      </c>
      <c r="F143" s="36">
        <v>77</v>
      </c>
      <c r="G143" s="31">
        <v>9471</v>
      </c>
    </row>
    <row r="144" spans="1:7" ht="17">
      <c r="A144" s="32">
        <v>2018</v>
      </c>
      <c r="B144" s="33">
        <v>4</v>
      </c>
      <c r="C144" s="34">
        <v>43448</v>
      </c>
      <c r="D144" s="33" t="s">
        <v>474</v>
      </c>
      <c r="E144" s="35">
        <v>123</v>
      </c>
      <c r="F144" s="36">
        <v>135</v>
      </c>
      <c r="G144" s="31">
        <v>16605</v>
      </c>
    </row>
    <row r="145" spans="1:7" ht="17">
      <c r="A145" s="32">
        <v>2018</v>
      </c>
      <c r="B145" s="33">
        <v>4</v>
      </c>
      <c r="C145" s="34">
        <v>43451</v>
      </c>
      <c r="D145" s="33" t="s">
        <v>474</v>
      </c>
      <c r="E145" s="35">
        <v>123</v>
      </c>
      <c r="F145" s="36">
        <v>54</v>
      </c>
      <c r="G145" s="31">
        <v>6642</v>
      </c>
    </row>
    <row r="146" spans="1:7" ht="17">
      <c r="A146" s="32">
        <v>2018</v>
      </c>
      <c r="B146" s="33">
        <v>4</v>
      </c>
      <c r="C146" s="34">
        <v>43452</v>
      </c>
      <c r="D146" s="33" t="s">
        <v>474</v>
      </c>
      <c r="E146" s="35">
        <v>123</v>
      </c>
      <c r="F146" s="36">
        <v>72</v>
      </c>
      <c r="G146" s="31">
        <v>8856</v>
      </c>
    </row>
    <row r="147" spans="1:7" ht="17">
      <c r="A147" s="32">
        <v>2018</v>
      </c>
      <c r="B147" s="33">
        <v>4</v>
      </c>
      <c r="C147" s="34">
        <v>43453</v>
      </c>
      <c r="D147" s="33" t="s">
        <v>474</v>
      </c>
      <c r="E147" s="35">
        <v>123</v>
      </c>
      <c r="F147" s="36">
        <v>75</v>
      </c>
      <c r="G147" s="31">
        <v>9225</v>
      </c>
    </row>
    <row r="148" spans="1:7" ht="17">
      <c r="A148" s="32">
        <v>2018</v>
      </c>
      <c r="B148" s="33">
        <v>4</v>
      </c>
      <c r="C148" s="34">
        <v>43454</v>
      </c>
      <c r="D148" s="33" t="s">
        <v>474</v>
      </c>
      <c r="E148" s="35">
        <v>123</v>
      </c>
      <c r="F148" s="27">
        <v>29</v>
      </c>
      <c r="G148" s="31">
        <v>3567</v>
      </c>
    </row>
    <row r="149" spans="1:7" ht="17">
      <c r="A149" s="32">
        <v>2018</v>
      </c>
      <c r="B149" s="33">
        <v>4</v>
      </c>
      <c r="C149" s="34">
        <v>43455</v>
      </c>
      <c r="D149" s="33" t="s">
        <v>474</v>
      </c>
      <c r="E149" s="35">
        <v>123</v>
      </c>
      <c r="F149" s="33">
        <v>45</v>
      </c>
      <c r="G149" s="31">
        <v>5535</v>
      </c>
    </row>
    <row r="150" spans="1:7" ht="17">
      <c r="A150" s="32">
        <v>2018</v>
      </c>
      <c r="B150" s="33">
        <v>4</v>
      </c>
      <c r="C150" s="34">
        <v>43458</v>
      </c>
      <c r="D150" s="33" t="s">
        <v>474</v>
      </c>
      <c r="E150" s="35">
        <v>123</v>
      </c>
      <c r="F150" s="33">
        <v>26</v>
      </c>
      <c r="G150" s="31">
        <v>3198</v>
      </c>
    </row>
    <row r="151" spans="1:7" ht="17">
      <c r="A151" s="32">
        <v>2018</v>
      </c>
      <c r="B151" s="33">
        <v>4</v>
      </c>
      <c r="C151" s="34">
        <v>43459</v>
      </c>
      <c r="D151" s="33" t="s">
        <v>474</v>
      </c>
      <c r="E151" s="35">
        <v>123</v>
      </c>
      <c r="F151" s="30">
        <v>60</v>
      </c>
      <c r="G151" s="31">
        <v>7380</v>
      </c>
    </row>
    <row r="152" spans="1:7" ht="17">
      <c r="A152" s="32">
        <v>2018</v>
      </c>
      <c r="B152" s="33">
        <v>4</v>
      </c>
      <c r="C152" s="34">
        <v>43460</v>
      </c>
      <c r="D152" s="33" t="s">
        <v>474</v>
      </c>
      <c r="E152" s="35">
        <v>123</v>
      </c>
      <c r="F152" s="27">
        <v>41</v>
      </c>
      <c r="G152" s="31">
        <v>5043</v>
      </c>
    </row>
    <row r="153" spans="1:7" ht="17">
      <c r="A153" s="32">
        <v>2018</v>
      </c>
      <c r="B153" s="33">
        <v>4</v>
      </c>
      <c r="C153" s="34">
        <v>43461</v>
      </c>
      <c r="D153" s="33" t="s">
        <v>474</v>
      </c>
      <c r="E153" s="35">
        <v>123</v>
      </c>
      <c r="F153" s="30">
        <v>73</v>
      </c>
      <c r="G153" s="31">
        <v>8979</v>
      </c>
    </row>
    <row r="154" spans="1:7" ht="17">
      <c r="A154" s="32">
        <v>2018</v>
      </c>
      <c r="B154" s="33">
        <v>4</v>
      </c>
      <c r="C154" s="34">
        <v>43462</v>
      </c>
      <c r="D154" s="33" t="s">
        <v>474</v>
      </c>
      <c r="E154" s="35">
        <v>123</v>
      </c>
      <c r="F154" s="27">
        <v>47</v>
      </c>
      <c r="G154" s="31">
        <v>5781</v>
      </c>
    </row>
    <row r="155" spans="1:7" ht="17">
      <c r="A155" s="32">
        <v>2019</v>
      </c>
      <c r="B155" s="33">
        <v>1</v>
      </c>
      <c r="C155" s="34">
        <v>43468</v>
      </c>
      <c r="D155" s="33" t="s">
        <v>470</v>
      </c>
      <c r="E155" s="35">
        <v>118</v>
      </c>
      <c r="F155" s="33">
        <v>42</v>
      </c>
      <c r="G155" s="31">
        <v>4956</v>
      </c>
    </row>
    <row r="156" spans="1:7" ht="17">
      <c r="A156" s="32">
        <v>2019</v>
      </c>
      <c r="B156" s="33">
        <v>1</v>
      </c>
      <c r="C156" s="34">
        <v>43469</v>
      </c>
      <c r="D156" s="33" t="s">
        <v>470</v>
      </c>
      <c r="E156" s="35">
        <v>118</v>
      </c>
      <c r="F156" s="30">
        <v>91</v>
      </c>
      <c r="G156" s="31">
        <v>10738</v>
      </c>
    </row>
    <row r="157" spans="1:7" ht="17">
      <c r="A157" s="32">
        <v>2019</v>
      </c>
      <c r="B157" s="33">
        <v>1</v>
      </c>
      <c r="C157" s="34">
        <v>43472</v>
      </c>
      <c r="D157" s="33" t="s">
        <v>470</v>
      </c>
      <c r="E157" s="35">
        <v>118</v>
      </c>
      <c r="F157" s="36">
        <v>110</v>
      </c>
      <c r="G157" s="31">
        <v>12980</v>
      </c>
    </row>
    <row r="158" spans="1:7" ht="17">
      <c r="A158" s="32">
        <v>2019</v>
      </c>
      <c r="B158" s="33">
        <v>1</v>
      </c>
      <c r="C158" s="34">
        <v>43473</v>
      </c>
      <c r="D158" s="33" t="s">
        <v>470</v>
      </c>
      <c r="E158" s="35">
        <v>118</v>
      </c>
      <c r="F158" s="27">
        <v>59</v>
      </c>
      <c r="G158" s="31">
        <v>6962</v>
      </c>
    </row>
    <row r="159" spans="1:7" ht="17">
      <c r="A159" s="32">
        <v>2019</v>
      </c>
      <c r="B159" s="33">
        <v>1</v>
      </c>
      <c r="C159" s="34">
        <v>43476</v>
      </c>
      <c r="D159" s="33" t="s">
        <v>470</v>
      </c>
      <c r="E159" s="35">
        <v>118</v>
      </c>
      <c r="F159" s="33">
        <v>41</v>
      </c>
      <c r="G159" s="31">
        <v>4838</v>
      </c>
    </row>
    <row r="160" spans="1:7" ht="17">
      <c r="A160" s="32">
        <v>2019</v>
      </c>
      <c r="B160" s="33">
        <v>1</v>
      </c>
      <c r="C160" s="34">
        <v>43479</v>
      </c>
      <c r="D160" s="33" t="s">
        <v>470</v>
      </c>
      <c r="E160" s="35">
        <v>118</v>
      </c>
      <c r="F160" s="30">
        <v>150</v>
      </c>
      <c r="G160" s="31">
        <v>17700</v>
      </c>
    </row>
    <row r="161" spans="1:7" ht="17">
      <c r="A161" s="32">
        <v>2019</v>
      </c>
      <c r="B161" s="33">
        <v>1</v>
      </c>
      <c r="C161" s="34">
        <v>43480</v>
      </c>
      <c r="D161" s="33" t="s">
        <v>470</v>
      </c>
      <c r="E161" s="35">
        <v>118</v>
      </c>
      <c r="F161" s="27">
        <v>58</v>
      </c>
      <c r="G161" s="31">
        <v>6844</v>
      </c>
    </row>
    <row r="162" spans="1:7" ht="17">
      <c r="A162" s="32">
        <v>2019</v>
      </c>
      <c r="B162" s="33">
        <v>1</v>
      </c>
      <c r="C162" s="34">
        <v>43481</v>
      </c>
      <c r="D162" s="33" t="s">
        <v>470</v>
      </c>
      <c r="E162" s="35">
        <v>118</v>
      </c>
      <c r="F162" s="30">
        <v>153</v>
      </c>
      <c r="G162" s="31">
        <v>18054</v>
      </c>
    </row>
    <row r="163" spans="1:7" ht="17">
      <c r="A163" s="32">
        <v>2019</v>
      </c>
      <c r="B163" s="33">
        <v>1</v>
      </c>
      <c r="C163" s="34">
        <v>43483</v>
      </c>
      <c r="D163" s="33" t="s">
        <v>470</v>
      </c>
      <c r="E163" s="35">
        <v>118</v>
      </c>
      <c r="F163" s="36">
        <v>187</v>
      </c>
      <c r="G163" s="31">
        <v>22066</v>
      </c>
    </row>
    <row r="164" spans="1:7" ht="17">
      <c r="A164" s="32">
        <v>2019</v>
      </c>
      <c r="B164" s="33">
        <v>1</v>
      </c>
      <c r="C164" s="34">
        <v>43486</v>
      </c>
      <c r="D164" s="33" t="s">
        <v>470</v>
      </c>
      <c r="E164" s="35">
        <v>118</v>
      </c>
      <c r="F164" s="27">
        <v>55</v>
      </c>
      <c r="G164" s="31">
        <v>6490</v>
      </c>
    </row>
    <row r="165" spans="1:7" ht="17">
      <c r="A165" s="32">
        <v>2019</v>
      </c>
      <c r="B165" s="33">
        <v>1</v>
      </c>
      <c r="C165" s="34">
        <v>43487</v>
      </c>
      <c r="D165" s="33" t="s">
        <v>470</v>
      </c>
      <c r="E165" s="35">
        <v>118</v>
      </c>
      <c r="F165" s="30">
        <v>139</v>
      </c>
      <c r="G165" s="31">
        <v>16402</v>
      </c>
    </row>
    <row r="166" spans="1:7" ht="17">
      <c r="A166" s="32">
        <v>2019</v>
      </c>
      <c r="B166" s="33">
        <v>1</v>
      </c>
      <c r="C166" s="34">
        <v>43490</v>
      </c>
      <c r="D166" s="33" t="s">
        <v>470</v>
      </c>
      <c r="E166" s="35">
        <v>118</v>
      </c>
      <c r="F166" s="36">
        <v>112</v>
      </c>
      <c r="G166" s="31">
        <v>13216</v>
      </c>
    </row>
    <row r="167" spans="1:7" ht="17">
      <c r="A167" s="32">
        <v>2019</v>
      </c>
      <c r="B167" s="33">
        <v>1</v>
      </c>
      <c r="C167" s="34">
        <v>43494</v>
      </c>
      <c r="D167" s="33" t="s">
        <v>470</v>
      </c>
      <c r="E167" s="35">
        <v>118</v>
      </c>
      <c r="F167" s="27">
        <v>53</v>
      </c>
      <c r="G167" s="31">
        <v>6254</v>
      </c>
    </row>
    <row r="168" spans="1:7" ht="17">
      <c r="A168" s="32">
        <v>2019</v>
      </c>
      <c r="B168" s="33">
        <v>1</v>
      </c>
      <c r="C168" s="34">
        <v>43495</v>
      </c>
      <c r="D168" s="33" t="s">
        <v>470</v>
      </c>
      <c r="E168" s="35">
        <v>118</v>
      </c>
      <c r="F168" s="33">
        <v>50</v>
      </c>
      <c r="G168" s="31">
        <v>5900</v>
      </c>
    </row>
    <row r="169" spans="1:7" ht="17">
      <c r="A169" s="32">
        <v>2019</v>
      </c>
      <c r="B169" s="33">
        <v>1</v>
      </c>
      <c r="C169" s="34">
        <v>43496</v>
      </c>
      <c r="D169" s="33" t="s">
        <v>470</v>
      </c>
      <c r="E169" s="35">
        <v>118</v>
      </c>
      <c r="F169" s="30">
        <v>161</v>
      </c>
      <c r="G169" s="31">
        <v>18998</v>
      </c>
    </row>
    <row r="170" spans="1:7" ht="17">
      <c r="A170" s="32">
        <v>2019</v>
      </c>
      <c r="B170" s="33">
        <v>1</v>
      </c>
      <c r="C170" s="34">
        <v>43497</v>
      </c>
      <c r="D170" s="33" t="s">
        <v>470</v>
      </c>
      <c r="E170" s="35">
        <v>118</v>
      </c>
      <c r="F170" s="36">
        <v>104</v>
      </c>
      <c r="G170" s="31">
        <v>12272</v>
      </c>
    </row>
    <row r="171" spans="1:7" ht="17">
      <c r="A171" s="32">
        <v>2019</v>
      </c>
      <c r="B171" s="33">
        <v>1</v>
      </c>
      <c r="C171" s="34">
        <v>43500</v>
      </c>
      <c r="D171" s="33" t="s">
        <v>470</v>
      </c>
      <c r="E171" s="35">
        <v>118</v>
      </c>
      <c r="F171" s="27">
        <v>51</v>
      </c>
      <c r="G171" s="31">
        <v>6018</v>
      </c>
    </row>
    <row r="172" spans="1:7" ht="17">
      <c r="A172" s="32">
        <v>2019</v>
      </c>
      <c r="B172" s="33">
        <v>1</v>
      </c>
      <c r="C172" s="34">
        <v>43502</v>
      </c>
      <c r="D172" s="33" t="s">
        <v>470</v>
      </c>
      <c r="E172" s="35">
        <v>118</v>
      </c>
      <c r="F172" s="33">
        <v>58</v>
      </c>
      <c r="G172" s="31">
        <v>6844</v>
      </c>
    </row>
    <row r="173" spans="1:7" ht="17">
      <c r="A173" s="32">
        <v>2019</v>
      </c>
      <c r="B173" s="33">
        <v>1</v>
      </c>
      <c r="C173" s="34">
        <v>43503</v>
      </c>
      <c r="D173" s="33" t="s">
        <v>470</v>
      </c>
      <c r="E173" s="35">
        <v>118</v>
      </c>
      <c r="F173" s="33">
        <v>49</v>
      </c>
      <c r="G173" s="31">
        <v>5782</v>
      </c>
    </row>
    <row r="174" spans="1:7" ht="17">
      <c r="A174" s="32">
        <v>2019</v>
      </c>
      <c r="B174" s="33">
        <v>1</v>
      </c>
      <c r="C174" s="34">
        <v>43509</v>
      </c>
      <c r="D174" s="33" t="s">
        <v>470</v>
      </c>
      <c r="E174" s="35">
        <v>118</v>
      </c>
      <c r="F174" s="30">
        <v>147</v>
      </c>
      <c r="G174" s="31">
        <v>17346</v>
      </c>
    </row>
    <row r="175" spans="1:7" ht="17">
      <c r="A175" s="32">
        <v>2019</v>
      </c>
      <c r="B175" s="33">
        <v>1</v>
      </c>
      <c r="C175" s="34">
        <v>43510</v>
      </c>
      <c r="D175" s="33" t="s">
        <v>470</v>
      </c>
      <c r="E175" s="35">
        <v>118</v>
      </c>
      <c r="F175" s="36">
        <v>110</v>
      </c>
      <c r="G175" s="31">
        <v>12980</v>
      </c>
    </row>
    <row r="176" spans="1:7" ht="17">
      <c r="A176" s="32">
        <v>2019</v>
      </c>
      <c r="B176" s="33">
        <v>1</v>
      </c>
      <c r="C176" s="34">
        <v>43514</v>
      </c>
      <c r="D176" s="33" t="s">
        <v>470</v>
      </c>
      <c r="E176" s="35">
        <v>118</v>
      </c>
      <c r="F176" s="36">
        <v>269</v>
      </c>
      <c r="G176" s="31">
        <v>31742</v>
      </c>
    </row>
    <row r="177" spans="1:7" ht="17">
      <c r="A177" s="32">
        <v>2019</v>
      </c>
      <c r="B177" s="33">
        <v>1</v>
      </c>
      <c r="C177" s="34">
        <v>43515</v>
      </c>
      <c r="D177" s="33" t="s">
        <v>470</v>
      </c>
      <c r="E177" s="35">
        <v>118</v>
      </c>
      <c r="F177" s="36">
        <v>161</v>
      </c>
      <c r="G177" s="31">
        <v>18998</v>
      </c>
    </row>
    <row r="178" spans="1:7" ht="17">
      <c r="A178" s="32">
        <v>2019</v>
      </c>
      <c r="B178" s="33">
        <v>1</v>
      </c>
      <c r="C178" s="34">
        <v>43516</v>
      </c>
      <c r="D178" s="33" t="s">
        <v>470</v>
      </c>
      <c r="E178" s="35">
        <v>118</v>
      </c>
      <c r="F178" s="27">
        <v>62</v>
      </c>
      <c r="G178" s="31">
        <v>7316</v>
      </c>
    </row>
    <row r="179" spans="1:7" ht="17">
      <c r="A179" s="32">
        <v>2019</v>
      </c>
      <c r="B179" s="33">
        <v>1</v>
      </c>
      <c r="C179" s="34">
        <v>43517</v>
      </c>
      <c r="D179" s="33" t="s">
        <v>470</v>
      </c>
      <c r="E179" s="35">
        <v>118</v>
      </c>
      <c r="F179" s="30">
        <v>228</v>
      </c>
      <c r="G179" s="31">
        <v>26904</v>
      </c>
    </row>
    <row r="180" spans="1:7" ht="17">
      <c r="A180" s="32">
        <v>2019</v>
      </c>
      <c r="B180" s="33">
        <v>1</v>
      </c>
      <c r="C180" s="34">
        <v>43522</v>
      </c>
      <c r="D180" s="33" t="s">
        <v>470</v>
      </c>
      <c r="E180" s="35">
        <v>118</v>
      </c>
      <c r="F180" s="27">
        <v>40</v>
      </c>
      <c r="G180" s="31">
        <v>4720</v>
      </c>
    </row>
    <row r="181" spans="1:7" ht="17">
      <c r="A181" s="32">
        <v>2019</v>
      </c>
      <c r="B181" s="33">
        <v>1</v>
      </c>
      <c r="C181" s="34">
        <v>43523</v>
      </c>
      <c r="D181" s="33" t="s">
        <v>470</v>
      </c>
      <c r="E181" s="35">
        <v>118</v>
      </c>
      <c r="F181" s="30">
        <v>99</v>
      </c>
      <c r="G181" s="31">
        <v>11682</v>
      </c>
    </row>
    <row r="182" spans="1:7" ht="17">
      <c r="A182" s="32">
        <v>2019</v>
      </c>
      <c r="B182" s="33">
        <v>1</v>
      </c>
      <c r="C182" s="34">
        <v>43525</v>
      </c>
      <c r="D182" s="33" t="s">
        <v>470</v>
      </c>
      <c r="E182" s="35">
        <v>118</v>
      </c>
      <c r="F182" s="36">
        <v>96</v>
      </c>
      <c r="G182" s="31">
        <v>11328</v>
      </c>
    </row>
    <row r="183" spans="1:7" ht="17">
      <c r="A183" s="32">
        <v>2019</v>
      </c>
      <c r="B183" s="33">
        <v>1</v>
      </c>
      <c r="C183" s="34">
        <v>43528</v>
      </c>
      <c r="D183" s="33" t="s">
        <v>470</v>
      </c>
      <c r="E183" s="35">
        <v>118</v>
      </c>
      <c r="F183" s="27">
        <v>56</v>
      </c>
      <c r="G183" s="31">
        <v>6608</v>
      </c>
    </row>
    <row r="184" spans="1:7" ht="17">
      <c r="A184" s="32">
        <v>2019</v>
      </c>
      <c r="B184" s="33">
        <v>1</v>
      </c>
      <c r="C184" s="34">
        <v>43529</v>
      </c>
      <c r="D184" s="33" t="s">
        <v>470</v>
      </c>
      <c r="E184" s="35">
        <v>118</v>
      </c>
      <c r="F184" s="33">
        <v>57</v>
      </c>
      <c r="G184" s="31">
        <v>6726</v>
      </c>
    </row>
    <row r="185" spans="1:7" ht="17">
      <c r="A185" s="32">
        <v>2019</v>
      </c>
      <c r="B185" s="33">
        <v>1</v>
      </c>
      <c r="C185" s="34">
        <v>43530</v>
      </c>
      <c r="D185" s="33" t="s">
        <v>470</v>
      </c>
      <c r="E185" s="35">
        <v>118</v>
      </c>
      <c r="F185" s="33">
        <v>42</v>
      </c>
      <c r="G185" s="31">
        <v>4956</v>
      </c>
    </row>
    <row r="186" spans="1:7" ht="17">
      <c r="A186" s="32">
        <v>2019</v>
      </c>
      <c r="B186" s="33">
        <v>1</v>
      </c>
      <c r="C186" s="34">
        <v>43532</v>
      </c>
      <c r="D186" s="33" t="s">
        <v>470</v>
      </c>
      <c r="E186" s="35">
        <v>118</v>
      </c>
      <c r="F186" s="30">
        <v>96</v>
      </c>
      <c r="G186" s="31">
        <v>11328</v>
      </c>
    </row>
    <row r="187" spans="1:7" ht="17">
      <c r="A187" s="32">
        <v>2019</v>
      </c>
      <c r="B187" s="33">
        <v>1</v>
      </c>
      <c r="C187" s="34">
        <v>43536</v>
      </c>
      <c r="D187" s="33" t="s">
        <v>470</v>
      </c>
      <c r="E187" s="35">
        <v>118</v>
      </c>
      <c r="F187" s="27">
        <v>50</v>
      </c>
      <c r="G187" s="31">
        <v>5900</v>
      </c>
    </row>
    <row r="188" spans="1:7" ht="17">
      <c r="A188" s="32">
        <v>2019</v>
      </c>
      <c r="B188" s="33">
        <v>1</v>
      </c>
      <c r="C188" s="34">
        <v>43538</v>
      </c>
      <c r="D188" s="33" t="s">
        <v>470</v>
      </c>
      <c r="E188" s="35">
        <v>118</v>
      </c>
      <c r="F188" s="33">
        <v>48</v>
      </c>
      <c r="G188" s="31">
        <v>5664</v>
      </c>
    </row>
    <row r="189" spans="1:7" ht="17">
      <c r="A189" s="32">
        <v>2019</v>
      </c>
      <c r="B189" s="33">
        <v>1</v>
      </c>
      <c r="C189" s="34">
        <v>43539</v>
      </c>
      <c r="D189" s="33" t="s">
        <v>470</v>
      </c>
      <c r="E189" s="35">
        <v>118</v>
      </c>
      <c r="F189" s="33">
        <v>42</v>
      </c>
      <c r="G189" s="31">
        <v>4956</v>
      </c>
    </row>
    <row r="190" spans="1:7" ht="17">
      <c r="A190" s="32">
        <v>2019</v>
      </c>
      <c r="B190" s="33">
        <v>1</v>
      </c>
      <c r="C190" s="34">
        <v>43545</v>
      </c>
      <c r="D190" s="33" t="s">
        <v>470</v>
      </c>
      <c r="E190" s="35">
        <v>118</v>
      </c>
      <c r="F190" s="30">
        <v>175</v>
      </c>
      <c r="G190" s="31">
        <v>20650</v>
      </c>
    </row>
    <row r="191" spans="1:7" ht="17">
      <c r="A191" s="32">
        <v>2019</v>
      </c>
      <c r="B191" s="33">
        <v>1</v>
      </c>
      <c r="C191" s="34">
        <v>43546</v>
      </c>
      <c r="D191" s="33" t="s">
        <v>470</v>
      </c>
      <c r="E191" s="35">
        <v>118</v>
      </c>
      <c r="F191" s="36">
        <v>125</v>
      </c>
      <c r="G191" s="31">
        <v>14750</v>
      </c>
    </row>
    <row r="192" spans="1:7" ht="17">
      <c r="A192" s="32">
        <v>2019</v>
      </c>
      <c r="B192" s="33">
        <v>1</v>
      </c>
      <c r="C192" s="34">
        <v>43553</v>
      </c>
      <c r="D192" s="33" t="s">
        <v>470</v>
      </c>
      <c r="E192" s="35">
        <v>118</v>
      </c>
      <c r="F192" s="36">
        <v>104</v>
      </c>
      <c r="G192" s="31">
        <v>12272</v>
      </c>
    </row>
    <row r="193" spans="1:7" ht="17">
      <c r="A193" s="32">
        <v>2019</v>
      </c>
      <c r="B193" s="33">
        <v>1</v>
      </c>
      <c r="C193" s="34">
        <v>43466</v>
      </c>
      <c r="D193" s="33" t="s">
        <v>472</v>
      </c>
      <c r="E193" s="35">
        <v>114</v>
      </c>
      <c r="F193" s="36">
        <v>144</v>
      </c>
      <c r="G193" s="31">
        <v>16416</v>
      </c>
    </row>
    <row r="194" spans="1:7" ht="17">
      <c r="A194" s="32">
        <v>2019</v>
      </c>
      <c r="B194" s="33">
        <v>1</v>
      </c>
      <c r="C194" s="34">
        <v>43468</v>
      </c>
      <c r="D194" s="33" t="s">
        <v>472</v>
      </c>
      <c r="E194" s="35">
        <v>114</v>
      </c>
      <c r="F194" s="27">
        <v>48</v>
      </c>
      <c r="G194" s="31">
        <v>5472</v>
      </c>
    </row>
    <row r="195" spans="1:7" ht="17">
      <c r="A195" s="32">
        <v>2019</v>
      </c>
      <c r="B195" s="33">
        <v>1</v>
      </c>
      <c r="C195" s="34">
        <v>43472</v>
      </c>
      <c r="D195" s="33" t="s">
        <v>472</v>
      </c>
      <c r="E195" s="35">
        <v>114</v>
      </c>
      <c r="F195" s="30">
        <v>91</v>
      </c>
      <c r="G195" s="31">
        <v>10374</v>
      </c>
    </row>
    <row r="196" spans="1:7" ht="17">
      <c r="A196" s="32">
        <v>2019</v>
      </c>
      <c r="B196" s="33">
        <v>1</v>
      </c>
      <c r="C196" s="34">
        <v>43473</v>
      </c>
      <c r="D196" s="33" t="s">
        <v>472</v>
      </c>
      <c r="E196" s="35">
        <v>114</v>
      </c>
      <c r="F196" s="27">
        <v>48</v>
      </c>
      <c r="G196" s="31">
        <v>5472</v>
      </c>
    </row>
    <row r="197" spans="1:7" ht="17">
      <c r="A197" s="32">
        <v>2019</v>
      </c>
      <c r="B197" s="33">
        <v>1</v>
      </c>
      <c r="C197" s="34">
        <v>43475</v>
      </c>
      <c r="D197" s="33" t="s">
        <v>472</v>
      </c>
      <c r="E197" s="35">
        <v>114</v>
      </c>
      <c r="F197" s="30">
        <v>191</v>
      </c>
      <c r="G197" s="31">
        <v>21774</v>
      </c>
    </row>
    <row r="198" spans="1:7" ht="17">
      <c r="A198" s="32">
        <v>2019</v>
      </c>
      <c r="B198" s="33">
        <v>1</v>
      </c>
      <c r="C198" s="34">
        <v>43479</v>
      </c>
      <c r="D198" s="33" t="s">
        <v>472</v>
      </c>
      <c r="E198" s="35">
        <v>114</v>
      </c>
      <c r="F198" s="36">
        <v>89</v>
      </c>
      <c r="G198" s="31">
        <v>10146</v>
      </c>
    </row>
    <row r="199" spans="1:7" ht="17">
      <c r="A199" s="32">
        <v>2019</v>
      </c>
      <c r="B199" s="33">
        <v>1</v>
      </c>
      <c r="C199" s="34">
        <v>43480</v>
      </c>
      <c r="D199" s="33" t="s">
        <v>472</v>
      </c>
      <c r="E199" s="35">
        <v>114</v>
      </c>
      <c r="F199" s="36">
        <v>184</v>
      </c>
      <c r="G199" s="31">
        <v>20976</v>
      </c>
    </row>
    <row r="200" spans="1:7" ht="17">
      <c r="A200" s="32">
        <v>2019</v>
      </c>
      <c r="B200" s="33">
        <v>1</v>
      </c>
      <c r="C200" s="34">
        <v>43481</v>
      </c>
      <c r="D200" s="33" t="s">
        <v>472</v>
      </c>
      <c r="E200" s="35">
        <v>114</v>
      </c>
      <c r="F200" s="27">
        <v>55</v>
      </c>
      <c r="G200" s="31">
        <v>6270</v>
      </c>
    </row>
    <row r="201" spans="1:7" ht="17">
      <c r="A201" s="32">
        <v>2019</v>
      </c>
      <c r="B201" s="33">
        <v>1</v>
      </c>
      <c r="C201" s="34">
        <v>43486</v>
      </c>
      <c r="D201" s="33" t="s">
        <v>472</v>
      </c>
      <c r="E201" s="35">
        <v>114</v>
      </c>
      <c r="F201" s="33">
        <v>46</v>
      </c>
      <c r="G201" s="31">
        <v>5244</v>
      </c>
    </row>
    <row r="202" spans="1:7" ht="17">
      <c r="A202" s="32">
        <v>2019</v>
      </c>
      <c r="B202" s="33">
        <v>1</v>
      </c>
      <c r="C202" s="34">
        <v>43487</v>
      </c>
      <c r="D202" s="33" t="s">
        <v>472</v>
      </c>
      <c r="E202" s="35">
        <v>114</v>
      </c>
      <c r="F202" s="30">
        <v>97</v>
      </c>
      <c r="G202" s="31">
        <v>11058</v>
      </c>
    </row>
    <row r="203" spans="1:7" ht="17">
      <c r="A203" s="32">
        <v>2019</v>
      </c>
      <c r="B203" s="33">
        <v>1</v>
      </c>
      <c r="C203" s="34">
        <v>43489</v>
      </c>
      <c r="D203" s="33" t="s">
        <v>472</v>
      </c>
      <c r="E203" s="35">
        <v>114</v>
      </c>
      <c r="F203" s="36">
        <v>76</v>
      </c>
      <c r="G203" s="31">
        <v>8664</v>
      </c>
    </row>
    <row r="204" spans="1:7" ht="17">
      <c r="A204" s="32">
        <v>2019</v>
      </c>
      <c r="B204" s="33">
        <v>1</v>
      </c>
      <c r="C204" s="34">
        <v>43490</v>
      </c>
      <c r="D204" s="33" t="s">
        <v>472</v>
      </c>
      <c r="E204" s="35">
        <v>114</v>
      </c>
      <c r="F204" s="36">
        <v>89</v>
      </c>
      <c r="G204" s="31">
        <v>10146</v>
      </c>
    </row>
    <row r="205" spans="1:7" ht="17">
      <c r="A205" s="32">
        <v>2019</v>
      </c>
      <c r="B205" s="33">
        <v>1</v>
      </c>
      <c r="C205" s="34">
        <v>43494</v>
      </c>
      <c r="D205" s="33" t="s">
        <v>472</v>
      </c>
      <c r="E205" s="35">
        <v>114</v>
      </c>
      <c r="F205" s="27">
        <v>54</v>
      </c>
      <c r="G205" s="31">
        <v>6156</v>
      </c>
    </row>
    <row r="206" spans="1:7" ht="17">
      <c r="A206" s="32">
        <v>2019</v>
      </c>
      <c r="B206" s="33">
        <v>1</v>
      </c>
      <c r="C206" s="34">
        <v>43495</v>
      </c>
      <c r="D206" s="33" t="s">
        <v>472</v>
      </c>
      <c r="E206" s="35">
        <v>114</v>
      </c>
      <c r="F206" s="33">
        <v>43</v>
      </c>
      <c r="G206" s="31">
        <v>4902</v>
      </c>
    </row>
    <row r="207" spans="1:7" ht="17">
      <c r="A207" s="32">
        <v>2019</v>
      </c>
      <c r="B207" s="33">
        <v>1</v>
      </c>
      <c r="C207" s="34">
        <v>43496</v>
      </c>
      <c r="D207" s="33" t="s">
        <v>472</v>
      </c>
      <c r="E207" s="35">
        <v>114</v>
      </c>
      <c r="F207" s="33">
        <v>54</v>
      </c>
      <c r="G207" s="31">
        <v>6156</v>
      </c>
    </row>
    <row r="208" spans="1:7" ht="17">
      <c r="A208" s="32">
        <v>2019</v>
      </c>
      <c r="B208" s="33">
        <v>1</v>
      </c>
      <c r="C208" s="34">
        <v>43497</v>
      </c>
      <c r="D208" s="33" t="s">
        <v>472</v>
      </c>
      <c r="E208" s="35">
        <v>114</v>
      </c>
      <c r="F208" s="30">
        <v>97</v>
      </c>
      <c r="G208" s="31">
        <v>11058</v>
      </c>
    </row>
    <row r="209" spans="1:7" ht="17">
      <c r="A209" s="32">
        <v>2019</v>
      </c>
      <c r="B209" s="33">
        <v>1</v>
      </c>
      <c r="C209" s="34">
        <v>43500</v>
      </c>
      <c r="D209" s="33" t="s">
        <v>472</v>
      </c>
      <c r="E209" s="35">
        <v>114</v>
      </c>
      <c r="F209" s="36">
        <v>202</v>
      </c>
      <c r="G209" s="31">
        <v>23028</v>
      </c>
    </row>
    <row r="210" spans="1:7" ht="17">
      <c r="A210" s="32">
        <v>2019</v>
      </c>
      <c r="B210" s="33">
        <v>1</v>
      </c>
      <c r="C210" s="34">
        <v>43502</v>
      </c>
      <c r="D210" s="33" t="s">
        <v>472</v>
      </c>
      <c r="E210" s="35">
        <v>114</v>
      </c>
      <c r="F210" s="36">
        <v>165</v>
      </c>
      <c r="G210" s="31">
        <v>18810</v>
      </c>
    </row>
    <row r="211" spans="1:7" ht="17">
      <c r="A211" s="32">
        <v>2019</v>
      </c>
      <c r="B211" s="33">
        <v>1</v>
      </c>
      <c r="C211" s="34">
        <v>43503</v>
      </c>
      <c r="D211" s="33" t="s">
        <v>472</v>
      </c>
      <c r="E211" s="35">
        <v>114</v>
      </c>
      <c r="F211" s="36">
        <v>199</v>
      </c>
      <c r="G211" s="31">
        <v>22686</v>
      </c>
    </row>
    <row r="212" spans="1:7" ht="17">
      <c r="A212" s="32">
        <v>2019</v>
      </c>
      <c r="B212" s="33">
        <v>1</v>
      </c>
      <c r="C212" s="34">
        <v>43504</v>
      </c>
      <c r="D212" s="33" t="s">
        <v>472</v>
      </c>
      <c r="E212" s="35">
        <v>114</v>
      </c>
      <c r="F212" s="27">
        <v>56</v>
      </c>
      <c r="G212" s="31">
        <v>6384</v>
      </c>
    </row>
    <row r="213" spans="1:7" ht="17">
      <c r="A213" s="32">
        <v>2019</v>
      </c>
      <c r="B213" s="33">
        <v>1</v>
      </c>
      <c r="C213" s="34">
        <v>43507</v>
      </c>
      <c r="D213" s="33" t="s">
        <v>472</v>
      </c>
      <c r="E213" s="35">
        <v>114</v>
      </c>
      <c r="F213" s="33">
        <v>47</v>
      </c>
      <c r="G213" s="31">
        <v>5358</v>
      </c>
    </row>
    <row r="214" spans="1:7" ht="17">
      <c r="A214" s="32">
        <v>2019</v>
      </c>
      <c r="B214" s="33">
        <v>1</v>
      </c>
      <c r="C214" s="34">
        <v>43509</v>
      </c>
      <c r="D214" s="33" t="s">
        <v>472</v>
      </c>
      <c r="E214" s="35">
        <v>114</v>
      </c>
      <c r="F214" s="33">
        <v>39</v>
      </c>
      <c r="G214" s="31">
        <v>4446</v>
      </c>
    </row>
    <row r="215" spans="1:7" ht="17">
      <c r="A215" s="32">
        <v>2019</v>
      </c>
      <c r="B215" s="33">
        <v>1</v>
      </c>
      <c r="C215" s="34">
        <v>43510</v>
      </c>
      <c r="D215" s="33" t="s">
        <v>472</v>
      </c>
      <c r="E215" s="35">
        <v>114</v>
      </c>
      <c r="F215" s="30">
        <v>107</v>
      </c>
      <c r="G215" s="31">
        <v>12198</v>
      </c>
    </row>
    <row r="216" spans="1:7" ht="17">
      <c r="A216" s="32">
        <v>2019</v>
      </c>
      <c r="B216" s="33">
        <v>1</v>
      </c>
      <c r="C216" s="34">
        <v>43514</v>
      </c>
      <c r="D216" s="33" t="s">
        <v>472</v>
      </c>
      <c r="E216" s="35">
        <v>114</v>
      </c>
      <c r="F216" s="36">
        <v>91</v>
      </c>
      <c r="G216" s="31">
        <v>10374</v>
      </c>
    </row>
    <row r="217" spans="1:7" ht="17">
      <c r="A217" s="32">
        <v>2019</v>
      </c>
      <c r="B217" s="33">
        <v>1</v>
      </c>
      <c r="C217" s="34">
        <v>43517</v>
      </c>
      <c r="D217" s="33" t="s">
        <v>472</v>
      </c>
      <c r="E217" s="35">
        <v>114</v>
      </c>
      <c r="F217" s="36">
        <v>79</v>
      </c>
      <c r="G217" s="31">
        <v>9006</v>
      </c>
    </row>
    <row r="218" spans="1:7" ht="17">
      <c r="A218" s="32">
        <v>2019</v>
      </c>
      <c r="B218" s="33">
        <v>1</v>
      </c>
      <c r="C218" s="34">
        <v>43521</v>
      </c>
      <c r="D218" s="33" t="s">
        <v>472</v>
      </c>
      <c r="E218" s="35">
        <v>114</v>
      </c>
      <c r="F218" s="27">
        <v>57</v>
      </c>
      <c r="G218" s="31">
        <v>6498</v>
      </c>
    </row>
    <row r="219" spans="1:7" ht="17">
      <c r="A219" s="32">
        <v>2019</v>
      </c>
      <c r="B219" s="33">
        <v>1</v>
      </c>
      <c r="C219" s="34">
        <v>43522</v>
      </c>
      <c r="D219" s="33" t="s">
        <v>472</v>
      </c>
      <c r="E219" s="35">
        <v>114</v>
      </c>
      <c r="F219" s="33">
        <v>60</v>
      </c>
      <c r="G219" s="31">
        <v>6840</v>
      </c>
    </row>
    <row r="220" spans="1:7" ht="17">
      <c r="A220" s="32">
        <v>2019</v>
      </c>
      <c r="B220" s="33">
        <v>1</v>
      </c>
      <c r="C220" s="34">
        <v>43523</v>
      </c>
      <c r="D220" s="33" t="s">
        <v>472</v>
      </c>
      <c r="E220" s="35">
        <v>114</v>
      </c>
      <c r="F220" s="33">
        <v>59</v>
      </c>
      <c r="G220" s="31">
        <v>6726</v>
      </c>
    </row>
    <row r="221" spans="1:7" ht="17">
      <c r="A221" s="32">
        <v>2019</v>
      </c>
      <c r="B221" s="33">
        <v>1</v>
      </c>
      <c r="C221" s="34">
        <v>43524</v>
      </c>
      <c r="D221" s="33" t="s">
        <v>472</v>
      </c>
      <c r="E221" s="35">
        <v>114</v>
      </c>
      <c r="F221" s="33">
        <v>41</v>
      </c>
      <c r="G221" s="31">
        <v>4674</v>
      </c>
    </row>
    <row r="222" spans="1:7" ht="17">
      <c r="A222" s="32">
        <v>2019</v>
      </c>
      <c r="B222" s="33">
        <v>1</v>
      </c>
      <c r="C222" s="34">
        <v>43525</v>
      </c>
      <c r="D222" s="33" t="s">
        <v>472</v>
      </c>
      <c r="E222" s="35">
        <v>114</v>
      </c>
      <c r="F222" s="30">
        <v>99</v>
      </c>
      <c r="G222" s="31">
        <v>11286</v>
      </c>
    </row>
    <row r="223" spans="1:7" ht="17">
      <c r="A223" s="32">
        <v>2019</v>
      </c>
      <c r="B223" s="33">
        <v>1</v>
      </c>
      <c r="C223" s="34">
        <v>43528</v>
      </c>
      <c r="D223" s="33" t="s">
        <v>472</v>
      </c>
      <c r="E223" s="35">
        <v>114</v>
      </c>
      <c r="F223" s="27">
        <v>47</v>
      </c>
      <c r="G223" s="31">
        <v>5358</v>
      </c>
    </row>
    <row r="224" spans="1:7" ht="17">
      <c r="A224" s="32">
        <v>2019</v>
      </c>
      <c r="B224" s="33">
        <v>1</v>
      </c>
      <c r="C224" s="34">
        <v>43529</v>
      </c>
      <c r="D224" s="33" t="s">
        <v>472</v>
      </c>
      <c r="E224" s="35">
        <v>114</v>
      </c>
      <c r="F224" s="33">
        <v>47</v>
      </c>
      <c r="G224" s="31">
        <v>5358</v>
      </c>
    </row>
    <row r="225" spans="1:7" ht="17">
      <c r="A225" s="32">
        <v>2019</v>
      </c>
      <c r="B225" s="33">
        <v>1</v>
      </c>
      <c r="C225" s="34">
        <v>43530</v>
      </c>
      <c r="D225" s="33" t="s">
        <v>472</v>
      </c>
      <c r="E225" s="35">
        <v>114</v>
      </c>
      <c r="F225" s="33">
        <v>39</v>
      </c>
      <c r="G225" s="31">
        <v>4446</v>
      </c>
    </row>
    <row r="226" spans="1:7" ht="17">
      <c r="A226" s="32">
        <v>2019</v>
      </c>
      <c r="B226" s="33">
        <v>1</v>
      </c>
      <c r="C226" s="34">
        <v>43531</v>
      </c>
      <c r="D226" s="33" t="s">
        <v>472</v>
      </c>
      <c r="E226" s="35">
        <v>114</v>
      </c>
      <c r="F226" s="33">
        <v>43</v>
      </c>
      <c r="G226" s="31">
        <v>4902</v>
      </c>
    </row>
    <row r="227" spans="1:7" ht="17">
      <c r="A227" s="32">
        <v>2019</v>
      </c>
      <c r="B227" s="33">
        <v>1</v>
      </c>
      <c r="C227" s="34">
        <v>43532</v>
      </c>
      <c r="D227" s="33" t="s">
        <v>472</v>
      </c>
      <c r="E227" s="35">
        <v>114</v>
      </c>
      <c r="F227" s="33">
        <v>55</v>
      </c>
      <c r="G227" s="31">
        <v>6270</v>
      </c>
    </row>
    <row r="228" spans="1:7" ht="17">
      <c r="A228" s="32">
        <v>2019</v>
      </c>
      <c r="B228" s="33">
        <v>1</v>
      </c>
      <c r="C228" s="34">
        <v>43535</v>
      </c>
      <c r="D228" s="33" t="s">
        <v>472</v>
      </c>
      <c r="E228" s="35">
        <v>114</v>
      </c>
      <c r="F228" s="33">
        <v>34</v>
      </c>
      <c r="G228" s="31">
        <v>3876</v>
      </c>
    </row>
    <row r="229" spans="1:7" ht="17">
      <c r="A229" s="32">
        <v>2019</v>
      </c>
      <c r="B229" s="33">
        <v>1</v>
      </c>
      <c r="C229" s="34">
        <v>43536</v>
      </c>
      <c r="D229" s="33" t="s">
        <v>472</v>
      </c>
      <c r="E229" s="35">
        <v>114</v>
      </c>
      <c r="F229" s="30">
        <v>152</v>
      </c>
      <c r="G229" s="31">
        <v>17328</v>
      </c>
    </row>
    <row r="230" spans="1:7" ht="17">
      <c r="A230" s="32">
        <v>2019</v>
      </c>
      <c r="B230" s="33">
        <v>1</v>
      </c>
      <c r="C230" s="34">
        <v>43538</v>
      </c>
      <c r="D230" s="33" t="s">
        <v>472</v>
      </c>
      <c r="E230" s="35">
        <v>114</v>
      </c>
      <c r="F230" s="27">
        <v>56</v>
      </c>
      <c r="G230" s="31">
        <v>6384</v>
      </c>
    </row>
    <row r="231" spans="1:7" ht="17">
      <c r="A231" s="32">
        <v>2019</v>
      </c>
      <c r="B231" s="33">
        <v>1</v>
      </c>
      <c r="C231" s="34">
        <v>43543</v>
      </c>
      <c r="D231" s="33" t="s">
        <v>472</v>
      </c>
      <c r="E231" s="35">
        <v>114</v>
      </c>
      <c r="F231" s="33">
        <v>52</v>
      </c>
      <c r="G231" s="31">
        <v>5928</v>
      </c>
    </row>
    <row r="232" spans="1:7" ht="17">
      <c r="A232" s="32">
        <v>2019</v>
      </c>
      <c r="B232" s="33">
        <v>1</v>
      </c>
      <c r="C232" s="34">
        <v>43544</v>
      </c>
      <c r="D232" s="33" t="s">
        <v>472</v>
      </c>
      <c r="E232" s="35">
        <v>114</v>
      </c>
      <c r="F232" s="33">
        <v>43</v>
      </c>
      <c r="G232" s="31">
        <v>4902</v>
      </c>
    </row>
    <row r="233" spans="1:7" ht="17">
      <c r="A233" s="32">
        <v>2019</v>
      </c>
      <c r="B233" s="33">
        <v>1</v>
      </c>
      <c r="C233" s="34">
        <v>43545</v>
      </c>
      <c r="D233" s="33" t="s">
        <v>472</v>
      </c>
      <c r="E233" s="35">
        <v>114</v>
      </c>
      <c r="F233" s="30">
        <v>93</v>
      </c>
      <c r="G233" s="31">
        <v>10602</v>
      </c>
    </row>
    <row r="234" spans="1:7" ht="17">
      <c r="A234" s="32">
        <v>2019</v>
      </c>
      <c r="B234" s="33">
        <v>1</v>
      </c>
      <c r="C234" s="34">
        <v>43546</v>
      </c>
      <c r="D234" s="33" t="s">
        <v>472</v>
      </c>
      <c r="E234" s="35">
        <v>114</v>
      </c>
      <c r="F234" s="36">
        <v>154</v>
      </c>
      <c r="G234" s="31">
        <v>17556</v>
      </c>
    </row>
    <row r="235" spans="1:7" ht="17">
      <c r="A235" s="32">
        <v>2019</v>
      </c>
      <c r="B235" s="33">
        <v>1</v>
      </c>
      <c r="C235" s="34">
        <v>43550</v>
      </c>
      <c r="D235" s="33" t="s">
        <v>472</v>
      </c>
      <c r="E235" s="35">
        <v>114</v>
      </c>
      <c r="F235" s="27">
        <v>37</v>
      </c>
      <c r="G235" s="31">
        <v>4218</v>
      </c>
    </row>
    <row r="236" spans="1:7" ht="17">
      <c r="A236" s="32">
        <v>2019</v>
      </c>
      <c r="B236" s="33">
        <v>1</v>
      </c>
      <c r="C236" s="34">
        <v>43551</v>
      </c>
      <c r="D236" s="33" t="s">
        <v>472</v>
      </c>
      <c r="E236" s="35">
        <v>114</v>
      </c>
      <c r="F236" s="33">
        <v>42</v>
      </c>
      <c r="G236" s="31">
        <v>4788</v>
      </c>
    </row>
    <row r="237" spans="1:7" ht="17">
      <c r="A237" s="32">
        <v>2019</v>
      </c>
      <c r="B237" s="33">
        <v>1</v>
      </c>
      <c r="C237" s="34">
        <v>43552</v>
      </c>
      <c r="D237" s="33" t="s">
        <v>472</v>
      </c>
      <c r="E237" s="35">
        <v>114</v>
      </c>
      <c r="F237" s="33">
        <v>34</v>
      </c>
      <c r="G237" s="31">
        <v>3876</v>
      </c>
    </row>
    <row r="238" spans="1:7" ht="17">
      <c r="A238" s="32">
        <v>2019</v>
      </c>
      <c r="B238" s="33">
        <v>1</v>
      </c>
      <c r="C238" s="34">
        <v>43553</v>
      </c>
      <c r="D238" s="33" t="s">
        <v>472</v>
      </c>
      <c r="E238" s="35">
        <v>114</v>
      </c>
      <c r="F238" s="33">
        <v>42</v>
      </c>
      <c r="G238" s="31">
        <v>4788</v>
      </c>
    </row>
    <row r="239" spans="1:7" ht="17">
      <c r="A239" s="32">
        <v>2019</v>
      </c>
      <c r="B239" s="33">
        <v>1</v>
      </c>
      <c r="C239" s="34">
        <v>43466</v>
      </c>
      <c r="D239" s="33" t="s">
        <v>474</v>
      </c>
      <c r="E239" s="35">
        <v>123</v>
      </c>
      <c r="F239" s="30">
        <v>81</v>
      </c>
      <c r="G239" s="31">
        <v>9963</v>
      </c>
    </row>
    <row r="240" spans="1:7" ht="17">
      <c r="A240" s="32">
        <v>2019</v>
      </c>
      <c r="B240" s="33">
        <v>1</v>
      </c>
      <c r="C240" s="34">
        <v>43468</v>
      </c>
      <c r="D240" s="33" t="s">
        <v>474</v>
      </c>
      <c r="E240" s="35">
        <v>123</v>
      </c>
      <c r="F240" s="36">
        <v>135</v>
      </c>
      <c r="G240" s="31">
        <v>16605</v>
      </c>
    </row>
    <row r="241" spans="1:7" ht="17">
      <c r="A241" s="32">
        <v>2019</v>
      </c>
      <c r="B241" s="33">
        <v>1</v>
      </c>
      <c r="C241" s="34">
        <v>43469</v>
      </c>
      <c r="D241" s="33" t="s">
        <v>474</v>
      </c>
      <c r="E241" s="35">
        <v>123</v>
      </c>
      <c r="F241" s="27">
        <v>45</v>
      </c>
      <c r="G241" s="31">
        <v>5535</v>
      </c>
    </row>
    <row r="242" spans="1:7" ht="17">
      <c r="A242" s="32">
        <v>2019</v>
      </c>
      <c r="B242" s="33">
        <v>1</v>
      </c>
      <c r="C242" s="34">
        <v>43472</v>
      </c>
      <c r="D242" s="33" t="s">
        <v>474</v>
      </c>
      <c r="E242" s="35">
        <v>123</v>
      </c>
      <c r="F242" s="30">
        <v>112</v>
      </c>
      <c r="G242" s="31">
        <v>13776</v>
      </c>
    </row>
    <row r="243" spans="1:7" ht="17">
      <c r="A243" s="32">
        <v>2019</v>
      </c>
      <c r="B243" s="33">
        <v>1</v>
      </c>
      <c r="C243" s="34">
        <v>43474</v>
      </c>
      <c r="D243" s="33" t="s">
        <v>474</v>
      </c>
      <c r="E243" s="35">
        <v>123</v>
      </c>
      <c r="F243" s="27">
        <v>32</v>
      </c>
      <c r="G243" s="31">
        <v>3936</v>
      </c>
    </row>
    <row r="244" spans="1:7" ht="17">
      <c r="A244" s="32">
        <v>2019</v>
      </c>
      <c r="B244" s="33">
        <v>1</v>
      </c>
      <c r="C244" s="34">
        <v>43475</v>
      </c>
      <c r="D244" s="33" t="s">
        <v>474</v>
      </c>
      <c r="E244" s="35">
        <v>123</v>
      </c>
      <c r="F244" s="33">
        <v>36</v>
      </c>
      <c r="G244" s="31">
        <v>4428</v>
      </c>
    </row>
    <row r="245" spans="1:7" ht="17">
      <c r="A245" s="32">
        <v>2019</v>
      </c>
      <c r="B245" s="33">
        <v>1</v>
      </c>
      <c r="C245" s="34">
        <v>43476</v>
      </c>
      <c r="D245" s="33" t="s">
        <v>474</v>
      </c>
      <c r="E245" s="35">
        <v>123</v>
      </c>
      <c r="F245" s="33">
        <v>46</v>
      </c>
      <c r="G245" s="31">
        <v>5658</v>
      </c>
    </row>
    <row r="246" spans="1:7" ht="17">
      <c r="A246" s="32">
        <v>2019</v>
      </c>
      <c r="B246" s="33">
        <v>1</v>
      </c>
      <c r="C246" s="34">
        <v>43479</v>
      </c>
      <c r="D246" s="33" t="s">
        <v>474</v>
      </c>
      <c r="E246" s="35">
        <v>123</v>
      </c>
      <c r="F246" s="30">
        <v>99</v>
      </c>
      <c r="G246" s="31">
        <v>12177</v>
      </c>
    </row>
    <row r="247" spans="1:7" ht="17">
      <c r="A247" s="32">
        <v>2019</v>
      </c>
      <c r="B247" s="33">
        <v>1</v>
      </c>
      <c r="C247" s="34">
        <v>43480</v>
      </c>
      <c r="D247" s="33" t="s">
        <v>474</v>
      </c>
      <c r="E247" s="35">
        <v>123</v>
      </c>
      <c r="F247" s="27">
        <v>32</v>
      </c>
      <c r="G247" s="31">
        <v>3936</v>
      </c>
    </row>
    <row r="248" spans="1:7" ht="17">
      <c r="A248" s="32">
        <v>2019</v>
      </c>
      <c r="B248" s="33">
        <v>1</v>
      </c>
      <c r="C248" s="34">
        <v>43483</v>
      </c>
      <c r="D248" s="33" t="s">
        <v>474</v>
      </c>
      <c r="E248" s="35">
        <v>123</v>
      </c>
      <c r="F248" s="30">
        <v>171</v>
      </c>
      <c r="G248" s="31">
        <v>21033</v>
      </c>
    </row>
    <row r="249" spans="1:7" ht="17">
      <c r="A249" s="32">
        <v>2019</v>
      </c>
      <c r="B249" s="33">
        <v>1</v>
      </c>
      <c r="C249" s="34">
        <v>43487</v>
      </c>
      <c r="D249" s="33" t="s">
        <v>474</v>
      </c>
      <c r="E249" s="35">
        <v>123</v>
      </c>
      <c r="F249" s="27">
        <v>45</v>
      </c>
      <c r="G249" s="31">
        <v>5535</v>
      </c>
    </row>
    <row r="250" spans="1:7" ht="17">
      <c r="A250" s="32">
        <v>2019</v>
      </c>
      <c r="B250" s="33">
        <v>1</v>
      </c>
      <c r="C250" s="34">
        <v>43488</v>
      </c>
      <c r="D250" s="33" t="s">
        <v>474</v>
      </c>
      <c r="E250" s="35">
        <v>123</v>
      </c>
      <c r="F250" s="33">
        <v>52</v>
      </c>
      <c r="G250" s="31">
        <v>6396</v>
      </c>
    </row>
    <row r="251" spans="1:7" ht="17">
      <c r="A251" s="32">
        <v>2019</v>
      </c>
      <c r="B251" s="33">
        <v>1</v>
      </c>
      <c r="C251" s="34">
        <v>43490</v>
      </c>
      <c r="D251" s="33" t="s">
        <v>474</v>
      </c>
      <c r="E251" s="35">
        <v>123</v>
      </c>
      <c r="F251" s="30">
        <v>132</v>
      </c>
      <c r="G251" s="31">
        <v>16236</v>
      </c>
    </row>
    <row r="252" spans="1:7" ht="17">
      <c r="A252" s="32">
        <v>2019</v>
      </c>
      <c r="B252" s="33">
        <v>1</v>
      </c>
      <c r="C252" s="34">
        <v>43493</v>
      </c>
      <c r="D252" s="33" t="s">
        <v>474</v>
      </c>
      <c r="E252" s="35">
        <v>123</v>
      </c>
      <c r="F252" s="36">
        <v>140</v>
      </c>
      <c r="G252" s="31">
        <v>17220</v>
      </c>
    </row>
    <row r="253" spans="1:7" ht="17">
      <c r="A253" s="32">
        <v>2019</v>
      </c>
      <c r="B253" s="33">
        <v>1</v>
      </c>
      <c r="C253" s="34">
        <v>43494</v>
      </c>
      <c r="D253" s="33" t="s">
        <v>474</v>
      </c>
      <c r="E253" s="35">
        <v>123</v>
      </c>
      <c r="F253" s="36">
        <v>85</v>
      </c>
      <c r="G253" s="31">
        <v>10455</v>
      </c>
    </row>
    <row r="254" spans="1:7" ht="17">
      <c r="A254" s="32">
        <v>2019</v>
      </c>
      <c r="B254" s="33">
        <v>1</v>
      </c>
      <c r="C254" s="34">
        <v>43495</v>
      </c>
      <c r="D254" s="33" t="s">
        <v>474</v>
      </c>
      <c r="E254" s="35">
        <v>123</v>
      </c>
      <c r="F254" s="27">
        <v>31</v>
      </c>
      <c r="G254" s="31">
        <v>3813</v>
      </c>
    </row>
    <row r="255" spans="1:7" ht="17">
      <c r="A255" s="32">
        <v>2019</v>
      </c>
      <c r="B255" s="33">
        <v>1</v>
      </c>
      <c r="C255" s="34">
        <v>43496</v>
      </c>
      <c r="D255" s="33" t="s">
        <v>474</v>
      </c>
      <c r="E255" s="35">
        <v>123</v>
      </c>
      <c r="F255" s="33">
        <v>33</v>
      </c>
      <c r="G255" s="31">
        <v>4059</v>
      </c>
    </row>
    <row r="256" spans="1:7" ht="17">
      <c r="A256" s="32">
        <v>2019</v>
      </c>
      <c r="B256" s="33">
        <v>1</v>
      </c>
      <c r="C256" s="34">
        <v>43500</v>
      </c>
      <c r="D256" s="33" t="s">
        <v>474</v>
      </c>
      <c r="E256" s="35">
        <v>123</v>
      </c>
      <c r="F256" s="33">
        <v>41</v>
      </c>
      <c r="G256" s="31">
        <v>5043</v>
      </c>
    </row>
    <row r="257" spans="1:7" ht="17">
      <c r="A257" s="32">
        <v>2019</v>
      </c>
      <c r="B257" s="33">
        <v>1</v>
      </c>
      <c r="C257" s="34">
        <v>43501</v>
      </c>
      <c r="D257" s="33" t="s">
        <v>474</v>
      </c>
      <c r="E257" s="35">
        <v>123</v>
      </c>
      <c r="F257" s="30">
        <v>89</v>
      </c>
      <c r="G257" s="31">
        <v>10947</v>
      </c>
    </row>
    <row r="258" spans="1:7" ht="17">
      <c r="A258" s="32">
        <v>2019</v>
      </c>
      <c r="B258" s="33">
        <v>1</v>
      </c>
      <c r="C258" s="34">
        <v>43502</v>
      </c>
      <c r="D258" s="33" t="s">
        <v>474</v>
      </c>
      <c r="E258" s="35">
        <v>123</v>
      </c>
      <c r="F258" s="36">
        <v>123</v>
      </c>
      <c r="G258" s="31">
        <v>15129</v>
      </c>
    </row>
    <row r="259" spans="1:7" ht="17">
      <c r="A259" s="32">
        <v>2019</v>
      </c>
      <c r="B259" s="33">
        <v>1</v>
      </c>
      <c r="C259" s="34">
        <v>43503</v>
      </c>
      <c r="D259" s="33" t="s">
        <v>474</v>
      </c>
      <c r="E259" s="35">
        <v>123</v>
      </c>
      <c r="F259" s="27">
        <v>31</v>
      </c>
      <c r="G259" s="31">
        <v>3813</v>
      </c>
    </row>
    <row r="260" spans="1:7" ht="17">
      <c r="A260" s="32">
        <v>2019</v>
      </c>
      <c r="B260" s="33">
        <v>1</v>
      </c>
      <c r="C260" s="34">
        <v>43504</v>
      </c>
      <c r="D260" s="33" t="s">
        <v>474</v>
      </c>
      <c r="E260" s="35">
        <v>123</v>
      </c>
      <c r="F260" s="30">
        <v>82</v>
      </c>
      <c r="G260" s="31">
        <v>10086</v>
      </c>
    </row>
    <row r="261" spans="1:7" ht="17">
      <c r="A261" s="32">
        <v>2019</v>
      </c>
      <c r="B261" s="33">
        <v>1</v>
      </c>
      <c r="C261" s="34">
        <v>43508</v>
      </c>
      <c r="D261" s="33" t="s">
        <v>474</v>
      </c>
      <c r="E261" s="35">
        <v>123</v>
      </c>
      <c r="F261" s="36">
        <v>93</v>
      </c>
      <c r="G261" s="31">
        <v>11439</v>
      </c>
    </row>
    <row r="262" spans="1:7" ht="17">
      <c r="A262" s="32">
        <v>2019</v>
      </c>
      <c r="B262" s="33">
        <v>1</v>
      </c>
      <c r="C262" s="34">
        <v>43509</v>
      </c>
      <c r="D262" s="33" t="s">
        <v>474</v>
      </c>
      <c r="E262" s="35">
        <v>123</v>
      </c>
      <c r="F262" s="36">
        <v>89</v>
      </c>
      <c r="G262" s="31">
        <v>10947</v>
      </c>
    </row>
    <row r="263" spans="1:7" ht="17">
      <c r="A263" s="32">
        <v>2019</v>
      </c>
      <c r="B263" s="33">
        <v>1</v>
      </c>
      <c r="C263" s="34">
        <v>43510</v>
      </c>
      <c r="D263" s="33" t="s">
        <v>474</v>
      </c>
      <c r="E263" s="35">
        <v>123</v>
      </c>
      <c r="F263" s="36">
        <v>88</v>
      </c>
      <c r="G263" s="31">
        <v>10824</v>
      </c>
    </row>
    <row r="264" spans="1:7" ht="17">
      <c r="A264" s="32">
        <v>2019</v>
      </c>
      <c r="B264" s="33">
        <v>1</v>
      </c>
      <c r="C264" s="34">
        <v>43511</v>
      </c>
      <c r="D264" s="33" t="s">
        <v>474</v>
      </c>
      <c r="E264" s="35">
        <v>123</v>
      </c>
      <c r="F264" s="36">
        <v>115</v>
      </c>
      <c r="G264" s="31">
        <v>14145</v>
      </c>
    </row>
    <row r="265" spans="1:7" ht="17">
      <c r="A265" s="32">
        <v>2019</v>
      </c>
      <c r="B265" s="33">
        <v>1</v>
      </c>
      <c r="C265" s="34">
        <v>43517</v>
      </c>
      <c r="D265" s="33" t="s">
        <v>474</v>
      </c>
      <c r="E265" s="35">
        <v>123</v>
      </c>
      <c r="F265" s="27">
        <v>40</v>
      </c>
      <c r="G265" s="31">
        <v>4920</v>
      </c>
    </row>
    <row r="266" spans="1:7" ht="17">
      <c r="A266" s="32">
        <v>2019</v>
      </c>
      <c r="B266" s="33">
        <v>1</v>
      </c>
      <c r="C266" s="34">
        <v>43522</v>
      </c>
      <c r="D266" s="33" t="s">
        <v>474</v>
      </c>
      <c r="E266" s="35">
        <v>123</v>
      </c>
      <c r="F266" s="30">
        <v>94</v>
      </c>
      <c r="G266" s="31">
        <v>11562</v>
      </c>
    </row>
    <row r="267" spans="1:7" ht="17">
      <c r="A267" s="32">
        <v>2019</v>
      </c>
      <c r="B267" s="33">
        <v>1</v>
      </c>
      <c r="C267" s="34">
        <v>43523</v>
      </c>
      <c r="D267" s="33" t="s">
        <v>474</v>
      </c>
      <c r="E267" s="35">
        <v>123</v>
      </c>
      <c r="F267" s="27">
        <v>31</v>
      </c>
      <c r="G267" s="31">
        <v>3813</v>
      </c>
    </row>
    <row r="268" spans="1:7" ht="17">
      <c r="A268" s="32">
        <v>2019</v>
      </c>
      <c r="B268" s="33">
        <v>1</v>
      </c>
      <c r="C268" s="34">
        <v>43525</v>
      </c>
      <c r="D268" s="33" t="s">
        <v>474</v>
      </c>
      <c r="E268" s="35">
        <v>123</v>
      </c>
      <c r="F268" s="33">
        <v>52</v>
      </c>
      <c r="G268" s="31">
        <v>6396</v>
      </c>
    </row>
    <row r="269" spans="1:7" ht="17">
      <c r="A269" s="32">
        <v>2019</v>
      </c>
      <c r="B269" s="33">
        <v>1</v>
      </c>
      <c r="C269" s="34">
        <v>43528</v>
      </c>
      <c r="D269" s="33" t="s">
        <v>474</v>
      </c>
      <c r="E269" s="35">
        <v>123</v>
      </c>
      <c r="F269" s="33">
        <v>40</v>
      </c>
      <c r="G269" s="31">
        <v>4920</v>
      </c>
    </row>
    <row r="270" spans="1:7" ht="17">
      <c r="A270" s="32">
        <v>2019</v>
      </c>
      <c r="B270" s="33">
        <v>1</v>
      </c>
      <c r="C270" s="34">
        <v>43532</v>
      </c>
      <c r="D270" s="33" t="s">
        <v>474</v>
      </c>
      <c r="E270" s="35">
        <v>123</v>
      </c>
      <c r="F270" s="33">
        <v>38</v>
      </c>
      <c r="G270" s="31">
        <v>4674</v>
      </c>
    </row>
    <row r="271" spans="1:7" ht="17">
      <c r="A271" s="32">
        <v>2019</v>
      </c>
      <c r="B271" s="33">
        <v>1</v>
      </c>
      <c r="C271" s="34">
        <v>43536</v>
      </c>
      <c r="D271" s="33" t="s">
        <v>474</v>
      </c>
      <c r="E271" s="35">
        <v>123</v>
      </c>
      <c r="F271" s="33">
        <v>48</v>
      </c>
      <c r="G271" s="31">
        <v>5904</v>
      </c>
    </row>
    <row r="272" spans="1:7" ht="17">
      <c r="A272" s="32">
        <v>2019</v>
      </c>
      <c r="B272" s="33">
        <v>1</v>
      </c>
      <c r="C272" s="34">
        <v>43538</v>
      </c>
      <c r="D272" s="33" t="s">
        <v>474</v>
      </c>
      <c r="E272" s="35">
        <v>123</v>
      </c>
      <c r="F272" s="33">
        <v>40</v>
      </c>
      <c r="G272" s="31">
        <v>4920</v>
      </c>
    </row>
    <row r="273" spans="1:7" ht="17">
      <c r="A273" s="32">
        <v>2019</v>
      </c>
      <c r="B273" s="33">
        <v>1</v>
      </c>
      <c r="C273" s="34">
        <v>43539</v>
      </c>
      <c r="D273" s="33" t="s">
        <v>474</v>
      </c>
      <c r="E273" s="35">
        <v>123</v>
      </c>
      <c r="F273" s="33">
        <v>35</v>
      </c>
      <c r="G273" s="31">
        <v>4305</v>
      </c>
    </row>
    <row r="274" spans="1:7" ht="17">
      <c r="A274" s="32">
        <v>2019</v>
      </c>
      <c r="B274" s="33">
        <v>1</v>
      </c>
      <c r="C274" s="34">
        <v>43543</v>
      </c>
      <c r="D274" s="33" t="s">
        <v>474</v>
      </c>
      <c r="E274" s="35">
        <v>123</v>
      </c>
      <c r="F274" s="30">
        <v>136</v>
      </c>
      <c r="G274" s="31">
        <v>16728</v>
      </c>
    </row>
    <row r="275" spans="1:7" ht="17">
      <c r="A275" s="32">
        <v>2019</v>
      </c>
      <c r="B275" s="33">
        <v>1</v>
      </c>
      <c r="C275" s="34">
        <v>43544</v>
      </c>
      <c r="D275" s="33" t="s">
        <v>474</v>
      </c>
      <c r="E275" s="35">
        <v>123</v>
      </c>
      <c r="F275" s="27">
        <v>37</v>
      </c>
      <c r="G275" s="31">
        <v>4551</v>
      </c>
    </row>
    <row r="276" spans="1:7" ht="17">
      <c r="A276" s="32">
        <v>2019</v>
      </c>
      <c r="B276" s="33">
        <v>1</v>
      </c>
      <c r="C276" s="34">
        <v>43545</v>
      </c>
      <c r="D276" s="33" t="s">
        <v>474</v>
      </c>
      <c r="E276" s="35">
        <v>123</v>
      </c>
      <c r="F276" s="30">
        <v>76</v>
      </c>
      <c r="G276" s="31">
        <v>9348</v>
      </c>
    </row>
    <row r="277" spans="1:7" ht="17">
      <c r="A277" s="32">
        <v>2019</v>
      </c>
      <c r="B277" s="33">
        <v>1</v>
      </c>
      <c r="C277" s="34">
        <v>43546</v>
      </c>
      <c r="D277" s="33" t="s">
        <v>474</v>
      </c>
      <c r="E277" s="35">
        <v>123</v>
      </c>
      <c r="F277" s="27">
        <v>42</v>
      </c>
      <c r="G277" s="31">
        <v>5166</v>
      </c>
    </row>
    <row r="278" spans="1:7" ht="17">
      <c r="A278" s="32">
        <v>2019</v>
      </c>
      <c r="B278" s="33">
        <v>1</v>
      </c>
      <c r="C278" s="34">
        <v>43552</v>
      </c>
      <c r="D278" s="33" t="s">
        <v>474</v>
      </c>
      <c r="E278" s="35">
        <v>123</v>
      </c>
      <c r="F278" s="30">
        <v>147</v>
      </c>
      <c r="G278" s="31">
        <v>18081</v>
      </c>
    </row>
    <row r="279" spans="1:7" ht="17">
      <c r="A279" s="32">
        <v>2019</v>
      </c>
      <c r="B279" s="33">
        <v>1</v>
      </c>
      <c r="C279" s="34">
        <v>43553</v>
      </c>
      <c r="D279" s="33" t="s">
        <v>474</v>
      </c>
      <c r="E279" s="35">
        <v>123</v>
      </c>
      <c r="F279" s="36">
        <v>178</v>
      </c>
      <c r="G279" s="31">
        <v>21894</v>
      </c>
    </row>
  </sheetData>
  <autoFilter ref="A4:G4" xr:uid="{B4CE9695-885D-42EA-A3B2-7E14733B7099}"/>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393B7-8853-43BE-A52A-5126A596D67D}">
  <dimension ref="A1:E23"/>
  <sheetViews>
    <sheetView workbookViewId="0">
      <selection activeCell="D15" sqref="D15"/>
    </sheetView>
  </sheetViews>
  <sheetFormatPr baseColWidth="10" defaultColWidth="8.83203125" defaultRowHeight="15"/>
  <cols>
    <col min="1" max="1" width="12.83203125" bestFit="1" customWidth="1"/>
    <col min="2" max="2" width="11.83203125" bestFit="1" customWidth="1"/>
    <col min="3" max="3" width="15.83203125" bestFit="1" customWidth="1"/>
    <col min="4" max="4" width="24.5" style="49" bestFit="1" customWidth="1"/>
    <col min="5" max="5" width="36.33203125" style="49" bestFit="1" customWidth="1"/>
    <col min="6" max="12" width="3.33203125" bestFit="1" customWidth="1"/>
    <col min="13" max="13" width="9" customWidth="1"/>
    <col min="14" max="14" width="12.83203125" customWidth="1"/>
    <col min="15" max="68" width="3.33203125" bestFit="1" customWidth="1"/>
    <col min="69" max="123" width="4.5" bestFit="1" customWidth="1"/>
    <col min="124" max="124" width="11.6640625" bestFit="1" customWidth="1"/>
  </cols>
  <sheetData>
    <row r="1" spans="1:5">
      <c r="A1" t="s">
        <v>506</v>
      </c>
    </row>
    <row r="2" spans="1:5">
      <c r="B2" t="s">
        <v>507</v>
      </c>
    </row>
    <row r="4" spans="1:5">
      <c r="A4" s="40" t="s">
        <v>500</v>
      </c>
      <c r="B4" s="40" t="s">
        <v>501</v>
      </c>
      <c r="C4" s="40" t="s">
        <v>461</v>
      </c>
      <c r="D4" s="49" t="s">
        <v>508</v>
      </c>
      <c r="E4" s="49" t="s">
        <v>509</v>
      </c>
    </row>
    <row r="5" spans="1:5">
      <c r="A5">
        <v>2018</v>
      </c>
      <c r="B5">
        <v>4</v>
      </c>
      <c r="C5" t="s">
        <v>470</v>
      </c>
      <c r="D5" s="50">
        <v>94.057692307692307</v>
      </c>
      <c r="E5" s="50">
        <v>11098.807692307691</v>
      </c>
    </row>
    <row r="6" spans="1:5">
      <c r="C6" t="s">
        <v>472</v>
      </c>
      <c r="D6" s="50">
        <v>82.466666666666669</v>
      </c>
      <c r="E6" s="50">
        <v>9401.2000000000007</v>
      </c>
    </row>
    <row r="7" spans="1:5">
      <c r="C7" t="s">
        <v>474</v>
      </c>
      <c r="D7" s="50">
        <v>74.226415094339629</v>
      </c>
      <c r="E7" s="50">
        <v>9129.8490566037744</v>
      </c>
    </row>
    <row r="8" spans="1:5">
      <c r="B8" t="s">
        <v>510</v>
      </c>
      <c r="D8" s="50">
        <v>83.573333333333338</v>
      </c>
      <c r="E8" s="50">
        <v>9893.8266666666659</v>
      </c>
    </row>
    <row r="9" spans="1:5">
      <c r="A9">
        <v>2019</v>
      </c>
      <c r="B9">
        <v>1</v>
      </c>
      <c r="C9" t="s">
        <v>470</v>
      </c>
      <c r="D9" s="50">
        <v>98.15789473684211</v>
      </c>
      <c r="E9" s="50">
        <v>11582.631578947368</v>
      </c>
    </row>
    <row r="10" spans="1:5">
      <c r="C10" t="s">
        <v>472</v>
      </c>
      <c r="D10" s="50">
        <v>79.934782608695656</v>
      </c>
      <c r="E10" s="50">
        <v>9112.565217391304</v>
      </c>
    </row>
    <row r="11" spans="1:5">
      <c r="C11" t="s">
        <v>474</v>
      </c>
      <c r="D11" s="50">
        <v>75.41463414634147</v>
      </c>
      <c r="E11" s="50">
        <v>9276</v>
      </c>
    </row>
    <row r="12" spans="1:5">
      <c r="B12" t="s">
        <v>511</v>
      </c>
      <c r="D12" s="49">
        <v>83.992000000000004</v>
      </c>
      <c r="E12" s="50">
        <v>9917.0720000000001</v>
      </c>
    </row>
    <row r="13" spans="1:5">
      <c r="D13"/>
      <c r="E13"/>
    </row>
    <row r="14" spans="1:5">
      <c r="D14"/>
      <c r="E14"/>
    </row>
    <row r="16" spans="1:5">
      <c r="D16"/>
      <c r="E16"/>
    </row>
    <row r="17" spans="3:5">
      <c r="C17" s="109" t="s">
        <v>461</v>
      </c>
      <c r="D17" s="110" t="s">
        <v>508</v>
      </c>
      <c r="E17"/>
    </row>
    <row r="18" spans="3:5">
      <c r="C18" s="111" t="s">
        <v>512</v>
      </c>
      <c r="D18" s="112">
        <f>(D5+D9)/2</f>
        <v>96.107793522267201</v>
      </c>
      <c r="E18"/>
    </row>
    <row r="19" spans="3:5">
      <c r="C19" s="105" t="s">
        <v>513</v>
      </c>
      <c r="D19" s="106">
        <f>(D6+D10)/2</f>
        <v>81.200724637681162</v>
      </c>
      <c r="E19"/>
    </row>
    <row r="20" spans="3:5">
      <c r="C20" s="107" t="s">
        <v>514</v>
      </c>
      <c r="D20" s="108">
        <f>(D7+D11)/2</f>
        <v>74.820524620340549</v>
      </c>
      <c r="E20"/>
    </row>
    <row r="21" spans="3:5">
      <c r="D21"/>
      <c r="E21"/>
    </row>
    <row r="22" spans="3:5">
      <c r="D22"/>
      <c r="E22"/>
    </row>
    <row r="23" spans="3:5">
      <c r="D23"/>
      <c r="E23"/>
    </row>
  </sheetData>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F1634-4C46-43C1-A005-F23883792FE7}">
  <dimension ref="A1:O86"/>
  <sheetViews>
    <sheetView topLeftCell="H1" workbookViewId="0">
      <selection activeCell="O4" sqref="O4:O8"/>
    </sheetView>
  </sheetViews>
  <sheetFormatPr baseColWidth="10" defaultColWidth="8.83203125" defaultRowHeight="15"/>
  <cols>
    <col min="1" max="1" width="9.1640625" bestFit="1" customWidth="1"/>
    <col min="2" max="2" width="11.5" bestFit="1" customWidth="1"/>
    <col min="3" max="3" width="9.83203125" bestFit="1" customWidth="1"/>
    <col min="4" max="4" width="22.6640625" bestFit="1" customWidth="1"/>
    <col min="5" max="5" width="15.6640625" bestFit="1" customWidth="1"/>
    <col min="6" max="6" width="45" customWidth="1"/>
    <col min="9" max="10" width="12" bestFit="1" customWidth="1"/>
    <col min="11" max="11" width="10.5" bestFit="1" customWidth="1"/>
    <col min="12" max="12" width="9.5" bestFit="1" customWidth="1"/>
    <col min="13" max="13" width="13.6640625" bestFit="1" customWidth="1"/>
    <col min="14" max="14" width="38.5" bestFit="1" customWidth="1"/>
    <col min="15" max="15" width="34.83203125" bestFit="1" customWidth="1"/>
  </cols>
  <sheetData>
    <row r="1" spans="1:15">
      <c r="A1" t="s">
        <v>515</v>
      </c>
    </row>
    <row r="2" spans="1:15">
      <c r="A2" s="49" t="s">
        <v>516</v>
      </c>
    </row>
    <row r="3" spans="1:15">
      <c r="A3" s="52" t="s">
        <v>517</v>
      </c>
      <c r="B3" s="52" t="s">
        <v>1</v>
      </c>
      <c r="C3" s="52" t="s">
        <v>518</v>
      </c>
      <c r="D3" s="52" t="s">
        <v>519</v>
      </c>
      <c r="E3" s="52" t="s">
        <v>520</v>
      </c>
      <c r="F3" s="52" t="s">
        <v>82</v>
      </c>
      <c r="G3" s="52" t="s">
        <v>521</v>
      </c>
      <c r="H3" s="52" t="s">
        <v>522</v>
      </c>
      <c r="I3" s="52" t="s">
        <v>523</v>
      </c>
      <c r="J3" s="52" t="s">
        <v>524</v>
      </c>
      <c r="K3" s="52" t="s">
        <v>525</v>
      </c>
      <c r="L3" s="52" t="s">
        <v>526</v>
      </c>
      <c r="M3" s="117" t="s">
        <v>527</v>
      </c>
      <c r="N3" s="116" t="s">
        <v>528</v>
      </c>
      <c r="O3" s="116" t="s">
        <v>529</v>
      </c>
    </row>
    <row r="4" spans="1:15">
      <c r="A4" s="159">
        <v>1</v>
      </c>
      <c r="B4" s="162">
        <v>42009</v>
      </c>
      <c r="C4" s="163">
        <v>1236479</v>
      </c>
      <c r="D4" s="165" t="s">
        <v>115</v>
      </c>
      <c r="E4" s="57" t="s">
        <v>530</v>
      </c>
      <c r="F4" s="57" t="s">
        <v>531</v>
      </c>
      <c r="G4" s="57">
        <v>12467</v>
      </c>
      <c r="H4" s="57">
        <v>26.43</v>
      </c>
      <c r="I4" s="77">
        <v>329502.81</v>
      </c>
      <c r="J4" s="160">
        <v>350592.13</v>
      </c>
      <c r="K4" s="160">
        <v>134843.13</v>
      </c>
      <c r="L4" s="160">
        <v>53937.25</v>
      </c>
      <c r="M4" s="161">
        <v>3236235</v>
      </c>
      <c r="N4" s="175" t="s">
        <v>532</v>
      </c>
      <c r="O4" s="177" t="s">
        <v>533</v>
      </c>
    </row>
    <row r="5" spans="1:15">
      <c r="A5" s="159"/>
      <c r="B5" s="162"/>
      <c r="C5" s="163"/>
      <c r="D5" s="165"/>
      <c r="E5" s="57" t="s">
        <v>534</v>
      </c>
      <c r="F5" s="57" t="s">
        <v>535</v>
      </c>
      <c r="G5" s="57">
        <v>2346</v>
      </c>
      <c r="H5" s="57">
        <v>49.44</v>
      </c>
      <c r="I5" s="77">
        <v>115986.24000000001</v>
      </c>
      <c r="J5" s="160"/>
      <c r="K5" s="160"/>
      <c r="L5" s="160"/>
      <c r="M5" s="161"/>
      <c r="N5" s="175"/>
      <c r="O5" s="177"/>
    </row>
    <row r="6" spans="1:15">
      <c r="A6" s="159"/>
      <c r="B6" s="162"/>
      <c r="C6" s="163"/>
      <c r="D6" s="165"/>
      <c r="E6" s="57" t="s">
        <v>536</v>
      </c>
      <c r="F6" s="57" t="s">
        <v>537</v>
      </c>
      <c r="G6" s="57">
        <v>23499</v>
      </c>
      <c r="H6" s="57">
        <v>22.19</v>
      </c>
      <c r="I6" s="77">
        <v>521442.81</v>
      </c>
      <c r="J6" s="160"/>
      <c r="K6" s="160"/>
      <c r="L6" s="160"/>
      <c r="M6" s="161"/>
      <c r="N6" s="175"/>
      <c r="O6" s="177"/>
    </row>
    <row r="7" spans="1:15">
      <c r="A7" s="159"/>
      <c r="B7" s="162"/>
      <c r="C7" s="163"/>
      <c r="D7" s="165"/>
      <c r="E7" s="57" t="s">
        <v>116</v>
      </c>
      <c r="F7" s="57" t="s">
        <v>117</v>
      </c>
      <c r="G7" s="57">
        <v>43647</v>
      </c>
      <c r="H7" s="57">
        <v>38.15</v>
      </c>
      <c r="I7" s="77">
        <v>1665133.05</v>
      </c>
      <c r="J7" s="160"/>
      <c r="K7" s="160"/>
      <c r="L7" s="160"/>
      <c r="M7" s="161"/>
      <c r="N7" s="175"/>
      <c r="O7" s="177"/>
    </row>
    <row r="8" spans="1:15">
      <c r="A8" s="159"/>
      <c r="B8" s="162"/>
      <c r="C8" s="164"/>
      <c r="D8" s="165"/>
      <c r="E8" s="57" t="s">
        <v>538</v>
      </c>
      <c r="F8" s="57" t="s">
        <v>539</v>
      </c>
      <c r="G8" s="57">
        <v>1243</v>
      </c>
      <c r="H8" s="57">
        <v>52.13</v>
      </c>
      <c r="I8" s="77">
        <v>64797.59</v>
      </c>
      <c r="J8" s="160"/>
      <c r="K8" s="160"/>
      <c r="L8" s="160"/>
      <c r="M8" s="161"/>
      <c r="N8" s="176"/>
      <c r="O8" s="178"/>
    </row>
    <row r="9" spans="1:15">
      <c r="A9" s="159">
        <v>2</v>
      </c>
      <c r="B9" s="170">
        <v>42009</v>
      </c>
      <c r="C9" s="169">
        <v>1236479</v>
      </c>
      <c r="D9" s="168" t="s">
        <v>540</v>
      </c>
      <c r="E9" s="57" t="s">
        <v>541</v>
      </c>
      <c r="F9" s="76" t="s">
        <v>542</v>
      </c>
      <c r="G9" s="57">
        <v>2349</v>
      </c>
      <c r="H9" s="57">
        <v>0.89</v>
      </c>
      <c r="I9" s="77">
        <v>2090.61</v>
      </c>
      <c r="J9" s="160">
        <v>57440.77</v>
      </c>
      <c r="K9" s="160">
        <v>2541.63</v>
      </c>
      <c r="L9" s="160">
        <v>1016.65</v>
      </c>
      <c r="M9" s="166">
        <v>111831.59</v>
      </c>
      <c r="N9" s="175" t="s">
        <v>543</v>
      </c>
      <c r="O9" s="177" t="s">
        <v>544</v>
      </c>
    </row>
    <row r="10" spans="1:15">
      <c r="A10" s="159"/>
      <c r="B10" s="170"/>
      <c r="C10" s="169"/>
      <c r="D10" s="168"/>
      <c r="E10" s="57" t="s">
        <v>111</v>
      </c>
      <c r="F10" s="76" t="s">
        <v>545</v>
      </c>
      <c r="G10" s="57">
        <v>32798</v>
      </c>
      <c r="H10" s="57">
        <v>0.56999999999999995</v>
      </c>
      <c r="I10" s="77">
        <v>18694.86</v>
      </c>
      <c r="J10" s="160"/>
      <c r="K10" s="160"/>
      <c r="L10" s="160"/>
      <c r="M10" s="166"/>
      <c r="N10" s="175"/>
      <c r="O10" s="177"/>
    </row>
    <row r="11" spans="1:15">
      <c r="A11" s="159"/>
      <c r="B11" s="170"/>
      <c r="C11" s="169"/>
      <c r="D11" s="168"/>
      <c r="E11" s="57" t="s">
        <v>546</v>
      </c>
      <c r="F11" s="76" t="s">
        <v>547</v>
      </c>
      <c r="G11" s="57">
        <v>12649</v>
      </c>
      <c r="H11" s="57">
        <v>0.98</v>
      </c>
      <c r="I11" s="77">
        <v>12396.02</v>
      </c>
      <c r="J11" s="160"/>
      <c r="K11" s="160"/>
      <c r="L11" s="160"/>
      <c r="M11" s="166"/>
      <c r="N11" s="175"/>
      <c r="O11" s="177"/>
    </row>
    <row r="12" spans="1:15">
      <c r="A12" s="159"/>
      <c r="B12" s="170"/>
      <c r="C12" s="169"/>
      <c r="D12" s="168"/>
      <c r="E12" s="57" t="s">
        <v>548</v>
      </c>
      <c r="F12" s="76" t="s">
        <v>549</v>
      </c>
      <c r="G12" s="57">
        <v>6494</v>
      </c>
      <c r="H12" s="57">
        <v>0.45</v>
      </c>
      <c r="I12" s="77">
        <v>2922.3</v>
      </c>
      <c r="J12" s="160"/>
      <c r="K12" s="160"/>
      <c r="L12" s="160"/>
      <c r="M12" s="166"/>
      <c r="N12" s="175"/>
      <c r="O12" s="177"/>
    </row>
    <row r="13" spans="1:15">
      <c r="A13" s="159"/>
      <c r="B13" s="170"/>
      <c r="C13" s="169"/>
      <c r="D13" s="168"/>
      <c r="E13" s="57" t="s">
        <v>113</v>
      </c>
      <c r="F13" s="76" t="s">
        <v>114</v>
      </c>
      <c r="G13" s="57">
        <v>46795</v>
      </c>
      <c r="H13" s="57">
        <v>0.31</v>
      </c>
      <c r="I13" s="77">
        <v>14506.45</v>
      </c>
      <c r="J13" s="160"/>
      <c r="K13" s="160"/>
      <c r="L13" s="160"/>
      <c r="M13" s="166"/>
      <c r="N13" s="175"/>
      <c r="O13" s="177"/>
    </row>
    <row r="14" spans="1:15">
      <c r="A14" s="159"/>
      <c r="B14" s="170"/>
      <c r="C14" s="169"/>
      <c r="D14" s="168"/>
      <c r="E14" s="57" t="s">
        <v>550</v>
      </c>
      <c r="F14" s="76" t="s">
        <v>551</v>
      </c>
      <c r="G14" s="57">
        <v>234</v>
      </c>
      <c r="H14" s="57">
        <v>0.95</v>
      </c>
      <c r="I14" s="77">
        <v>222.3</v>
      </c>
      <c r="J14" s="160"/>
      <c r="K14" s="160"/>
      <c r="L14" s="160"/>
      <c r="M14" s="167"/>
      <c r="N14" s="176"/>
      <c r="O14" s="178"/>
    </row>
    <row r="15" spans="1:15">
      <c r="A15" s="159">
        <v>3</v>
      </c>
      <c r="B15" s="170">
        <v>42009</v>
      </c>
      <c r="C15" s="169">
        <v>332232</v>
      </c>
      <c r="D15" s="168" t="s">
        <v>98</v>
      </c>
      <c r="E15" s="57" t="s">
        <v>552</v>
      </c>
      <c r="F15" s="76" t="s">
        <v>100</v>
      </c>
      <c r="G15" s="57">
        <v>4731</v>
      </c>
      <c r="H15" s="57">
        <v>12.21</v>
      </c>
      <c r="I15" s="77">
        <v>57765.51</v>
      </c>
      <c r="J15" s="160">
        <v>1155014.6599999999</v>
      </c>
      <c r="K15" s="160">
        <v>51106.84</v>
      </c>
      <c r="L15" s="160">
        <v>20442.740000000002</v>
      </c>
      <c r="M15" s="166">
        <v>2248701.11</v>
      </c>
      <c r="N15" s="175" t="s">
        <v>553</v>
      </c>
      <c r="O15" s="177" t="s">
        <v>554</v>
      </c>
    </row>
    <row r="16" spans="1:15">
      <c r="A16" s="159"/>
      <c r="B16" s="170"/>
      <c r="C16" s="169"/>
      <c r="D16" s="168"/>
      <c r="E16" s="57" t="s">
        <v>555</v>
      </c>
      <c r="F16" s="76" t="s">
        <v>556</v>
      </c>
      <c r="G16" s="57">
        <v>884</v>
      </c>
      <c r="H16" s="57">
        <v>41.96</v>
      </c>
      <c r="I16" s="77">
        <v>37092.639999999999</v>
      </c>
      <c r="J16" s="160"/>
      <c r="K16" s="160"/>
      <c r="L16" s="160"/>
      <c r="M16" s="166"/>
      <c r="N16" s="175"/>
      <c r="O16" s="177"/>
    </row>
    <row r="17" spans="1:15">
      <c r="A17" s="159"/>
      <c r="B17" s="170"/>
      <c r="C17" s="169"/>
      <c r="D17" s="168"/>
      <c r="E17" s="57" t="s">
        <v>99</v>
      </c>
      <c r="F17" s="76" t="s">
        <v>100</v>
      </c>
      <c r="G17" s="57">
        <v>27220</v>
      </c>
      <c r="H17" s="57">
        <v>17.420000000000002</v>
      </c>
      <c r="I17" s="77">
        <v>474172.4</v>
      </c>
      <c r="J17" s="160"/>
      <c r="K17" s="160"/>
      <c r="L17" s="160"/>
      <c r="M17" s="166"/>
      <c r="N17" s="175"/>
      <c r="O17" s="177"/>
    </row>
    <row r="18" spans="1:15">
      <c r="A18" s="159"/>
      <c r="B18" s="170"/>
      <c r="C18" s="169"/>
      <c r="D18" s="168"/>
      <c r="E18" s="57" t="s">
        <v>557</v>
      </c>
      <c r="F18" s="76" t="s">
        <v>558</v>
      </c>
      <c r="G18" s="57">
        <v>19500</v>
      </c>
      <c r="H18" s="57">
        <v>13.42</v>
      </c>
      <c r="I18" s="77">
        <v>261690</v>
      </c>
      <c r="J18" s="160"/>
      <c r="K18" s="160"/>
      <c r="L18" s="160"/>
      <c r="M18" s="166"/>
      <c r="N18" s="175"/>
      <c r="O18" s="177"/>
    </row>
    <row r="19" spans="1:15">
      <c r="A19" s="159"/>
      <c r="B19" s="170"/>
      <c r="C19" s="169"/>
      <c r="D19" s="168"/>
      <c r="E19" s="57" t="s">
        <v>559</v>
      </c>
      <c r="F19" s="76" t="s">
        <v>560</v>
      </c>
      <c r="G19" s="57">
        <v>6432</v>
      </c>
      <c r="H19" s="57">
        <v>29.76</v>
      </c>
      <c r="I19" s="77">
        <v>191416.32000000001</v>
      </c>
      <c r="J19" s="160"/>
      <c r="K19" s="160"/>
      <c r="L19" s="160"/>
      <c r="M19" s="167"/>
      <c r="N19" s="176"/>
      <c r="O19" s="178"/>
    </row>
    <row r="20" spans="1:15">
      <c r="A20" s="159">
        <v>4</v>
      </c>
      <c r="B20" s="170">
        <v>42009</v>
      </c>
      <c r="C20" s="169">
        <v>1236479</v>
      </c>
      <c r="D20" s="168" t="s">
        <v>130</v>
      </c>
      <c r="E20" s="57" t="s">
        <v>124</v>
      </c>
      <c r="F20" s="76" t="s">
        <v>125</v>
      </c>
      <c r="G20" s="57">
        <v>20400</v>
      </c>
      <c r="H20" s="57">
        <v>3</v>
      </c>
      <c r="I20" s="77">
        <v>61200</v>
      </c>
      <c r="J20" s="160">
        <v>69716.399999999994</v>
      </c>
      <c r="K20" s="160">
        <v>26814</v>
      </c>
      <c r="L20" s="160">
        <v>10725.6</v>
      </c>
      <c r="M20" s="172">
        <v>643536</v>
      </c>
      <c r="N20" s="181" t="s">
        <v>561</v>
      </c>
      <c r="O20" s="177" t="s">
        <v>562</v>
      </c>
    </row>
    <row r="21" spans="1:15">
      <c r="A21" s="159"/>
      <c r="B21" s="170"/>
      <c r="C21" s="169"/>
      <c r="D21" s="168"/>
      <c r="E21" s="57" t="s">
        <v>126</v>
      </c>
      <c r="F21" s="76" t="s">
        <v>127</v>
      </c>
      <c r="G21" s="57">
        <v>19800</v>
      </c>
      <c r="H21" s="57">
        <v>6</v>
      </c>
      <c r="I21" s="77">
        <v>118800</v>
      </c>
      <c r="J21" s="160"/>
      <c r="K21" s="160"/>
      <c r="L21" s="160"/>
      <c r="M21" s="172"/>
      <c r="N21" s="181"/>
      <c r="O21" s="177"/>
    </row>
    <row r="22" spans="1:15">
      <c r="A22" s="159"/>
      <c r="B22" s="170"/>
      <c r="C22" s="169"/>
      <c r="D22" s="168"/>
      <c r="E22" s="57" t="s">
        <v>128</v>
      </c>
      <c r="F22" s="76" t="s">
        <v>129</v>
      </c>
      <c r="G22" s="57">
        <v>14990</v>
      </c>
      <c r="H22" s="57">
        <v>10</v>
      </c>
      <c r="I22" s="77">
        <v>149900</v>
      </c>
      <c r="J22" s="160"/>
      <c r="K22" s="160"/>
      <c r="L22" s="160"/>
      <c r="M22" s="172"/>
      <c r="N22" s="181"/>
      <c r="O22" s="177"/>
    </row>
    <row r="23" spans="1:15">
      <c r="A23" s="159"/>
      <c r="B23" s="170"/>
      <c r="C23" s="169"/>
      <c r="D23" s="168"/>
      <c r="E23" s="57" t="s">
        <v>131</v>
      </c>
      <c r="F23" s="76" t="s">
        <v>132</v>
      </c>
      <c r="G23" s="57">
        <v>23560</v>
      </c>
      <c r="H23" s="57">
        <v>2</v>
      </c>
      <c r="I23" s="77">
        <v>47120</v>
      </c>
      <c r="J23" s="160"/>
      <c r="K23" s="160"/>
      <c r="L23" s="160"/>
      <c r="M23" s="172"/>
      <c r="N23" s="181"/>
      <c r="O23" s="177"/>
    </row>
    <row r="24" spans="1:15">
      <c r="A24" s="159"/>
      <c r="B24" s="170"/>
      <c r="C24" s="169"/>
      <c r="D24" s="168"/>
      <c r="E24" s="57" t="s">
        <v>133</v>
      </c>
      <c r="F24" s="76" t="s">
        <v>134</v>
      </c>
      <c r="G24" s="57">
        <v>26660</v>
      </c>
      <c r="H24" s="57">
        <v>3</v>
      </c>
      <c r="I24" s="77">
        <v>79980</v>
      </c>
      <c r="J24" s="160"/>
      <c r="K24" s="160"/>
      <c r="L24" s="160"/>
      <c r="M24" s="172"/>
      <c r="N24" s="181"/>
      <c r="O24" s="177"/>
    </row>
    <row r="25" spans="1:15">
      <c r="A25" s="159"/>
      <c r="B25" s="170"/>
      <c r="C25" s="169"/>
      <c r="D25" s="168"/>
      <c r="E25" s="57" t="s">
        <v>135</v>
      </c>
      <c r="F25" s="76" t="s">
        <v>136</v>
      </c>
      <c r="G25" s="57">
        <v>19820</v>
      </c>
      <c r="H25" s="57">
        <v>4</v>
      </c>
      <c r="I25" s="77">
        <v>79280</v>
      </c>
      <c r="J25" s="171"/>
      <c r="K25" s="171"/>
      <c r="L25" s="171"/>
      <c r="M25" s="172"/>
      <c r="N25" s="181"/>
      <c r="O25" s="177"/>
    </row>
    <row r="26" spans="1:15">
      <c r="A26" s="73">
        <v>5</v>
      </c>
      <c r="B26" s="75">
        <v>42009</v>
      </c>
      <c r="C26" s="58">
        <v>1236479</v>
      </c>
      <c r="D26" s="74" t="s">
        <v>563</v>
      </c>
      <c r="E26" s="57" t="s">
        <v>122</v>
      </c>
      <c r="F26" s="76" t="s">
        <v>123</v>
      </c>
      <c r="G26" s="57">
        <v>32146</v>
      </c>
      <c r="H26" s="57">
        <v>2</v>
      </c>
      <c r="I26" s="77">
        <v>64292</v>
      </c>
      <c r="J26" s="78">
        <v>8357.9599999999991</v>
      </c>
      <c r="K26" s="53">
        <v>3214.6</v>
      </c>
      <c r="L26" s="115">
        <v>1285.8399999999999</v>
      </c>
      <c r="M26" s="114">
        <v>77150.399999999994</v>
      </c>
      <c r="N26" s="119" t="s">
        <v>564</v>
      </c>
      <c r="O26" s="120" t="s">
        <v>565</v>
      </c>
    </row>
    <row r="27" spans="1:15">
      <c r="A27" s="159">
        <v>6</v>
      </c>
      <c r="B27" s="170">
        <v>42009</v>
      </c>
      <c r="C27" s="169">
        <v>15348679</v>
      </c>
      <c r="D27" s="163" t="s">
        <v>105</v>
      </c>
      <c r="E27" s="57" t="s">
        <v>566</v>
      </c>
      <c r="F27" s="76" t="s">
        <v>567</v>
      </c>
      <c r="G27" s="57">
        <v>13249</v>
      </c>
      <c r="H27" s="57">
        <v>4.32</v>
      </c>
      <c r="I27" s="77">
        <v>57235.68</v>
      </c>
      <c r="J27" s="173">
        <v>1480605.19</v>
      </c>
      <c r="K27" s="173">
        <v>65513.5</v>
      </c>
      <c r="L27" s="173">
        <v>26205.4</v>
      </c>
      <c r="M27" s="174">
        <v>2882594.18</v>
      </c>
      <c r="N27" s="175" t="s">
        <v>568</v>
      </c>
      <c r="O27" s="177" t="s">
        <v>569</v>
      </c>
    </row>
    <row r="28" spans="1:15">
      <c r="A28" s="159"/>
      <c r="B28" s="170"/>
      <c r="C28" s="169"/>
      <c r="D28" s="163"/>
      <c r="E28" s="57" t="s">
        <v>570</v>
      </c>
      <c r="F28" s="76" t="s">
        <v>571</v>
      </c>
      <c r="G28" s="57">
        <v>1123</v>
      </c>
      <c r="H28" s="57">
        <v>0.89</v>
      </c>
      <c r="I28" s="77">
        <v>999.47</v>
      </c>
      <c r="J28" s="173"/>
      <c r="K28" s="173"/>
      <c r="L28" s="173"/>
      <c r="M28" s="166"/>
      <c r="N28" s="175"/>
      <c r="O28" s="177"/>
    </row>
    <row r="29" spans="1:15">
      <c r="A29" s="159"/>
      <c r="B29" s="170"/>
      <c r="C29" s="169"/>
      <c r="D29" s="163"/>
      <c r="E29" s="57" t="s">
        <v>572</v>
      </c>
      <c r="F29" s="76" t="s">
        <v>573</v>
      </c>
      <c r="G29" s="57">
        <v>46579</v>
      </c>
      <c r="H29" s="57">
        <v>17.420000000000002</v>
      </c>
      <c r="I29" s="77">
        <v>811406.18</v>
      </c>
      <c r="J29" s="173"/>
      <c r="K29" s="173"/>
      <c r="L29" s="173"/>
      <c r="M29" s="166"/>
      <c r="N29" s="175"/>
      <c r="O29" s="177"/>
    </row>
    <row r="30" spans="1:15">
      <c r="A30" s="159"/>
      <c r="B30" s="170"/>
      <c r="C30" s="169"/>
      <c r="D30" s="163"/>
      <c r="E30" s="57" t="s">
        <v>106</v>
      </c>
      <c r="F30" s="76" t="s">
        <v>107</v>
      </c>
      <c r="G30" s="57">
        <v>62197</v>
      </c>
      <c r="H30" s="57">
        <v>4.1500000000000004</v>
      </c>
      <c r="I30" s="77">
        <v>258117.55</v>
      </c>
      <c r="J30" s="173"/>
      <c r="K30" s="173"/>
      <c r="L30" s="173"/>
      <c r="M30" s="166"/>
      <c r="N30" s="175"/>
      <c r="O30" s="177"/>
    </row>
    <row r="31" spans="1:15">
      <c r="A31" s="159"/>
      <c r="B31" s="170"/>
      <c r="C31" s="169"/>
      <c r="D31" s="163"/>
      <c r="E31" s="57" t="s">
        <v>574</v>
      </c>
      <c r="F31" s="76" t="s">
        <v>575</v>
      </c>
      <c r="G31" s="57">
        <v>3246</v>
      </c>
      <c r="H31" s="57">
        <v>29.76</v>
      </c>
      <c r="I31" s="77">
        <v>96600.960000000006</v>
      </c>
      <c r="J31" s="173"/>
      <c r="K31" s="173"/>
      <c r="L31" s="173"/>
      <c r="M31" s="166"/>
      <c r="N31" s="175"/>
      <c r="O31" s="177"/>
    </row>
    <row r="32" spans="1:15">
      <c r="A32" s="159"/>
      <c r="B32" s="170"/>
      <c r="C32" s="169"/>
      <c r="D32" s="163"/>
      <c r="E32" s="57" t="s">
        <v>576</v>
      </c>
      <c r="F32" s="76" t="s">
        <v>577</v>
      </c>
      <c r="G32" s="57">
        <v>1436</v>
      </c>
      <c r="H32" s="57">
        <v>2.4900000000000002</v>
      </c>
      <c r="I32" s="77">
        <v>3575.64</v>
      </c>
      <c r="J32" s="173"/>
      <c r="K32" s="173"/>
      <c r="L32" s="173"/>
      <c r="M32" s="166"/>
      <c r="N32" s="175"/>
      <c r="O32" s="177"/>
    </row>
    <row r="33" spans="1:15">
      <c r="A33" s="159"/>
      <c r="B33" s="170"/>
      <c r="C33" s="169"/>
      <c r="D33" s="163"/>
      <c r="E33" s="57" t="s">
        <v>108</v>
      </c>
      <c r="F33" s="76" t="s">
        <v>109</v>
      </c>
      <c r="G33" s="57">
        <v>43795</v>
      </c>
      <c r="H33" s="57">
        <v>1.88</v>
      </c>
      <c r="I33" s="77">
        <v>82334.600000000006</v>
      </c>
      <c r="J33" s="173"/>
      <c r="K33" s="173"/>
      <c r="L33" s="173"/>
      <c r="M33" s="166"/>
      <c r="N33" s="176"/>
      <c r="O33" s="178"/>
    </row>
    <row r="34" spans="1:15">
      <c r="A34" s="73">
        <v>7</v>
      </c>
      <c r="B34" s="75">
        <v>42009</v>
      </c>
      <c r="C34" s="58">
        <v>1236479</v>
      </c>
      <c r="D34" s="74" t="s">
        <v>578</v>
      </c>
      <c r="E34" s="57" t="s">
        <v>119</v>
      </c>
      <c r="F34" s="76" t="s">
        <v>120</v>
      </c>
      <c r="G34" s="57">
        <v>43121</v>
      </c>
      <c r="H34" s="57">
        <v>4</v>
      </c>
      <c r="I34" s="77">
        <v>172484</v>
      </c>
      <c r="J34" s="79">
        <v>22422.92</v>
      </c>
      <c r="K34" s="79">
        <v>8624.2000000000007</v>
      </c>
      <c r="L34" s="79">
        <v>3449.68</v>
      </c>
      <c r="M34" s="121">
        <v>206980.8</v>
      </c>
      <c r="N34" s="119" t="s">
        <v>579</v>
      </c>
      <c r="O34" s="122" t="s">
        <v>580</v>
      </c>
    </row>
    <row r="35" spans="1:15">
      <c r="A35" s="159">
        <v>8</v>
      </c>
      <c r="B35" s="170">
        <v>42009</v>
      </c>
      <c r="C35" s="169">
        <v>332232</v>
      </c>
      <c r="D35" s="168" t="s">
        <v>581</v>
      </c>
      <c r="E35" s="57" t="s">
        <v>90</v>
      </c>
      <c r="F35" s="76" t="s">
        <v>582</v>
      </c>
      <c r="G35" s="57">
        <v>15423</v>
      </c>
      <c r="H35" s="57">
        <v>6.61</v>
      </c>
      <c r="I35" s="77">
        <v>101884.34</v>
      </c>
      <c r="J35" s="160">
        <v>117952.64</v>
      </c>
      <c r="K35" s="160">
        <v>5219.1400000000003</v>
      </c>
      <c r="L35" s="160">
        <v>2087.66</v>
      </c>
      <c r="M35" s="166">
        <v>229642.3</v>
      </c>
      <c r="N35" s="182" t="s">
        <v>583</v>
      </c>
      <c r="O35" s="177" t="s">
        <v>584</v>
      </c>
    </row>
    <row r="36" spans="1:15">
      <c r="A36" s="159"/>
      <c r="B36" s="170"/>
      <c r="C36" s="169"/>
      <c r="D36" s="168"/>
      <c r="E36" s="57" t="s">
        <v>95</v>
      </c>
      <c r="F36" s="76" t="s">
        <v>96</v>
      </c>
      <c r="G36" s="57">
        <v>30846</v>
      </c>
      <c r="H36" s="57">
        <v>0.08</v>
      </c>
      <c r="I36" s="77">
        <v>2498.5300000000002</v>
      </c>
      <c r="J36" s="160"/>
      <c r="K36" s="160"/>
      <c r="L36" s="160"/>
      <c r="M36" s="166"/>
      <c r="N36" s="183"/>
      <c r="O36" s="178"/>
    </row>
    <row r="37" spans="1:15">
      <c r="A37" s="159">
        <v>9</v>
      </c>
      <c r="B37" s="170">
        <v>42350</v>
      </c>
      <c r="C37" s="165" t="s">
        <v>585</v>
      </c>
      <c r="D37" s="168" t="s">
        <v>586</v>
      </c>
      <c r="E37" s="76"/>
      <c r="F37" s="76" t="s">
        <v>587</v>
      </c>
      <c r="G37" s="57">
        <v>1</v>
      </c>
      <c r="H37" s="57">
        <v>0.05</v>
      </c>
      <c r="I37" s="77">
        <v>0.05</v>
      </c>
      <c r="J37" s="160" t="s">
        <v>588</v>
      </c>
      <c r="K37" s="159" t="s">
        <v>589</v>
      </c>
      <c r="L37" s="159" t="s">
        <v>589</v>
      </c>
      <c r="M37" s="166" t="s">
        <v>590</v>
      </c>
      <c r="N37" s="179" t="s">
        <v>591</v>
      </c>
      <c r="O37" s="180" t="s">
        <v>592</v>
      </c>
    </row>
    <row r="38" spans="1:15">
      <c r="A38" s="159"/>
      <c r="B38" s="170"/>
      <c r="C38" s="165"/>
      <c r="D38" s="168"/>
      <c r="E38" s="76"/>
      <c r="F38" s="76" t="s">
        <v>593</v>
      </c>
      <c r="G38" s="57">
        <v>1</v>
      </c>
      <c r="H38" s="57">
        <v>0.05</v>
      </c>
      <c r="I38" s="77">
        <v>0.05</v>
      </c>
      <c r="J38" s="160"/>
      <c r="K38" s="159"/>
      <c r="L38" s="159"/>
      <c r="M38" s="166"/>
      <c r="N38" s="179"/>
      <c r="O38" s="180"/>
    </row>
    <row r="39" spans="1:15">
      <c r="A39" s="159"/>
      <c r="B39" s="170"/>
      <c r="C39" s="165"/>
      <c r="D39" s="168"/>
      <c r="E39" s="76"/>
      <c r="F39" s="76" t="s">
        <v>594</v>
      </c>
      <c r="G39" s="57">
        <v>712</v>
      </c>
      <c r="H39" s="57">
        <v>0.1</v>
      </c>
      <c r="I39" s="77">
        <v>71.2</v>
      </c>
      <c r="J39" s="160"/>
      <c r="K39" s="159"/>
      <c r="L39" s="159"/>
      <c r="M39" s="166"/>
      <c r="N39" s="179"/>
      <c r="O39" s="180"/>
    </row>
    <row r="40" spans="1:15">
      <c r="A40" s="159"/>
      <c r="B40" s="170"/>
      <c r="C40" s="165"/>
      <c r="D40" s="168"/>
      <c r="E40" s="70"/>
      <c r="F40" s="76" t="s">
        <v>595</v>
      </c>
      <c r="G40" s="57">
        <v>845</v>
      </c>
      <c r="H40" s="57">
        <v>9.1199999999999992</v>
      </c>
      <c r="I40" s="77">
        <v>7706.4</v>
      </c>
      <c r="J40" s="160"/>
      <c r="K40" s="159"/>
      <c r="L40" s="159"/>
      <c r="M40" s="166"/>
      <c r="N40" s="179"/>
      <c r="O40" s="180"/>
    </row>
    <row r="41" spans="1:15">
      <c r="A41" s="159"/>
      <c r="B41" s="170"/>
      <c r="C41" s="165"/>
      <c r="D41" s="168"/>
      <c r="E41" s="70"/>
      <c r="F41" s="76" t="s">
        <v>596</v>
      </c>
      <c r="G41" s="57">
        <v>223</v>
      </c>
      <c r="H41" s="57">
        <v>44.12</v>
      </c>
      <c r="I41" s="77">
        <v>9838.76</v>
      </c>
      <c r="J41" s="160"/>
      <c r="K41" s="159"/>
      <c r="L41" s="159"/>
      <c r="M41" s="166"/>
      <c r="N41" s="179"/>
      <c r="O41" s="180"/>
    </row>
    <row r="42" spans="1:15">
      <c r="A42" s="159"/>
      <c r="B42" s="170"/>
      <c r="C42" s="165"/>
      <c r="D42" s="168"/>
      <c r="E42" s="70"/>
      <c r="F42" s="76" t="s">
        <v>597</v>
      </c>
      <c r="G42" s="57">
        <v>915</v>
      </c>
      <c r="H42" s="57">
        <v>21.73</v>
      </c>
      <c r="I42" s="77">
        <v>19882.95</v>
      </c>
      <c r="J42" s="160"/>
      <c r="K42" s="159"/>
      <c r="L42" s="159"/>
      <c r="M42" s="166"/>
      <c r="N42" s="179"/>
      <c r="O42" s="180"/>
    </row>
    <row r="43" spans="1:15">
      <c r="A43" s="159"/>
      <c r="B43" s="170"/>
      <c r="C43" s="165"/>
      <c r="D43" s="168"/>
      <c r="E43" s="70"/>
      <c r="F43" s="76" t="s">
        <v>103</v>
      </c>
      <c r="G43" s="57">
        <v>1455</v>
      </c>
      <c r="H43" s="57">
        <v>14.99</v>
      </c>
      <c r="I43" s="77">
        <v>21810.45</v>
      </c>
      <c r="J43" s="160"/>
      <c r="K43" s="159"/>
      <c r="L43" s="159"/>
      <c r="M43" s="166"/>
      <c r="N43" s="179"/>
      <c r="O43" s="180"/>
    </row>
    <row r="44" spans="1:15">
      <c r="A44" s="159"/>
      <c r="B44" s="170"/>
      <c r="C44" s="165"/>
      <c r="D44" s="168"/>
      <c r="E44" s="70"/>
      <c r="F44" s="76" t="s">
        <v>598</v>
      </c>
      <c r="G44" s="57">
        <v>2078</v>
      </c>
      <c r="H44" s="57">
        <v>56.78</v>
      </c>
      <c r="I44" s="77">
        <v>117988.84</v>
      </c>
      <c r="J44" s="160"/>
      <c r="K44" s="159"/>
      <c r="L44" s="159"/>
      <c r="M44" s="166"/>
      <c r="N44" s="179"/>
      <c r="O44" s="180"/>
    </row>
    <row r="45" spans="1:15">
      <c r="A45" s="159"/>
      <c r="B45" s="170"/>
      <c r="C45" s="165"/>
      <c r="D45" s="168"/>
      <c r="E45" s="70"/>
      <c r="F45" s="76" t="s">
        <v>599</v>
      </c>
      <c r="G45" s="57">
        <v>212</v>
      </c>
      <c r="H45" s="57">
        <v>81.010000000000005</v>
      </c>
      <c r="I45" s="77">
        <v>17174.12</v>
      </c>
      <c r="J45" s="160"/>
      <c r="K45" s="159"/>
      <c r="L45" s="159"/>
      <c r="M45" s="166"/>
      <c r="N45" s="179"/>
      <c r="O45" s="180"/>
    </row>
    <row r="46" spans="1:15">
      <c r="A46" s="159"/>
      <c r="B46" s="170"/>
      <c r="C46" s="165"/>
      <c r="D46" s="168"/>
      <c r="E46" s="70"/>
      <c r="F46" s="76" t="s">
        <v>600</v>
      </c>
      <c r="G46" s="57">
        <v>1</v>
      </c>
      <c r="H46" s="57">
        <v>37.78</v>
      </c>
      <c r="I46" s="77" t="s">
        <v>601</v>
      </c>
      <c r="J46" s="160"/>
      <c r="K46" s="159"/>
      <c r="L46" s="159"/>
      <c r="M46" s="166"/>
      <c r="N46" s="179"/>
      <c r="O46" s="180"/>
    </row>
    <row r="47" spans="1:15">
      <c r="A47" s="159"/>
      <c r="B47" s="170"/>
      <c r="C47" s="165"/>
      <c r="D47" s="168"/>
      <c r="E47" s="70"/>
      <c r="F47" s="76" t="s">
        <v>602</v>
      </c>
      <c r="G47" s="57">
        <v>200</v>
      </c>
      <c r="H47" s="57">
        <v>1</v>
      </c>
      <c r="I47" s="77">
        <v>200</v>
      </c>
      <c r="J47" s="160"/>
      <c r="K47" s="159"/>
      <c r="L47" s="159"/>
      <c r="M47" s="166"/>
      <c r="N47" s="179"/>
      <c r="O47" s="180"/>
    </row>
    <row r="83" spans="6:6">
      <c r="F83" t="s">
        <v>578</v>
      </c>
    </row>
    <row r="84" spans="6:6">
      <c r="F84" t="s">
        <v>581</v>
      </c>
    </row>
    <row r="86" spans="6:6">
      <c r="F86" t="s">
        <v>586</v>
      </c>
    </row>
  </sheetData>
  <mergeCells count="70">
    <mergeCell ref="N37:N47"/>
    <mergeCell ref="O37:O47"/>
    <mergeCell ref="N20:N25"/>
    <mergeCell ref="O20:O25"/>
    <mergeCell ref="N27:N33"/>
    <mergeCell ref="O27:O33"/>
    <mergeCell ref="N35:N36"/>
    <mergeCell ref="O35:O36"/>
    <mergeCell ref="N4:N8"/>
    <mergeCell ref="O4:O8"/>
    <mergeCell ref="N9:N14"/>
    <mergeCell ref="O9:O14"/>
    <mergeCell ref="N15:N19"/>
    <mergeCell ref="O15:O19"/>
    <mergeCell ref="D37:D47"/>
    <mergeCell ref="C37:C47"/>
    <mergeCell ref="B37:B47"/>
    <mergeCell ref="A37:A47"/>
    <mergeCell ref="J37:J47"/>
    <mergeCell ref="K37:K47"/>
    <mergeCell ref="L37:L47"/>
    <mergeCell ref="M37:M47"/>
    <mergeCell ref="M35:M36"/>
    <mergeCell ref="L35:L36"/>
    <mergeCell ref="K35:K36"/>
    <mergeCell ref="J35:J36"/>
    <mergeCell ref="A35:A36"/>
    <mergeCell ref="B35:B36"/>
    <mergeCell ref="C35:C36"/>
    <mergeCell ref="D35:D36"/>
    <mergeCell ref="A20:A25"/>
    <mergeCell ref="A27:A33"/>
    <mergeCell ref="L20:L25"/>
    <mergeCell ref="M20:M25"/>
    <mergeCell ref="D20:D25"/>
    <mergeCell ref="C20:C25"/>
    <mergeCell ref="B20:B25"/>
    <mergeCell ref="J20:J25"/>
    <mergeCell ref="K20:K25"/>
    <mergeCell ref="L27:L33"/>
    <mergeCell ref="M27:M33"/>
    <mergeCell ref="B27:B33"/>
    <mergeCell ref="C27:C33"/>
    <mergeCell ref="D27:D33"/>
    <mergeCell ref="J27:J33"/>
    <mergeCell ref="K27:K33"/>
    <mergeCell ref="L9:L14"/>
    <mergeCell ref="M9:M14"/>
    <mergeCell ref="A9:A14"/>
    <mergeCell ref="M15:M19"/>
    <mergeCell ref="L15:L19"/>
    <mergeCell ref="K15:K19"/>
    <mergeCell ref="J15:J19"/>
    <mergeCell ref="D15:D19"/>
    <mergeCell ref="C15:C19"/>
    <mergeCell ref="B15:B19"/>
    <mergeCell ref="A15:A19"/>
    <mergeCell ref="B9:B14"/>
    <mergeCell ref="C9:C14"/>
    <mergeCell ref="D9:D14"/>
    <mergeCell ref="J9:J14"/>
    <mergeCell ref="K9:K14"/>
    <mergeCell ref="A4:A8"/>
    <mergeCell ref="J4:J8"/>
    <mergeCell ref="M4:M8"/>
    <mergeCell ref="L4:L8"/>
    <mergeCell ref="K4:K8"/>
    <mergeCell ref="B4:B8"/>
    <mergeCell ref="C4:C8"/>
    <mergeCell ref="D4:D8"/>
  </mergeCells>
  <hyperlinks>
    <hyperlink ref="O4:O8" r:id="rId1" display="http://www.samsung.com" xr:uid="{64FC186C-C855-43B3-942B-17BB713102D1}"/>
    <hyperlink ref="O9:O14" r:id="rId2" display="http://www.st.com/" xr:uid="{AAEA6211-E2F4-45E7-B697-CE1894949CF4}"/>
    <hyperlink ref="O15:O19" r:id="rId3" display="http://www.americanvanadium.com/" xr:uid="{E0482500-5152-492F-BFFE-CFAFDEFF0B58}"/>
    <hyperlink ref="O20:O25" r:id="rId4" display="http://www.banda.com" xr:uid="{D3F373B8-129F-4D4B-B9CC-16A77B79621D}"/>
    <hyperlink ref="O26" r:id="rId5" xr:uid="{7DB37DD3-CC93-4889-B6E6-5BEA66A7C8C3}"/>
    <hyperlink ref="O27:O33" r:id="rId6" display="http://www.qualcomm.com/" xr:uid="{D2C44B51-3D91-4B8A-B53C-461386D6AE45}"/>
    <hyperlink ref="O34" r:id="rId7" xr:uid="{9A4E9C27-8012-42FD-B852-4080E6EE7059}"/>
    <hyperlink ref="O35:O36" r:id="rId8" display="http://www.mitchellplastics.com/" xr:uid="{190E9A42-01EF-4B2E-84DF-BB64CA3ACEF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DA61E-9216-AE48-BA8A-449445E35091}">
  <dimension ref="A2:AD54"/>
  <sheetViews>
    <sheetView tabSelected="1" topLeftCell="A21" workbookViewId="0">
      <selection activeCell="B27" sqref="B27"/>
    </sheetView>
  </sheetViews>
  <sheetFormatPr baseColWidth="10" defaultColWidth="8.83203125" defaultRowHeight="15"/>
  <cols>
    <col min="1" max="1" width="3.33203125" customWidth="1"/>
    <col min="2" max="2" width="23.5" customWidth="1"/>
    <col min="4" max="4" width="17.5" customWidth="1"/>
    <col min="5" max="5" width="29.1640625" customWidth="1"/>
    <col min="7" max="7" width="19.6640625" customWidth="1"/>
    <col min="8" max="8" width="15" customWidth="1"/>
    <col min="9" max="9" width="14.33203125" customWidth="1"/>
    <col min="10" max="10" width="19.33203125" customWidth="1"/>
    <col min="11" max="11" width="25.33203125" bestFit="1" customWidth="1"/>
    <col min="13" max="13" width="90.6640625" bestFit="1" customWidth="1"/>
    <col min="15" max="15" width="40.5" bestFit="1" customWidth="1"/>
    <col min="20" max="20" width="19.5" customWidth="1"/>
    <col min="21" max="21" width="14.33203125" customWidth="1"/>
    <col min="22" max="22" width="14.6640625" customWidth="1"/>
    <col min="24" max="24" width="18.83203125" customWidth="1"/>
    <col min="25" max="25" width="14.33203125" customWidth="1"/>
    <col min="26" max="26" width="22.6640625" customWidth="1"/>
    <col min="28" max="29" width="16.5" customWidth="1"/>
    <col min="30" max="30" width="16.6640625" customWidth="1"/>
  </cols>
  <sheetData>
    <row r="2" spans="1:30">
      <c r="A2" t="s">
        <v>137</v>
      </c>
    </row>
    <row r="3" spans="1:30">
      <c r="B3" t="s">
        <v>138</v>
      </c>
      <c r="T3" s="59" t="s">
        <v>139</v>
      </c>
      <c r="U3" s="60" t="s">
        <v>140</v>
      </c>
      <c r="V3" s="60" t="s">
        <v>141</v>
      </c>
      <c r="W3" s="61"/>
      <c r="X3" s="62" t="s">
        <v>142</v>
      </c>
      <c r="Y3" s="63" t="s">
        <v>140</v>
      </c>
      <c r="Z3" s="63" t="s">
        <v>141</v>
      </c>
      <c r="AB3" s="68" t="s">
        <v>143</v>
      </c>
      <c r="AC3" s="69" t="s">
        <v>140</v>
      </c>
      <c r="AD3" s="69" t="s">
        <v>141</v>
      </c>
    </row>
    <row r="4" spans="1:30">
      <c r="T4" s="64" t="s">
        <v>603</v>
      </c>
      <c r="U4" s="65">
        <v>2.95</v>
      </c>
      <c r="V4" s="66" t="s">
        <v>122</v>
      </c>
      <c r="W4" s="61"/>
      <c r="X4" s="64" t="s">
        <v>615</v>
      </c>
      <c r="Y4" s="65">
        <v>4.5999999999999996</v>
      </c>
      <c r="Z4" s="66" t="s">
        <v>122</v>
      </c>
      <c r="AB4" s="124" t="s">
        <v>617</v>
      </c>
      <c r="AC4" s="65">
        <v>7.0110000000000001</v>
      </c>
      <c r="AD4" s="66" t="s">
        <v>122</v>
      </c>
    </row>
    <row r="5" spans="1:30">
      <c r="A5" t="s">
        <v>146</v>
      </c>
      <c r="C5" t="s">
        <v>147</v>
      </c>
      <c r="H5" s="14" t="s">
        <v>148</v>
      </c>
      <c r="I5" t="s">
        <v>82</v>
      </c>
      <c r="L5" t="s">
        <v>149</v>
      </c>
      <c r="M5" t="s">
        <v>150</v>
      </c>
      <c r="T5" s="64" t="s">
        <v>604</v>
      </c>
      <c r="U5" s="65">
        <v>2.65</v>
      </c>
      <c r="V5" s="66" t="s">
        <v>99</v>
      </c>
      <c r="W5" s="61"/>
      <c r="X5" s="64" t="s">
        <v>604</v>
      </c>
      <c r="Y5" s="65">
        <v>2.5299999999999998</v>
      </c>
      <c r="Z5" s="66" t="s">
        <v>99</v>
      </c>
      <c r="AB5" s="124" t="s">
        <v>604</v>
      </c>
      <c r="AC5" s="65">
        <v>2.5</v>
      </c>
      <c r="AD5" s="66" t="s">
        <v>99</v>
      </c>
    </row>
    <row r="6" spans="1:30">
      <c r="B6">
        <v>1</v>
      </c>
      <c r="C6" t="s">
        <v>152</v>
      </c>
      <c r="K6" t="s">
        <v>153</v>
      </c>
      <c r="L6" s="39">
        <f>AVERAGE(I7:I9)</f>
        <v>1.1933333333333334</v>
      </c>
      <c r="N6" t="s">
        <v>154</v>
      </c>
      <c r="O6" t="s">
        <v>155</v>
      </c>
      <c r="T6" s="64" t="s">
        <v>605</v>
      </c>
      <c r="U6" s="65">
        <v>3.29</v>
      </c>
      <c r="V6" s="66" t="s">
        <v>119</v>
      </c>
      <c r="W6" s="61"/>
      <c r="X6" s="64" t="s">
        <v>605</v>
      </c>
      <c r="Y6" s="65">
        <v>2.84</v>
      </c>
      <c r="Z6" s="66" t="s">
        <v>119</v>
      </c>
      <c r="AB6" s="124" t="s">
        <v>605</v>
      </c>
      <c r="AC6" s="65">
        <v>2.95</v>
      </c>
      <c r="AD6" s="66" t="s">
        <v>119</v>
      </c>
    </row>
    <row r="7" spans="1:30">
      <c r="H7">
        <v>1</v>
      </c>
      <c r="I7">
        <v>1.1299999999999999</v>
      </c>
      <c r="J7" t="s">
        <v>154</v>
      </c>
      <c r="M7" s="81" t="s">
        <v>157</v>
      </c>
      <c r="T7" s="64" t="s">
        <v>606</v>
      </c>
      <c r="U7" s="125">
        <v>4.5199999999999996</v>
      </c>
      <c r="V7" s="66" t="s">
        <v>103</v>
      </c>
      <c r="W7" s="61"/>
      <c r="X7" s="64" t="s">
        <v>606</v>
      </c>
      <c r="Y7" s="65">
        <v>5.61</v>
      </c>
      <c r="Z7" s="66" t="s">
        <v>103</v>
      </c>
      <c r="AB7" s="124" t="s">
        <v>606</v>
      </c>
      <c r="AC7" s="65">
        <v>3.91</v>
      </c>
      <c r="AD7" s="66" t="s">
        <v>103</v>
      </c>
    </row>
    <row r="8" spans="1:30">
      <c r="H8">
        <v>2</v>
      </c>
      <c r="I8">
        <v>1.2</v>
      </c>
      <c r="J8" t="s">
        <v>154</v>
      </c>
      <c r="M8" s="81" t="s">
        <v>159</v>
      </c>
      <c r="T8" s="64" t="s">
        <v>608</v>
      </c>
      <c r="U8" s="65">
        <v>4.3</v>
      </c>
      <c r="V8" s="66" t="s">
        <v>106</v>
      </c>
      <c r="W8" s="61"/>
      <c r="X8" s="64" t="s">
        <v>607</v>
      </c>
      <c r="Y8" s="65">
        <v>4.75</v>
      </c>
      <c r="Z8" s="66" t="s">
        <v>106</v>
      </c>
      <c r="AB8" s="124" t="s">
        <v>607</v>
      </c>
      <c r="AC8" s="65">
        <v>4.38</v>
      </c>
      <c r="AD8" s="66" t="s">
        <v>106</v>
      </c>
    </row>
    <row r="9" spans="1:30">
      <c r="H9">
        <v>3</v>
      </c>
      <c r="I9">
        <v>1.25</v>
      </c>
      <c r="J9" t="s">
        <v>154</v>
      </c>
      <c r="T9" s="64" t="s">
        <v>609</v>
      </c>
      <c r="U9" s="65">
        <v>3.91</v>
      </c>
      <c r="V9" s="66" t="s">
        <v>108</v>
      </c>
      <c r="W9" s="61"/>
      <c r="X9" s="64" t="s">
        <v>608</v>
      </c>
      <c r="Y9" s="65">
        <v>2.63</v>
      </c>
      <c r="Z9" s="66" t="s">
        <v>108</v>
      </c>
      <c r="AB9" s="124" t="s">
        <v>608</v>
      </c>
      <c r="AC9" s="65">
        <v>2.46</v>
      </c>
      <c r="AD9" s="66" t="s">
        <v>108</v>
      </c>
    </row>
    <row r="10" spans="1:30">
      <c r="T10" s="64" t="s">
        <v>610</v>
      </c>
      <c r="U10" s="65">
        <v>2.6</v>
      </c>
      <c r="V10" s="67" t="s">
        <v>111</v>
      </c>
      <c r="W10" s="61"/>
      <c r="X10" s="64" t="s">
        <v>609</v>
      </c>
      <c r="Y10" s="65">
        <v>2.67</v>
      </c>
      <c r="Z10" s="67" t="s">
        <v>111</v>
      </c>
      <c r="AB10" s="124" t="s">
        <v>609</v>
      </c>
      <c r="AC10" s="65">
        <v>2.23</v>
      </c>
      <c r="AD10" s="67" t="s">
        <v>111</v>
      </c>
    </row>
    <row r="11" spans="1:30">
      <c r="B11">
        <v>2</v>
      </c>
      <c r="C11" t="s">
        <v>163</v>
      </c>
      <c r="K11" t="s">
        <v>153</v>
      </c>
      <c r="L11" s="39">
        <f>AVERAGE(I12:I14)</f>
        <v>2.1333333333333333</v>
      </c>
      <c r="N11" t="s">
        <v>154</v>
      </c>
      <c r="O11" t="s">
        <v>164</v>
      </c>
      <c r="T11" s="64" t="s">
        <v>611</v>
      </c>
      <c r="U11" s="65">
        <v>3.18</v>
      </c>
      <c r="V11" s="66" t="s">
        <v>116</v>
      </c>
      <c r="W11" s="61"/>
      <c r="X11" s="64" t="s">
        <v>610</v>
      </c>
      <c r="Y11" s="65">
        <v>2.38</v>
      </c>
      <c r="Z11" s="66" t="s">
        <v>116</v>
      </c>
      <c r="AB11" s="124" t="s">
        <v>610</v>
      </c>
      <c r="AC11" s="65">
        <v>3.01</v>
      </c>
      <c r="AD11" s="66" t="s">
        <v>116</v>
      </c>
    </row>
    <row r="12" spans="1:30">
      <c r="H12">
        <v>1</v>
      </c>
      <c r="I12">
        <v>2</v>
      </c>
      <c r="J12" t="s">
        <v>154</v>
      </c>
      <c r="M12" s="81" t="s">
        <v>159</v>
      </c>
      <c r="T12" s="64" t="s">
        <v>612</v>
      </c>
      <c r="U12" s="65">
        <v>2.35</v>
      </c>
      <c r="V12" s="66" t="s">
        <v>124</v>
      </c>
      <c r="W12" s="61"/>
      <c r="X12" s="64" t="s">
        <v>611</v>
      </c>
      <c r="Y12" s="65">
        <v>2.13</v>
      </c>
      <c r="Z12" s="66" t="s">
        <v>124</v>
      </c>
      <c r="AB12" s="124" t="s">
        <v>611</v>
      </c>
      <c r="AC12" s="65">
        <v>2.54</v>
      </c>
      <c r="AD12" s="66" t="s">
        <v>124</v>
      </c>
    </row>
    <row r="13" spans="1:30">
      <c r="H13">
        <v>2</v>
      </c>
      <c r="I13">
        <v>2.1</v>
      </c>
      <c r="J13" t="s">
        <v>154</v>
      </c>
      <c r="T13" s="64" t="s">
        <v>613</v>
      </c>
      <c r="U13" s="65">
        <v>1.73</v>
      </c>
      <c r="V13" s="67" t="s">
        <v>113</v>
      </c>
      <c r="W13" s="61"/>
      <c r="X13" s="64" t="s">
        <v>612</v>
      </c>
      <c r="Y13" s="65">
        <v>1.71</v>
      </c>
      <c r="Z13" s="67" t="s">
        <v>113</v>
      </c>
      <c r="AB13" s="124" t="s">
        <v>612</v>
      </c>
      <c r="AC13" s="65">
        <v>1.69</v>
      </c>
      <c r="AD13" s="67" t="s">
        <v>113</v>
      </c>
    </row>
    <row r="14" spans="1:30">
      <c r="H14">
        <v>3</v>
      </c>
      <c r="I14">
        <v>2.2999999999999998</v>
      </c>
      <c r="J14" t="s">
        <v>154</v>
      </c>
      <c r="T14" s="64" t="s">
        <v>614</v>
      </c>
      <c r="U14" s="65">
        <v>2.3199999999999998</v>
      </c>
      <c r="V14" s="66" t="s">
        <v>90</v>
      </c>
      <c r="W14" s="61"/>
      <c r="X14" s="64" t="s">
        <v>613</v>
      </c>
      <c r="Y14" s="65">
        <v>2.36</v>
      </c>
      <c r="Z14" s="66" t="s">
        <v>90</v>
      </c>
      <c r="AB14" s="124" t="s">
        <v>613</v>
      </c>
      <c r="AC14" s="65">
        <v>2.4500000000000002</v>
      </c>
      <c r="AD14" s="66" t="s">
        <v>90</v>
      </c>
    </row>
    <row r="15" spans="1:30">
      <c r="T15" s="64" t="s">
        <v>619</v>
      </c>
      <c r="U15" s="65">
        <v>2.89</v>
      </c>
      <c r="V15" s="66" t="s">
        <v>95</v>
      </c>
      <c r="W15" s="61"/>
      <c r="X15" s="64" t="s">
        <v>614</v>
      </c>
      <c r="Y15" s="65">
        <v>2.4</v>
      </c>
      <c r="Z15" s="66" t="s">
        <v>95</v>
      </c>
      <c r="AB15" s="124" t="s">
        <v>614</v>
      </c>
      <c r="AC15" s="65">
        <v>2.77</v>
      </c>
      <c r="AD15" s="66" t="s">
        <v>95</v>
      </c>
    </row>
    <row r="16" spans="1:30">
      <c r="B16">
        <v>3</v>
      </c>
      <c r="C16" t="s">
        <v>170</v>
      </c>
      <c r="K16" t="s">
        <v>171</v>
      </c>
      <c r="L16">
        <v>13</v>
      </c>
      <c r="T16" s="64" t="s">
        <v>620</v>
      </c>
      <c r="U16" s="65">
        <v>19.489999999999998</v>
      </c>
      <c r="V16" s="65" t="s">
        <v>173</v>
      </c>
      <c r="W16" s="61"/>
      <c r="X16" s="64" t="s">
        <v>616</v>
      </c>
      <c r="Y16" s="65">
        <v>20.76</v>
      </c>
      <c r="Z16" s="65" t="s">
        <v>173</v>
      </c>
      <c r="AB16" s="124" t="s">
        <v>618</v>
      </c>
      <c r="AC16" s="65">
        <v>24.18</v>
      </c>
      <c r="AD16" s="65" t="s">
        <v>173</v>
      </c>
    </row>
    <row r="17" spans="1:30">
      <c r="H17">
        <v>1</v>
      </c>
      <c r="I17">
        <v>5</v>
      </c>
      <c r="J17" t="s">
        <v>176</v>
      </c>
      <c r="M17" t="s">
        <v>177</v>
      </c>
      <c r="T17" s="71" t="s">
        <v>178</v>
      </c>
      <c r="U17" s="72">
        <f>SUM(U4:U16)</f>
        <v>56.180000000000007</v>
      </c>
      <c r="V17" s="72" t="s">
        <v>173</v>
      </c>
      <c r="W17" s="61"/>
      <c r="X17" s="62" t="s">
        <v>178</v>
      </c>
      <c r="Y17" s="63">
        <f>SUM(Y4:Y16)</f>
        <v>57.36999999999999</v>
      </c>
      <c r="Z17" s="63" t="s">
        <v>173</v>
      </c>
      <c r="AB17" s="68" t="s">
        <v>178</v>
      </c>
      <c r="AC17" s="68">
        <f>SUM(AC4:AC16)</f>
        <v>62.081000000000003</v>
      </c>
      <c r="AD17" s="68" t="s">
        <v>173</v>
      </c>
    </row>
    <row r="18" spans="1:30">
      <c r="H18">
        <v>2</v>
      </c>
      <c r="I18">
        <v>15</v>
      </c>
      <c r="J18" t="s">
        <v>176</v>
      </c>
    </row>
    <row r="20" spans="1:30">
      <c r="A20" t="s">
        <v>179</v>
      </c>
      <c r="K20" t="s">
        <v>628</v>
      </c>
      <c r="L20">
        <v>20</v>
      </c>
      <c r="M20" t="s">
        <v>627</v>
      </c>
    </row>
    <row r="21" spans="1:30" ht="32">
      <c r="B21">
        <v>1</v>
      </c>
      <c r="C21" t="s">
        <v>180</v>
      </c>
      <c r="E21" s="13" t="s">
        <v>699</v>
      </c>
      <c r="G21" t="s">
        <v>182</v>
      </c>
    </row>
    <row r="22" spans="1:30">
      <c r="C22" t="s">
        <v>183</v>
      </c>
    </row>
    <row r="23" spans="1:30">
      <c r="C23" s="12" t="s">
        <v>184</v>
      </c>
    </row>
    <row r="25" spans="1:30">
      <c r="A25" t="s">
        <v>185</v>
      </c>
    </row>
    <row r="27" spans="1:30" ht="32">
      <c r="B27" s="136"/>
      <c r="C27" s="137" t="s">
        <v>186</v>
      </c>
      <c r="D27" s="137"/>
      <c r="E27" s="137"/>
      <c r="F27" s="137"/>
      <c r="G27" s="138" t="s">
        <v>187</v>
      </c>
      <c r="H27" s="139" t="s">
        <v>188</v>
      </c>
      <c r="I27" s="137"/>
      <c r="J27" s="137"/>
      <c r="K27" s="137" t="s">
        <v>189</v>
      </c>
      <c r="L27" s="140"/>
    </row>
    <row r="28" spans="1:30">
      <c r="B28" s="136" t="s">
        <v>190</v>
      </c>
      <c r="C28" s="137" t="s">
        <v>191</v>
      </c>
      <c r="D28" s="137" t="s">
        <v>192</v>
      </c>
      <c r="E28" s="137" t="s">
        <v>84</v>
      </c>
      <c r="F28" s="137" t="s">
        <v>85</v>
      </c>
      <c r="G28" s="137" t="s">
        <v>193</v>
      </c>
      <c r="H28" s="137" t="s">
        <v>194</v>
      </c>
      <c r="I28" s="137" t="s">
        <v>195</v>
      </c>
      <c r="J28" s="137" t="s">
        <v>626</v>
      </c>
      <c r="K28" s="137" t="s">
        <v>197</v>
      </c>
      <c r="L28" s="140" t="s">
        <v>198</v>
      </c>
    </row>
    <row r="29" spans="1:30">
      <c r="A29" s="141"/>
      <c r="B29" s="142" t="s">
        <v>617</v>
      </c>
      <c r="C29" s="143">
        <v>1</v>
      </c>
      <c r="D29" s="143" t="s">
        <v>122</v>
      </c>
      <c r="E29" s="143" t="s">
        <v>199</v>
      </c>
      <c r="F29" s="143" t="s">
        <v>33</v>
      </c>
      <c r="G29" s="144">
        <f>AC4</f>
        <v>7.0110000000000001</v>
      </c>
      <c r="H29" s="144">
        <f t="shared" ref="H29:H43" si="0">G29/$L$6</f>
        <v>5.8751396648044691</v>
      </c>
      <c r="I29" s="144">
        <f t="shared" ref="I29:I43" si="1">G29/$L$11</f>
        <v>3.2864062500000002</v>
      </c>
      <c r="J29" s="143">
        <f>$L$16</f>
        <v>13</v>
      </c>
      <c r="K29" s="144">
        <f>SUM(SUM($H$29),J29)</f>
        <v>18.875139664804468</v>
      </c>
      <c r="L29" s="145">
        <f>SUM($I29,J29)</f>
        <v>16.286406249999999</v>
      </c>
    </row>
    <row r="30" spans="1:30">
      <c r="B30" s="146" t="s">
        <v>604</v>
      </c>
      <c r="C30" s="141">
        <v>2</v>
      </c>
      <c r="D30" s="141" t="s">
        <v>99</v>
      </c>
      <c r="E30" s="141" t="s">
        <v>200</v>
      </c>
      <c r="F30" s="141" t="s">
        <v>33</v>
      </c>
      <c r="G30" s="147">
        <f t="shared" ref="G30:G40" si="2">AVERAGE(U5,Y5,AC5)</f>
        <v>2.56</v>
      </c>
      <c r="H30" s="147">
        <f t="shared" si="0"/>
        <v>2.1452513966480447</v>
      </c>
      <c r="I30" s="147">
        <f t="shared" si="1"/>
        <v>1.2</v>
      </c>
      <c r="J30" s="141">
        <f t="shared" ref="J30:J40" si="3">$L$16</f>
        <v>13</v>
      </c>
      <c r="K30" s="147">
        <f>SUM(SUM($H$29:H30),SUM($J$29:J30))</f>
        <v>34.020391061452514</v>
      </c>
      <c r="L30" s="148">
        <f>SUM(SUM($I$29:I30),SUM($J$29:J30))</f>
        <v>30.486406250000002</v>
      </c>
    </row>
    <row r="31" spans="1:30">
      <c r="B31" s="146" t="s">
        <v>605</v>
      </c>
      <c r="C31" s="141">
        <v>3</v>
      </c>
      <c r="D31" s="141" t="s">
        <v>119</v>
      </c>
      <c r="E31" s="141" t="s">
        <v>201</v>
      </c>
      <c r="F31" s="141" t="s">
        <v>38</v>
      </c>
      <c r="G31" s="147">
        <f>AVERAGE(U6,Y6,AC6)</f>
        <v>3.0266666666666668</v>
      </c>
      <c r="H31" s="147">
        <f t="shared" si="0"/>
        <v>2.5363128491620111</v>
      </c>
      <c r="I31" s="147">
        <f t="shared" si="1"/>
        <v>1.4187500000000002</v>
      </c>
      <c r="J31" s="141">
        <f t="shared" si="3"/>
        <v>13</v>
      </c>
      <c r="K31" s="147">
        <f>SUM(SUM($H$29:H31),SUM($J$29:J31))</f>
        <v>49.556703910614523</v>
      </c>
      <c r="L31" s="148">
        <f>SUM(SUM($I$29:I31),SUM($J$29:J31))</f>
        <v>44.905156249999997</v>
      </c>
    </row>
    <row r="32" spans="1:30">
      <c r="B32" s="146" t="s">
        <v>606</v>
      </c>
      <c r="C32" s="141">
        <v>4</v>
      </c>
      <c r="D32" s="141" t="s">
        <v>103</v>
      </c>
      <c r="E32" s="141" t="s">
        <v>202</v>
      </c>
      <c r="F32" s="141" t="s">
        <v>41</v>
      </c>
      <c r="G32" s="147">
        <f>AVERAGE(U6,Y7,AC7)</f>
        <v>4.2700000000000005</v>
      </c>
      <c r="H32" s="147">
        <f t="shared" si="0"/>
        <v>3.5782122905027935</v>
      </c>
      <c r="I32" s="147">
        <f t="shared" si="1"/>
        <v>2.0015625000000004</v>
      </c>
      <c r="J32" s="141">
        <f t="shared" si="3"/>
        <v>13</v>
      </c>
      <c r="K32" s="147">
        <f>SUM(SUM($H$29:H32),SUM($J$29:J32))</f>
        <v>66.134916201117321</v>
      </c>
      <c r="L32" s="148">
        <f>SUM(SUM($I$29:I32),SUM($J$29:J32))</f>
        <v>59.906718750000003</v>
      </c>
    </row>
    <row r="33" spans="2:12">
      <c r="B33" s="146" t="s">
        <v>608</v>
      </c>
      <c r="C33" s="141">
        <v>5</v>
      </c>
      <c r="D33" s="141" t="s">
        <v>106</v>
      </c>
      <c r="E33" s="141" t="s">
        <v>203</v>
      </c>
      <c r="F33" s="141" t="s">
        <v>45</v>
      </c>
      <c r="G33" s="147">
        <f t="shared" si="2"/>
        <v>4.4766666666666666</v>
      </c>
      <c r="H33" s="147">
        <f t="shared" si="0"/>
        <v>3.7513966480446927</v>
      </c>
      <c r="I33" s="147">
        <f t="shared" si="1"/>
        <v>2.0984375000000002</v>
      </c>
      <c r="J33" s="141">
        <f t="shared" si="3"/>
        <v>13</v>
      </c>
      <c r="K33" s="147">
        <f>SUM(SUM($H$29:H33),SUM($J$29:J33))</f>
        <v>82.88631284916201</v>
      </c>
      <c r="L33" s="148">
        <f>SUM(SUM($I$29:I33),SUM($J$29:J33))</f>
        <v>75.005156249999999</v>
      </c>
    </row>
    <row r="34" spans="2:12">
      <c r="B34" s="146" t="s">
        <v>609</v>
      </c>
      <c r="C34" s="141">
        <v>6</v>
      </c>
      <c r="D34" s="141" t="s">
        <v>108</v>
      </c>
      <c r="E34" s="141" t="s">
        <v>204</v>
      </c>
      <c r="F34" s="141" t="s">
        <v>35</v>
      </c>
      <c r="G34" s="147">
        <f t="shared" si="2"/>
        <v>3</v>
      </c>
      <c r="H34" s="147">
        <f t="shared" si="0"/>
        <v>2.5139664804469275</v>
      </c>
      <c r="I34" s="147">
        <f t="shared" si="1"/>
        <v>1.40625</v>
      </c>
      <c r="J34" s="141">
        <f t="shared" si="3"/>
        <v>13</v>
      </c>
      <c r="K34" s="147">
        <f>SUM(SUM($H$29:H34),SUM($J$29:J34))</f>
        <v>98.400279329608935</v>
      </c>
      <c r="L34" s="148">
        <f>SUM(SUM($I$29:I34),SUM($J$29:J34))</f>
        <v>89.411406249999999</v>
      </c>
    </row>
    <row r="35" spans="2:12">
      <c r="B35" s="146" t="s">
        <v>610</v>
      </c>
      <c r="C35" s="141">
        <v>7</v>
      </c>
      <c r="D35" s="141" t="s">
        <v>111</v>
      </c>
      <c r="E35" s="141" t="s">
        <v>205</v>
      </c>
      <c r="F35" s="141" t="s">
        <v>35</v>
      </c>
      <c r="G35" s="147">
        <f t="shared" si="2"/>
        <v>2.5</v>
      </c>
      <c r="H35" s="147">
        <f t="shared" si="0"/>
        <v>2.0949720670391061</v>
      </c>
      <c r="I35" s="147">
        <f t="shared" si="1"/>
        <v>1.171875</v>
      </c>
      <c r="J35" s="141">
        <f t="shared" si="3"/>
        <v>13</v>
      </c>
      <c r="K35" s="147">
        <f>SUM(SUM($H$29:H35),SUM($J$29:J35))</f>
        <v>113.49525139664804</v>
      </c>
      <c r="L35" s="148">
        <f>SUM(SUM($I$29:I35),SUM($J$29:J35))</f>
        <v>103.58328125</v>
      </c>
    </row>
    <row r="36" spans="2:12">
      <c r="B36" s="146" t="s">
        <v>611</v>
      </c>
      <c r="C36" s="141">
        <v>8</v>
      </c>
      <c r="D36" s="141" t="s">
        <v>116</v>
      </c>
      <c r="E36" s="141" t="s">
        <v>205</v>
      </c>
      <c r="F36" s="141" t="s">
        <v>45</v>
      </c>
      <c r="G36" s="147">
        <f t="shared" si="2"/>
        <v>2.8566666666666669</v>
      </c>
      <c r="H36" s="147">
        <f t="shared" si="0"/>
        <v>2.3938547486033519</v>
      </c>
      <c r="I36" s="147">
        <f t="shared" si="1"/>
        <v>1.3390625</v>
      </c>
      <c r="J36" s="141">
        <f t="shared" si="3"/>
        <v>13</v>
      </c>
      <c r="K36" s="147">
        <f>SUM(SUM($H$29:H36),SUM($J$29:J36))</f>
        <v>128.88910614525139</v>
      </c>
      <c r="L36" s="148">
        <f>SUM(SUM($I$29:I36),SUM($J$29:J36))</f>
        <v>117.92234375</v>
      </c>
    </row>
    <row r="37" spans="2:12">
      <c r="B37" s="146" t="s">
        <v>612</v>
      </c>
      <c r="C37" s="141">
        <v>9</v>
      </c>
      <c r="D37" s="141" t="s">
        <v>124</v>
      </c>
      <c r="E37" s="141" t="s">
        <v>206</v>
      </c>
      <c r="F37" s="141" t="s">
        <v>33</v>
      </c>
      <c r="G37" s="147">
        <f t="shared" si="2"/>
        <v>2.3400000000000003</v>
      </c>
      <c r="H37" s="147">
        <f t="shared" si="0"/>
        <v>1.9608938547486037</v>
      </c>
      <c r="I37" s="147">
        <f t="shared" si="1"/>
        <v>1.0968750000000003</v>
      </c>
      <c r="J37" s="141">
        <f t="shared" si="3"/>
        <v>13</v>
      </c>
      <c r="K37" s="147">
        <f>SUM(SUM($H$29:H37),SUM($J$29:J37))</f>
        <v>143.85</v>
      </c>
      <c r="L37" s="148">
        <f>SUM(SUM($I$29:I37),SUM($J$29:J37))</f>
        <v>132.01921874999999</v>
      </c>
    </row>
    <row r="38" spans="2:12">
      <c r="B38" s="146" t="s">
        <v>613</v>
      </c>
      <c r="C38" s="141">
        <v>10</v>
      </c>
      <c r="D38" s="141" t="s">
        <v>113</v>
      </c>
      <c r="E38" s="141" t="s">
        <v>207</v>
      </c>
      <c r="F38" s="141" t="s">
        <v>45</v>
      </c>
      <c r="G38" s="147">
        <f t="shared" si="2"/>
        <v>1.71</v>
      </c>
      <c r="H38" s="147">
        <f t="shared" si="0"/>
        <v>1.4329608938547485</v>
      </c>
      <c r="I38" s="147">
        <f t="shared" si="1"/>
        <v>0.80156249999999996</v>
      </c>
      <c r="J38" s="141">
        <f t="shared" si="3"/>
        <v>13</v>
      </c>
      <c r="K38" s="147">
        <f>SUM(SUM($H$29:H38),SUM($J$29:J38))</f>
        <v>158.28296089385475</v>
      </c>
      <c r="L38" s="148">
        <f>SUM(SUM($I$29:I38),SUM($J$29:J38))</f>
        <v>145.82078125000001</v>
      </c>
    </row>
    <row r="39" spans="2:12">
      <c r="B39" s="146" t="s">
        <v>614</v>
      </c>
      <c r="C39" s="141">
        <v>11</v>
      </c>
      <c r="D39" s="141" t="s">
        <v>90</v>
      </c>
      <c r="E39" s="141" t="s">
        <v>208</v>
      </c>
      <c r="F39" s="141" t="s">
        <v>38</v>
      </c>
      <c r="G39" s="147">
        <f t="shared" si="2"/>
        <v>2.3766666666666665</v>
      </c>
      <c r="H39" s="147">
        <f t="shared" si="0"/>
        <v>1.9916201117318433</v>
      </c>
      <c r="I39" s="147">
        <f t="shared" si="1"/>
        <v>1.1140625</v>
      </c>
      <c r="J39" s="141">
        <f t="shared" si="3"/>
        <v>13</v>
      </c>
      <c r="K39" s="147">
        <f>SUM(SUM($H$29:H39),SUM($J$29:J39))</f>
        <v>173.27458100558658</v>
      </c>
      <c r="L39" s="148">
        <f>SUM(SUM($I$29:I39),SUM($J$29:J39))</f>
        <v>159.93484375</v>
      </c>
    </row>
    <row r="40" spans="2:12">
      <c r="B40" s="146" t="s">
        <v>619</v>
      </c>
      <c r="C40" s="141">
        <v>12</v>
      </c>
      <c r="D40" s="141" t="s">
        <v>95</v>
      </c>
      <c r="E40" s="141" t="s">
        <v>208</v>
      </c>
      <c r="F40" s="141" t="s">
        <v>45</v>
      </c>
      <c r="G40" s="147">
        <f t="shared" si="2"/>
        <v>2.686666666666667</v>
      </c>
      <c r="H40" s="147">
        <f t="shared" si="0"/>
        <v>2.2513966480446927</v>
      </c>
      <c r="I40" s="147">
        <f t="shared" si="1"/>
        <v>1.2593750000000001</v>
      </c>
      <c r="J40" s="141">
        <f t="shared" si="3"/>
        <v>13</v>
      </c>
      <c r="K40" s="147">
        <f>SUM(SUM($H$29:H40),SUM($J$29:J40))</f>
        <v>188.52597765363129</v>
      </c>
      <c r="L40" s="148">
        <f>SUM(SUM($I$29:I40),SUM($J$29:J40))</f>
        <v>174.19421875</v>
      </c>
    </row>
    <row r="41" spans="2:12">
      <c r="B41" s="146" t="s">
        <v>620</v>
      </c>
      <c r="C41" s="141"/>
      <c r="D41" s="141"/>
      <c r="E41" s="141" t="s">
        <v>209</v>
      </c>
      <c r="F41" s="141" t="s">
        <v>209</v>
      </c>
      <c r="G41" s="147">
        <f>U16</f>
        <v>19.489999999999998</v>
      </c>
      <c r="H41" s="147">
        <f t="shared" si="0"/>
        <v>16.33240223463687</v>
      </c>
      <c r="I41" s="147">
        <f t="shared" si="1"/>
        <v>9.1359374999999989</v>
      </c>
      <c r="J41" s="141">
        <v>20</v>
      </c>
      <c r="K41" s="147">
        <f>SUM(SUM($H$29:H41),SUM($J$29:J41))</f>
        <v>224.85837988826816</v>
      </c>
      <c r="L41" s="148">
        <f>SUM(SUM($I$29:I41),SUM($J$29:J41))</f>
        <v>203.33015625000002</v>
      </c>
    </row>
    <row r="42" spans="2:12">
      <c r="B42" s="149" t="s">
        <v>621</v>
      </c>
      <c r="C42" s="141"/>
      <c r="D42" s="141"/>
      <c r="E42" s="141" t="s">
        <v>623</v>
      </c>
      <c r="F42" s="141" t="s">
        <v>623</v>
      </c>
      <c r="G42" s="141">
        <v>2.46</v>
      </c>
      <c r="H42" s="147">
        <f t="shared" si="0"/>
        <v>2.0614525139664805</v>
      </c>
      <c r="I42" s="147">
        <f t="shared" si="1"/>
        <v>1.153125</v>
      </c>
      <c r="J42" s="141">
        <v>20</v>
      </c>
      <c r="K42" s="147">
        <f>SUM(SUM($H$29:H42),SUM($J$29:J42))</f>
        <v>246.91983240223465</v>
      </c>
      <c r="L42" s="148">
        <f>SUM(SUM($I$29:I42),SUM($J$29:J42))</f>
        <v>224.48328125</v>
      </c>
    </row>
    <row r="43" spans="2:12">
      <c r="B43" s="150" t="s">
        <v>622</v>
      </c>
      <c r="C43" s="151"/>
      <c r="D43" s="151"/>
      <c r="E43" s="151" t="s">
        <v>624</v>
      </c>
      <c r="F43" s="151" t="s">
        <v>625</v>
      </c>
      <c r="G43" s="151">
        <v>2.25</v>
      </c>
      <c r="H43" s="152">
        <f t="shared" si="0"/>
        <v>1.8854748603351954</v>
      </c>
      <c r="I43" s="152">
        <f t="shared" si="1"/>
        <v>1.0546875</v>
      </c>
      <c r="J43" s="151">
        <v>20</v>
      </c>
      <c r="K43" s="152">
        <f>SUM(SUM($H$29:H43),SUM($J$29:J43))</f>
        <v>268.80530726256984</v>
      </c>
      <c r="L43" s="153">
        <f>SUM(SUM($I$29:I43),SUM($J$29:J43))</f>
        <v>245.53796875</v>
      </c>
    </row>
    <row r="44" spans="2:12">
      <c r="B44" s="154"/>
      <c r="C44" s="154"/>
      <c r="D44" s="154"/>
      <c r="E44" s="154"/>
      <c r="F44" s="154"/>
      <c r="G44" s="154"/>
      <c r="H44" s="154"/>
      <c r="I44" s="154"/>
      <c r="J44" s="154">
        <f>SUM(J29:J41)</f>
        <v>176</v>
      </c>
      <c r="K44" s="154"/>
      <c r="L44" s="154"/>
    </row>
    <row r="49" spans="2:6">
      <c r="B49" t="s">
        <v>210</v>
      </c>
    </row>
    <row r="50" spans="2:6">
      <c r="B50" t="s">
        <v>211</v>
      </c>
      <c r="C50" s="39">
        <f>K43</f>
        <v>268.80530726256984</v>
      </c>
      <c r="E50" t="s">
        <v>212</v>
      </c>
      <c r="F50" s="39">
        <f>L43</f>
        <v>245.53796875</v>
      </c>
    </row>
    <row r="52" spans="2:6">
      <c r="C52" s="39"/>
      <c r="F52" s="39"/>
    </row>
    <row r="54" spans="2:6">
      <c r="C54" s="39"/>
    </row>
  </sheetData>
  <hyperlinks>
    <hyperlink ref="M7" r:id="rId1" xr:uid="{864BE016-FC3A-0747-A1E6-79D36F3F97E9}"/>
    <hyperlink ref="M8" r:id="rId2" location="average-speed-by-age" xr:uid="{4DACE65C-547A-D14B-AE61-26E2FF333913}"/>
    <hyperlink ref="M12" r:id="rId3" location="average-speed-by-age" xr:uid="{DF558053-67C9-CF44-8253-7909D56276DF}"/>
  </hyperlinks>
  <pageMargins left="0.7" right="0.7" top="0.75" bottom="0.75" header="0.3" footer="0.3"/>
  <pageSetup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94D94-29C6-574E-89E7-258CBCE33C34}">
  <dimension ref="A1:L108"/>
  <sheetViews>
    <sheetView topLeftCell="A55" zoomScale="86" zoomScaleNormal="86" workbookViewId="0">
      <selection activeCell="D35" sqref="D35"/>
    </sheetView>
  </sheetViews>
  <sheetFormatPr baseColWidth="10" defaultColWidth="8.83203125" defaultRowHeight="15"/>
  <cols>
    <col min="1" max="1" width="4.1640625" customWidth="1"/>
    <col min="3" max="3" width="57.33203125" customWidth="1"/>
    <col min="4" max="4" width="14.6640625" style="93" customWidth="1"/>
    <col min="5" max="5" width="13.33203125" customWidth="1"/>
    <col min="6" max="6" width="12.5" bestFit="1" customWidth="1"/>
    <col min="7" max="7" width="8.5" customWidth="1"/>
    <col min="9" max="9" width="27.6640625" customWidth="1"/>
    <col min="10" max="10" width="10.6640625" bestFit="1" customWidth="1"/>
    <col min="14" max="14" width="49.33203125" bestFit="1" customWidth="1"/>
    <col min="17" max="17" width="17.33203125" bestFit="1" customWidth="1"/>
    <col min="18" max="18" width="9.6640625" bestFit="1" customWidth="1"/>
    <col min="19" max="20" width="16.1640625" bestFit="1" customWidth="1"/>
  </cols>
  <sheetData>
    <row r="1" spans="1:9" ht="20">
      <c r="A1" t="s">
        <v>213</v>
      </c>
      <c r="B1" s="18"/>
      <c r="C1" s="17"/>
    </row>
    <row r="2" spans="1:9" ht="13.25" customHeight="1">
      <c r="A2" s="18"/>
      <c r="B2" s="18"/>
      <c r="C2" s="17"/>
    </row>
    <row r="3" spans="1:9" ht="13.25" customHeight="1">
      <c r="A3" t="s">
        <v>146</v>
      </c>
      <c r="C3" t="s">
        <v>147</v>
      </c>
      <c r="D3" s="94" t="s">
        <v>148</v>
      </c>
      <c r="E3" t="s">
        <v>82</v>
      </c>
      <c r="H3" t="s">
        <v>149</v>
      </c>
      <c r="I3" t="s">
        <v>150</v>
      </c>
    </row>
    <row r="4" spans="1:9" ht="13.25" customHeight="1">
      <c r="B4">
        <v>1</v>
      </c>
      <c r="C4" t="s">
        <v>214</v>
      </c>
      <c r="H4" t="s">
        <v>215</v>
      </c>
      <c r="I4" t="s">
        <v>216</v>
      </c>
    </row>
    <row r="5" spans="1:9" ht="13.25" customHeight="1">
      <c r="C5" t="s">
        <v>217</v>
      </c>
      <c r="D5" s="93">
        <v>1</v>
      </c>
      <c r="E5" t="s">
        <v>218</v>
      </c>
    </row>
    <row r="6" spans="1:9" ht="13" customHeight="1">
      <c r="D6" s="93">
        <v>2</v>
      </c>
      <c r="E6" t="s">
        <v>215</v>
      </c>
    </row>
    <row r="7" spans="1:9" ht="13" customHeight="1"/>
    <row r="8" spans="1:9" ht="13" customHeight="1">
      <c r="B8">
        <v>2</v>
      </c>
      <c r="C8" t="s">
        <v>219</v>
      </c>
      <c r="H8" t="s">
        <v>215</v>
      </c>
      <c r="I8" t="s">
        <v>216</v>
      </c>
    </row>
    <row r="9" spans="1:9" ht="13" customHeight="1">
      <c r="C9" t="s">
        <v>220</v>
      </c>
      <c r="D9" s="93">
        <v>1</v>
      </c>
      <c r="E9" t="s">
        <v>218</v>
      </c>
    </row>
    <row r="10" spans="1:9" ht="13" customHeight="1">
      <c r="D10" s="93">
        <v>2</v>
      </c>
      <c r="E10" t="s">
        <v>215</v>
      </c>
    </row>
    <row r="11" spans="1:9" ht="13" customHeight="1"/>
    <row r="12" spans="1:9" ht="13" customHeight="1">
      <c r="B12">
        <v>3</v>
      </c>
      <c r="C12" t="s">
        <v>221</v>
      </c>
      <c r="H12" t="s">
        <v>215</v>
      </c>
      <c r="I12" t="s">
        <v>222</v>
      </c>
    </row>
    <row r="13" spans="1:9" ht="13" customHeight="1">
      <c r="D13" s="93">
        <v>1</v>
      </c>
      <c r="E13" t="s">
        <v>218</v>
      </c>
    </row>
    <row r="14" spans="1:9" ht="13" customHeight="1">
      <c r="D14" s="93">
        <v>2</v>
      </c>
      <c r="E14" t="s">
        <v>215</v>
      </c>
    </row>
    <row r="15" spans="1:9" ht="13.25" customHeight="1"/>
    <row r="16" spans="1:9" ht="13.25" customHeight="1">
      <c r="A16" t="s">
        <v>179</v>
      </c>
    </row>
    <row r="17" spans="2:3" ht="13.25" customHeight="1">
      <c r="B17">
        <v>1</v>
      </c>
      <c r="C17" t="s">
        <v>223</v>
      </c>
    </row>
    <row r="18" spans="2:3" ht="13.25" customHeight="1">
      <c r="C18" t="s">
        <v>224</v>
      </c>
    </row>
    <row r="19" spans="2:3" ht="13.25" customHeight="1">
      <c r="C19" t="s">
        <v>225</v>
      </c>
    </row>
    <row r="20" spans="2:3" ht="13.25" customHeight="1">
      <c r="C20" t="s">
        <v>226</v>
      </c>
    </row>
    <row r="21" spans="2:3" ht="13.25" customHeight="1"/>
    <row r="22" spans="2:3" ht="13.25" customHeight="1">
      <c r="B22">
        <v>2</v>
      </c>
      <c r="C22" t="s">
        <v>227</v>
      </c>
    </row>
    <row r="23" spans="2:3" ht="13.25" customHeight="1">
      <c r="C23" t="s">
        <v>228</v>
      </c>
    </row>
    <row r="24" spans="2:3" ht="13.25" customHeight="1">
      <c r="C24" t="s">
        <v>229</v>
      </c>
    </row>
    <row r="25" spans="2:3" ht="13.25" customHeight="1">
      <c r="C25" t="s">
        <v>230</v>
      </c>
    </row>
    <row r="26" spans="2:3" ht="13.25" customHeight="1">
      <c r="C26" t="s">
        <v>226</v>
      </c>
    </row>
    <row r="27" spans="2:3" ht="13.25" customHeight="1"/>
    <row r="28" spans="2:3" ht="13.25" customHeight="1">
      <c r="B28">
        <v>3</v>
      </c>
      <c r="C28" t="s">
        <v>231</v>
      </c>
    </row>
    <row r="29" spans="2:3" ht="13.25" customHeight="1">
      <c r="C29" t="s">
        <v>232</v>
      </c>
    </row>
    <row r="30" spans="2:3" ht="13.25" customHeight="1">
      <c r="C30" t="s">
        <v>226</v>
      </c>
    </row>
    <row r="31" spans="2:3" ht="13.25" customHeight="1"/>
    <row r="32" spans="2:3" ht="13.25" customHeight="1"/>
    <row r="33" spans="1:5">
      <c r="A33" t="s">
        <v>233</v>
      </c>
    </row>
    <row r="34" spans="1:5">
      <c r="B34">
        <v>1</v>
      </c>
      <c r="C34" t="s">
        <v>234</v>
      </c>
      <c r="D34" s="39">
        <f>AVERAGE('T Assembly'!F72,'T Assembly'!W72)/60</f>
        <v>7.2001666666666662</v>
      </c>
      <c r="E34" t="s">
        <v>235</v>
      </c>
    </row>
    <row r="35" spans="1:5">
      <c r="B35">
        <v>2</v>
      </c>
      <c r="C35" t="s">
        <v>236</v>
      </c>
      <c r="D35" s="39">
        <f>AVERAGE('T Picking'!C50,'T Picking'!F50)/60</f>
        <v>4.2861939667714157</v>
      </c>
      <c r="E35" t="s">
        <v>235</v>
      </c>
    </row>
    <row r="36" spans="1:5">
      <c r="B36">
        <v>3</v>
      </c>
      <c r="C36" t="s">
        <v>237</v>
      </c>
      <c r="D36">
        <v>5.5</v>
      </c>
      <c r="E36" t="s">
        <v>238</v>
      </c>
    </row>
    <row r="37" spans="1:5">
      <c r="B37">
        <v>4</v>
      </c>
      <c r="C37" t="s">
        <v>239</v>
      </c>
      <c r="D37">
        <v>3</v>
      </c>
      <c r="E37" t="s">
        <v>240</v>
      </c>
    </row>
    <row r="38" spans="1:5">
      <c r="B38">
        <v>5</v>
      </c>
      <c r="C38" t="s">
        <v>241</v>
      </c>
      <c r="D38">
        <v>2</v>
      </c>
      <c r="E38" t="s">
        <v>242</v>
      </c>
    </row>
    <row r="39" spans="1:5">
      <c r="B39">
        <v>6</v>
      </c>
      <c r="C39" t="s">
        <v>243</v>
      </c>
      <c r="D39" s="100">
        <f>'T Assembly'!P71/100</f>
        <v>0.02</v>
      </c>
    </row>
    <row r="40" spans="1:5">
      <c r="B40">
        <v>7</v>
      </c>
      <c r="C40" t="s">
        <v>244</v>
      </c>
      <c r="D40" s="100">
        <f>'T Assembly'!P67/100</f>
        <v>9.5000000000000001E-2</v>
      </c>
    </row>
    <row r="41" spans="1:5">
      <c r="B41">
        <v>8</v>
      </c>
      <c r="C41" t="s">
        <v>245</v>
      </c>
      <c r="D41" s="93">
        <v>10</v>
      </c>
    </row>
    <row r="43" spans="1:5">
      <c r="A43" t="s">
        <v>246</v>
      </c>
    </row>
    <row r="45" spans="1:5">
      <c r="B45" t="s">
        <v>247</v>
      </c>
      <c r="E45" s="19"/>
    </row>
    <row r="46" spans="1:5">
      <c r="C46" t="s">
        <v>635</v>
      </c>
      <c r="D46">
        <v>1</v>
      </c>
      <c r="E46" t="s">
        <v>238</v>
      </c>
    </row>
    <row r="47" spans="1:5">
      <c r="C47" t="s">
        <v>249</v>
      </c>
      <c r="D47">
        <f>D36</f>
        <v>5.5</v>
      </c>
      <c r="E47" t="s">
        <v>238</v>
      </c>
    </row>
    <row r="48" spans="1:5">
      <c r="D48"/>
    </row>
    <row r="49" spans="3:6">
      <c r="C49" t="s">
        <v>250</v>
      </c>
      <c r="D49" s="39">
        <f>D46/(D34/60)</f>
        <v>8.3331404365639692</v>
      </c>
      <c r="E49" t="s">
        <v>251</v>
      </c>
    </row>
    <row r="50" spans="3:6">
      <c r="C50" t="s">
        <v>252</v>
      </c>
      <c r="D50" s="39">
        <f>D49*D47</f>
        <v>45.832272401101832</v>
      </c>
      <c r="E50" t="s">
        <v>253</v>
      </c>
    </row>
    <row r="51" spans="3:6">
      <c r="C51" t="str">
        <f>"TrackRs made by "&amp;D37&amp;" tables Per Shift"</f>
        <v>TrackRs made by 3 tables Per Shift</v>
      </c>
      <c r="D51" s="39">
        <f>D50*D37</f>
        <v>137.49681720330551</v>
      </c>
      <c r="E51" t="s">
        <v>254</v>
      </c>
    </row>
    <row r="52" spans="3:6">
      <c r="C52" t="str">
        <f>"TrackRs per day in "&amp;D38&amp;" shifts"</f>
        <v>TrackRs per day in 2 shifts</v>
      </c>
      <c r="D52" s="39">
        <f>D51*D38</f>
        <v>274.99363440661102</v>
      </c>
      <c r="E52" t="s">
        <v>254</v>
      </c>
    </row>
    <row r="53" spans="3:6">
      <c r="C53" t="s">
        <v>255</v>
      </c>
      <c r="D53" s="113">
        <f>D39+D40</f>
        <v>0.115</v>
      </c>
    </row>
    <row r="54" spans="3:6">
      <c r="C54" t="s">
        <v>256</v>
      </c>
      <c r="D54" s="127">
        <f>D52*(1-D53)</f>
        <v>243.36936644985076</v>
      </c>
      <c r="E54" t="s">
        <v>254</v>
      </c>
    </row>
    <row r="56" spans="3:6">
      <c r="C56" t="s">
        <v>257</v>
      </c>
    </row>
    <row r="57" spans="3:6">
      <c r="C57" t="s">
        <v>258</v>
      </c>
    </row>
    <row r="59" spans="3:6">
      <c r="D59" s="93" t="s">
        <v>93</v>
      </c>
      <c r="E59" t="s">
        <v>97</v>
      </c>
      <c r="F59" t="s">
        <v>101</v>
      </c>
    </row>
    <row r="60" spans="3:6">
      <c r="C60" t="s">
        <v>259</v>
      </c>
      <c r="D60" s="95">
        <f>'A WholeSale'!G6</f>
        <v>140</v>
      </c>
      <c r="E60" s="16">
        <f>'A WholeSale'!G7</f>
        <v>115</v>
      </c>
      <c r="F60" s="16">
        <f>'A WholeSale'!G8</f>
        <v>155</v>
      </c>
    </row>
    <row r="61" spans="3:6">
      <c r="C61" t="s">
        <v>260</v>
      </c>
      <c r="D61" s="95">
        <f>Components!L4</f>
        <v>99.16</v>
      </c>
      <c r="E61" s="16">
        <f>Components!L5</f>
        <v>95.16</v>
      </c>
      <c r="F61" s="16">
        <f>Components!L6</f>
        <v>104.16</v>
      </c>
    </row>
    <row r="62" spans="3:6">
      <c r="C62" t="s">
        <v>261</v>
      </c>
      <c r="D62" s="95">
        <f>D41</f>
        <v>10</v>
      </c>
      <c r="E62" s="16">
        <f>D41</f>
        <v>10</v>
      </c>
      <c r="F62" s="16">
        <f>D41</f>
        <v>10</v>
      </c>
    </row>
    <row r="63" spans="3:6">
      <c r="C63" t="s">
        <v>262</v>
      </c>
      <c r="D63" s="39">
        <f>'A VerAvgProdn'!D18</f>
        <v>96.107793522267201</v>
      </c>
      <c r="E63" s="39">
        <f>'A VerAvgProdn'!D19</f>
        <v>81.200724637681162</v>
      </c>
      <c r="F63" s="39">
        <f>'A VerAvgProdn'!D20</f>
        <v>74.820524620340549</v>
      </c>
    </row>
    <row r="64" spans="3:6">
      <c r="C64" t="s">
        <v>263</v>
      </c>
      <c r="D64" s="113">
        <f>D63/SUM($D$63:$F$63)</f>
        <v>0.38118493792885955</v>
      </c>
      <c r="E64" s="20">
        <f>E63/SUM($D$63:$F$63)</f>
        <v>0.32206017895543021</v>
      </c>
      <c r="F64" s="20">
        <f t="shared" ref="F64" si="0">F63/SUM($D$63:$F$63)</f>
        <v>0.2967548831157103</v>
      </c>
    </row>
    <row r="65" spans="2:12">
      <c r="C65" t="s">
        <v>264</v>
      </c>
      <c r="D65" s="95">
        <f>D60-(D61+D62)</f>
        <v>30.840000000000003</v>
      </c>
      <c r="E65" s="16">
        <f>E60-(E61+E62)</f>
        <v>9.8400000000000034</v>
      </c>
      <c r="F65" s="16">
        <f>F60-(F61+F62)</f>
        <v>40.840000000000003</v>
      </c>
    </row>
    <row r="67" spans="2:12">
      <c r="B67" t="s">
        <v>265</v>
      </c>
    </row>
    <row r="68" spans="2:12">
      <c r="C68" t="s">
        <v>266</v>
      </c>
      <c r="D68" s="95">
        <f>D65*D64*$D54</f>
        <v>2860.9878442681038</v>
      </c>
      <c r="E68" s="16">
        <f t="shared" ref="E68:F68" si="1">E65*E64*$D54</f>
        <v>771.25508403730896</v>
      </c>
      <c r="F68" s="16">
        <f t="shared" si="1"/>
        <v>2949.5075960224044</v>
      </c>
    </row>
    <row r="69" spans="2:12">
      <c r="C69" t="s">
        <v>267</v>
      </c>
    </row>
    <row r="71" spans="2:12">
      <c r="C71" t="s">
        <v>268</v>
      </c>
      <c r="D71" s="93">
        <f>D61*(D52-D54)*D64</f>
        <v>1195.343518335088</v>
      </c>
      <c r="E71" s="15">
        <f>E61*(D52-D54)*E64</f>
        <v>969.19673954502355</v>
      </c>
      <c r="F71" s="15">
        <f>F61*(D52-D54)*F64</f>
        <v>977.50576282792315</v>
      </c>
    </row>
    <row r="73" spans="2:12">
      <c r="C73" t="s">
        <v>269</v>
      </c>
      <c r="D73" s="95">
        <f>SUM(D68:F68)-SUM(D71:F71)</f>
        <v>3439.7045036197828</v>
      </c>
      <c r="J73" s="21"/>
      <c r="K73" s="21"/>
      <c r="L73" s="21"/>
    </row>
    <row r="74" spans="2:12">
      <c r="J74" s="21"/>
      <c r="K74" s="21"/>
      <c r="L74" s="21"/>
    </row>
    <row r="75" spans="2:12">
      <c r="B75" t="s">
        <v>270</v>
      </c>
      <c r="D75" s="93" t="s">
        <v>271</v>
      </c>
      <c r="F75" t="s">
        <v>272</v>
      </c>
    </row>
    <row r="76" spans="2:12">
      <c r="C76" t="s">
        <v>273</v>
      </c>
      <c r="D76" s="95">
        <f>'A Employees'!F10</f>
        <v>22</v>
      </c>
      <c r="E76" t="s">
        <v>274</v>
      </c>
      <c r="F76">
        <v>8</v>
      </c>
    </row>
    <row r="77" spans="2:12">
      <c r="C77" t="s">
        <v>275</v>
      </c>
      <c r="D77" s="95">
        <f>'A Employees'!F9</f>
        <v>26</v>
      </c>
      <c r="E77" t="s">
        <v>274</v>
      </c>
      <c r="F77">
        <f>'A Employees'!E9</f>
        <v>6</v>
      </c>
    </row>
    <row r="78" spans="2:12">
      <c r="C78" t="s">
        <v>276</v>
      </c>
      <c r="D78" s="95">
        <f>'A Employees'!F11</f>
        <v>26</v>
      </c>
      <c r="E78" t="s">
        <v>274</v>
      </c>
      <c r="F78">
        <f>'A Employees'!E11</f>
        <v>6</v>
      </c>
    </row>
    <row r="80" spans="2:12">
      <c r="C80" t="s">
        <v>277</v>
      </c>
      <c r="D80" s="100">
        <v>0.2</v>
      </c>
    </row>
    <row r="82" spans="2:10">
      <c r="C82" t="s">
        <v>278</v>
      </c>
      <c r="D82" s="95">
        <f>(D76*F76+D77*F77+D78*F78)*D36*(1+D80)</f>
        <v>3220.7999999999997</v>
      </c>
    </row>
    <row r="84" spans="2:10">
      <c r="B84" t="s">
        <v>279</v>
      </c>
      <c r="I84" s="61" t="s">
        <v>280</v>
      </c>
    </row>
    <row r="85" spans="2:10" ht="32">
      <c r="C85" s="22" t="s">
        <v>281</v>
      </c>
      <c r="D85" s="96" t="s">
        <v>282</v>
      </c>
      <c r="E85" s="13" t="s">
        <v>283</v>
      </c>
      <c r="F85" t="s">
        <v>284</v>
      </c>
      <c r="I85" s="92" t="s">
        <v>285</v>
      </c>
    </row>
    <row r="86" spans="2:10">
      <c r="C86" t="s">
        <v>286</v>
      </c>
      <c r="D86" s="97">
        <f>VLOOKUP(C86,Table2[[Role]:[Amount]],3,FALSE)</f>
        <v>30</v>
      </c>
      <c r="E86" s="98">
        <f>VLOOKUP(C86,Table2[[Role]:[Amount]],2,FALSE)</f>
        <v>3</v>
      </c>
      <c r="F86" s="39">
        <v>8</v>
      </c>
      <c r="I86" s="99">
        <f t="shared" ref="I86:I92" si="2">D86*E86*F86</f>
        <v>720</v>
      </c>
    </row>
    <row r="87" spans="2:10">
      <c r="C87" t="s">
        <v>287</v>
      </c>
      <c r="D87" s="97">
        <f>VLOOKUP(C87,Table2[[Role]:[Amount]],3,FALSE)</f>
        <v>26</v>
      </c>
      <c r="E87" s="98">
        <f>VLOOKUP(C87,Table2[[Role]:[Amount]],2,FALSE)</f>
        <v>3</v>
      </c>
      <c r="F87" s="39">
        <v>8</v>
      </c>
      <c r="I87" s="99">
        <f t="shared" si="2"/>
        <v>624</v>
      </c>
    </row>
    <row r="88" spans="2:10">
      <c r="C88" t="s">
        <v>288</v>
      </c>
      <c r="D88" s="97">
        <f>VLOOKUP(C88,Table2[[Role]:[Amount]],3,FALSE)</f>
        <v>30</v>
      </c>
      <c r="E88" s="98">
        <f>VLOOKUP(C88,Table2[[Role]:[Amount]],2,FALSE)</f>
        <v>2</v>
      </c>
      <c r="F88" s="39">
        <v>8</v>
      </c>
      <c r="I88" s="99">
        <f t="shared" si="2"/>
        <v>480</v>
      </c>
    </row>
    <row r="89" spans="2:10">
      <c r="C89" t="s">
        <v>289</v>
      </c>
      <c r="D89" s="97">
        <f>VLOOKUP(C89,Table36[[Role]:[Amount]],3,FALSE)</f>
        <v>21.306818181818183</v>
      </c>
      <c r="E89" s="98">
        <f>VLOOKUP(C89,Table3[[Role]:[Amount]],2,FALSE)</f>
        <v>2</v>
      </c>
      <c r="F89" s="39">
        <v>8</v>
      </c>
      <c r="I89" s="99">
        <f t="shared" si="2"/>
        <v>340.90909090909093</v>
      </c>
    </row>
    <row r="90" spans="2:10">
      <c r="C90" t="s">
        <v>290</v>
      </c>
      <c r="D90" s="97">
        <f>VLOOKUP(C90,Table2[[Role]:[Amount]],3,FALSE)</f>
        <v>26</v>
      </c>
      <c r="E90" s="98">
        <f>VLOOKUP(C90,Table2[[Role]:[Amount]],2,FALSE)</f>
        <v>2</v>
      </c>
      <c r="F90" s="39">
        <v>8</v>
      </c>
      <c r="I90" s="99">
        <f t="shared" si="2"/>
        <v>416</v>
      </c>
    </row>
    <row r="91" spans="2:10">
      <c r="C91" t="s">
        <v>291</v>
      </c>
      <c r="D91" s="97">
        <f>VLOOKUP(C91,Table36[[Role]:[Amount]],3,FALSE)</f>
        <v>19.886363636363637</v>
      </c>
      <c r="E91" s="98">
        <f>VLOOKUP(C91,Table3[[Role]:[Amount]],2,FALSE)</f>
        <v>3</v>
      </c>
      <c r="F91" s="39">
        <v>8</v>
      </c>
      <c r="I91" s="99">
        <f t="shared" si="2"/>
        <v>477.27272727272725</v>
      </c>
    </row>
    <row r="92" spans="2:10">
      <c r="C92" t="s">
        <v>292</v>
      </c>
      <c r="D92" s="97">
        <f>VLOOKUP(C92,Table36[[Role]:[Amount]],3,FALSE)</f>
        <v>28.40909090909091</v>
      </c>
      <c r="E92" s="98">
        <f>VLOOKUP(C92,Table3[[Role]:[Amount]],2,FALSE)</f>
        <v>2</v>
      </c>
      <c r="F92" s="39">
        <v>8</v>
      </c>
      <c r="I92" s="99">
        <f t="shared" si="2"/>
        <v>454.54545454545456</v>
      </c>
    </row>
    <row r="93" spans="2:10">
      <c r="I93" s="99">
        <f>SUM(I86:I92)</f>
        <v>3512.7272727272725</v>
      </c>
    </row>
    <row r="94" spans="2:10">
      <c r="C94" t="s">
        <v>293</v>
      </c>
      <c r="D94" s="100">
        <v>0.5</v>
      </c>
      <c r="I94" s="88"/>
    </row>
    <row r="96" spans="2:10" ht="21.25" customHeight="1">
      <c r="C96" t="s">
        <v>294</v>
      </c>
      <c r="D96" s="93">
        <f>D94*I93</f>
        <v>1756.3636363636363</v>
      </c>
      <c r="J96" s="91"/>
    </row>
    <row r="97" spans="2:5" ht="23.5" customHeight="1"/>
    <row r="98" spans="2:5">
      <c r="B98" t="s">
        <v>295</v>
      </c>
    </row>
    <row r="99" spans="2:5">
      <c r="C99" t="s">
        <v>296</v>
      </c>
      <c r="D99" s="95">
        <v>42</v>
      </c>
      <c r="E99" t="s">
        <v>297</v>
      </c>
    </row>
    <row r="100" spans="2:5">
      <c r="C100" t="s">
        <v>298</v>
      </c>
      <c r="D100" s="93">
        <v>24</v>
      </c>
      <c r="E100" t="s">
        <v>299</v>
      </c>
    </row>
    <row r="102" spans="2:5">
      <c r="B102" t="s">
        <v>300</v>
      </c>
    </row>
    <row r="103" spans="2:5">
      <c r="C103" t="s">
        <v>301</v>
      </c>
      <c r="D103" s="93">
        <f>D73</f>
        <v>3439.7045036197828</v>
      </c>
    </row>
    <row r="104" spans="2:5">
      <c r="C104" t="s">
        <v>302</v>
      </c>
      <c r="D104" s="93">
        <f>-D82</f>
        <v>-3220.7999999999997</v>
      </c>
    </row>
    <row r="105" spans="2:5">
      <c r="C105" t="s">
        <v>303</v>
      </c>
      <c r="D105" s="93">
        <f>-D96</f>
        <v>-1756.3636363636363</v>
      </c>
    </row>
    <row r="106" spans="2:5">
      <c r="C106" t="s">
        <v>295</v>
      </c>
      <c r="D106" s="95">
        <f>-(D99*D100)</f>
        <v>-1008</v>
      </c>
    </row>
    <row r="108" spans="2:5">
      <c r="C108" s="14" t="s">
        <v>304</v>
      </c>
      <c r="D108" s="93">
        <f>SUM(D103:D107)</f>
        <v>-2545.4591327438529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C5527-6D6E-CC47-A4F0-429CBFAFF33B}">
  <dimension ref="A1:L108"/>
  <sheetViews>
    <sheetView topLeftCell="A79" zoomScale="86" zoomScaleNormal="86" workbookViewId="0">
      <selection activeCell="F94" sqref="F94"/>
    </sheetView>
  </sheetViews>
  <sheetFormatPr baseColWidth="10" defaultColWidth="8.83203125" defaultRowHeight="15"/>
  <cols>
    <col min="1" max="1" width="4.1640625" customWidth="1"/>
    <col min="3" max="3" width="57.33203125" customWidth="1"/>
    <col min="4" max="4" width="14.6640625" style="93" customWidth="1"/>
    <col min="5" max="5" width="13.33203125" customWidth="1"/>
    <col min="6" max="6" width="12.5" bestFit="1" customWidth="1"/>
    <col min="7" max="7" width="8.5" customWidth="1"/>
    <col min="9" max="9" width="27.6640625" customWidth="1"/>
    <col min="10" max="10" width="10.6640625" bestFit="1" customWidth="1"/>
    <col min="14" max="14" width="49.33203125" bestFit="1" customWidth="1"/>
    <col min="17" max="17" width="17.33203125" bestFit="1" customWidth="1"/>
    <col min="18" max="18" width="9.6640625" bestFit="1" customWidth="1"/>
    <col min="19" max="20" width="16.1640625" bestFit="1" customWidth="1"/>
  </cols>
  <sheetData>
    <row r="1" spans="1:9" ht="20">
      <c r="A1" t="s">
        <v>213</v>
      </c>
      <c r="B1" s="18"/>
      <c r="C1" s="17"/>
    </row>
    <row r="2" spans="1:9" ht="13.25" customHeight="1">
      <c r="A2" s="18"/>
      <c r="B2" s="18"/>
      <c r="C2" s="17"/>
    </row>
    <row r="3" spans="1:9" ht="13.25" customHeight="1">
      <c r="A3" t="s">
        <v>146</v>
      </c>
      <c r="C3" t="s">
        <v>147</v>
      </c>
      <c r="D3" s="94" t="s">
        <v>148</v>
      </c>
      <c r="E3" t="s">
        <v>82</v>
      </c>
      <c r="H3" t="s">
        <v>149</v>
      </c>
      <c r="I3" t="s">
        <v>150</v>
      </c>
    </row>
    <row r="4" spans="1:9" ht="13.25" customHeight="1">
      <c r="B4">
        <v>1</v>
      </c>
      <c r="C4" t="s">
        <v>214</v>
      </c>
      <c r="H4" t="s">
        <v>215</v>
      </c>
      <c r="I4" t="s">
        <v>216</v>
      </c>
    </row>
    <row r="5" spans="1:9" ht="13.25" customHeight="1">
      <c r="C5" t="s">
        <v>217</v>
      </c>
      <c r="D5" s="93">
        <v>1</v>
      </c>
      <c r="E5" t="s">
        <v>218</v>
      </c>
    </row>
    <row r="6" spans="1:9" ht="13" customHeight="1">
      <c r="D6" s="93">
        <v>2</v>
      </c>
      <c r="E6" t="s">
        <v>215</v>
      </c>
    </row>
    <row r="7" spans="1:9" ht="13" customHeight="1"/>
    <row r="8" spans="1:9" ht="13" customHeight="1">
      <c r="B8">
        <v>2</v>
      </c>
      <c r="C8" t="s">
        <v>219</v>
      </c>
      <c r="H8" t="s">
        <v>215</v>
      </c>
      <c r="I8" t="s">
        <v>216</v>
      </c>
    </row>
    <row r="9" spans="1:9" ht="13" customHeight="1">
      <c r="C9" t="s">
        <v>220</v>
      </c>
      <c r="D9" s="93">
        <v>1</v>
      </c>
      <c r="E9" t="s">
        <v>218</v>
      </c>
    </row>
    <row r="10" spans="1:9" ht="13" customHeight="1">
      <c r="D10" s="93">
        <v>2</v>
      </c>
      <c r="E10" t="s">
        <v>215</v>
      </c>
    </row>
    <row r="11" spans="1:9" ht="13" customHeight="1"/>
    <row r="12" spans="1:9" ht="13" customHeight="1">
      <c r="B12">
        <v>3</v>
      </c>
      <c r="C12" t="s">
        <v>221</v>
      </c>
      <c r="H12" t="s">
        <v>215</v>
      </c>
      <c r="I12" t="s">
        <v>222</v>
      </c>
    </row>
    <row r="13" spans="1:9" ht="13" customHeight="1">
      <c r="D13" s="93">
        <v>1</v>
      </c>
      <c r="E13" t="s">
        <v>218</v>
      </c>
    </row>
    <row r="14" spans="1:9" ht="13" customHeight="1">
      <c r="D14" s="93">
        <v>2</v>
      </c>
      <c r="E14" t="s">
        <v>215</v>
      </c>
    </row>
    <row r="15" spans="1:9" ht="13.25" customHeight="1"/>
    <row r="16" spans="1:9" ht="13.25" customHeight="1">
      <c r="A16" t="s">
        <v>179</v>
      </c>
    </row>
    <row r="17" spans="2:3" ht="13.25" customHeight="1">
      <c r="B17">
        <v>1</v>
      </c>
      <c r="C17" t="s">
        <v>223</v>
      </c>
    </row>
    <row r="18" spans="2:3" ht="13.25" customHeight="1">
      <c r="C18" t="s">
        <v>224</v>
      </c>
    </row>
    <row r="19" spans="2:3" ht="13.25" customHeight="1">
      <c r="C19" t="s">
        <v>225</v>
      </c>
    </row>
    <row r="20" spans="2:3" ht="13.25" customHeight="1">
      <c r="C20" t="s">
        <v>226</v>
      </c>
    </row>
    <row r="21" spans="2:3" ht="13.25" customHeight="1"/>
    <row r="22" spans="2:3" ht="13.25" customHeight="1">
      <c r="B22">
        <v>2</v>
      </c>
      <c r="C22" t="s">
        <v>227</v>
      </c>
    </row>
    <row r="23" spans="2:3" ht="13.25" customHeight="1">
      <c r="C23" t="s">
        <v>228</v>
      </c>
    </row>
    <row r="24" spans="2:3" ht="13.25" customHeight="1">
      <c r="C24" t="s">
        <v>229</v>
      </c>
    </row>
    <row r="25" spans="2:3" ht="13.25" customHeight="1">
      <c r="C25" t="s">
        <v>230</v>
      </c>
    </row>
    <row r="26" spans="2:3" ht="13.25" customHeight="1">
      <c r="C26" t="s">
        <v>226</v>
      </c>
    </row>
    <row r="27" spans="2:3" ht="13.25" customHeight="1"/>
    <row r="28" spans="2:3" ht="13.25" customHeight="1">
      <c r="B28">
        <v>3</v>
      </c>
      <c r="C28" t="s">
        <v>231</v>
      </c>
    </row>
    <row r="29" spans="2:3" ht="13.25" customHeight="1">
      <c r="C29" t="s">
        <v>232</v>
      </c>
    </row>
    <row r="30" spans="2:3" ht="13.25" customHeight="1">
      <c r="C30" t="s">
        <v>226</v>
      </c>
    </row>
    <row r="31" spans="2:3" ht="13.25" customHeight="1"/>
    <row r="32" spans="2:3" ht="13.25" customHeight="1"/>
    <row r="33" spans="1:5">
      <c r="A33" t="s">
        <v>233</v>
      </c>
    </row>
    <row r="34" spans="1:5">
      <c r="B34">
        <v>1</v>
      </c>
      <c r="C34" t="s">
        <v>234</v>
      </c>
      <c r="D34" s="39">
        <f>'T Assembly'!F72/60</f>
        <v>5.0083333333333337</v>
      </c>
      <c r="E34" t="s">
        <v>235</v>
      </c>
    </row>
    <row r="35" spans="1:5">
      <c r="B35">
        <v>2</v>
      </c>
      <c r="C35" t="s">
        <v>236</v>
      </c>
      <c r="D35" s="39">
        <f>'T Picking'!F50/60</f>
        <v>4.0922994791666669</v>
      </c>
      <c r="E35" t="s">
        <v>235</v>
      </c>
    </row>
    <row r="36" spans="1:5">
      <c r="B36">
        <v>3</v>
      </c>
      <c r="C36" t="s">
        <v>237</v>
      </c>
      <c r="D36">
        <v>3.4</v>
      </c>
      <c r="E36" t="s">
        <v>238</v>
      </c>
    </row>
    <row r="37" spans="1:5">
      <c r="B37">
        <v>4</v>
      </c>
      <c r="C37" t="s">
        <v>239</v>
      </c>
      <c r="D37">
        <v>3</v>
      </c>
      <c r="E37" t="s">
        <v>240</v>
      </c>
    </row>
    <row r="38" spans="1:5">
      <c r="B38">
        <v>5</v>
      </c>
      <c r="C38" t="s">
        <v>241</v>
      </c>
      <c r="D38">
        <v>2</v>
      </c>
      <c r="E38" t="s">
        <v>242</v>
      </c>
    </row>
    <row r="39" spans="1:5">
      <c r="B39">
        <v>6</v>
      </c>
      <c r="C39" t="s">
        <v>243</v>
      </c>
      <c r="D39" s="100">
        <v>0</v>
      </c>
    </row>
    <row r="40" spans="1:5">
      <c r="B40">
        <v>7</v>
      </c>
      <c r="C40" t="s">
        <v>244</v>
      </c>
      <c r="D40" s="100">
        <v>0</v>
      </c>
    </row>
    <row r="41" spans="1:5">
      <c r="B41">
        <v>8</v>
      </c>
      <c r="C41" t="s">
        <v>245</v>
      </c>
      <c r="D41" s="93">
        <v>10</v>
      </c>
    </row>
    <row r="43" spans="1:5">
      <c r="A43" t="s">
        <v>246</v>
      </c>
    </row>
    <row r="45" spans="1:5">
      <c r="B45" t="s">
        <v>247</v>
      </c>
      <c r="E45" s="19"/>
    </row>
    <row r="46" spans="1:5">
      <c r="C46" t="s">
        <v>635</v>
      </c>
      <c r="D46">
        <v>1</v>
      </c>
      <c r="E46" t="s">
        <v>238</v>
      </c>
    </row>
    <row r="47" spans="1:5">
      <c r="C47" t="s">
        <v>249</v>
      </c>
      <c r="D47">
        <f>D36</f>
        <v>3.4</v>
      </c>
      <c r="E47" t="s">
        <v>238</v>
      </c>
    </row>
    <row r="48" spans="1:5">
      <c r="D48"/>
    </row>
    <row r="49" spans="3:6">
      <c r="C49" t="s">
        <v>250</v>
      </c>
      <c r="D49" s="39">
        <f>D46/(D34/60)</f>
        <v>11.980033277870216</v>
      </c>
      <c r="E49" t="s">
        <v>251</v>
      </c>
    </row>
    <row r="50" spans="3:6">
      <c r="C50" t="s">
        <v>252</v>
      </c>
      <c r="D50" s="39">
        <f>D49*D47</f>
        <v>40.732113144758735</v>
      </c>
      <c r="E50" t="s">
        <v>253</v>
      </c>
    </row>
    <row r="51" spans="3:6">
      <c r="C51" t="str">
        <f>"TrackRs made by "&amp;D37&amp;" tables Per Shift"</f>
        <v>TrackRs made by 3 tables Per Shift</v>
      </c>
      <c r="D51" s="39">
        <f>D50*D37</f>
        <v>122.19633943427621</v>
      </c>
      <c r="E51" t="s">
        <v>254</v>
      </c>
    </row>
    <row r="52" spans="3:6">
      <c r="C52" t="str">
        <f>"TrackRs per day in "&amp;D38&amp;" shifts"</f>
        <v>TrackRs per day in 2 shifts</v>
      </c>
      <c r="D52" s="39">
        <f>D51*D38</f>
        <v>244.39267886855242</v>
      </c>
      <c r="E52" t="s">
        <v>254</v>
      </c>
    </row>
    <row r="53" spans="3:6">
      <c r="C53" t="s">
        <v>255</v>
      </c>
      <c r="D53" s="113">
        <f>D39+D40</f>
        <v>0</v>
      </c>
    </row>
    <row r="54" spans="3:6">
      <c r="C54" t="s">
        <v>256</v>
      </c>
      <c r="D54" s="127">
        <f>D52*(1-D53)</f>
        <v>244.39267886855242</v>
      </c>
      <c r="E54" t="s">
        <v>254</v>
      </c>
    </row>
    <row r="56" spans="3:6">
      <c r="C56" t="s">
        <v>257</v>
      </c>
    </row>
    <row r="57" spans="3:6">
      <c r="C57" t="s">
        <v>258</v>
      </c>
    </row>
    <row r="59" spans="3:6">
      <c r="D59" s="93" t="s">
        <v>93</v>
      </c>
      <c r="E59" t="s">
        <v>97</v>
      </c>
      <c r="F59" t="s">
        <v>101</v>
      </c>
    </row>
    <row r="60" spans="3:6">
      <c r="C60" t="s">
        <v>259</v>
      </c>
      <c r="D60" s="95">
        <f>'A WholeSale'!G6</f>
        <v>140</v>
      </c>
      <c r="E60" s="16">
        <f>'A WholeSale'!G7</f>
        <v>115</v>
      </c>
      <c r="F60" s="16">
        <f>'A WholeSale'!G8</f>
        <v>155</v>
      </c>
    </row>
    <row r="61" spans="3:6">
      <c r="C61" t="s">
        <v>260</v>
      </c>
      <c r="D61" s="95">
        <f>Components!L4</f>
        <v>99.16</v>
      </c>
      <c r="E61" s="16">
        <f>Components!L5</f>
        <v>95.16</v>
      </c>
      <c r="F61" s="16">
        <f>Components!L6</f>
        <v>104.16</v>
      </c>
    </row>
    <row r="62" spans="3:6">
      <c r="C62" t="s">
        <v>261</v>
      </c>
      <c r="D62" s="95">
        <f>D41</f>
        <v>10</v>
      </c>
      <c r="E62" s="16">
        <f>D41</f>
        <v>10</v>
      </c>
      <c r="F62" s="16">
        <f>D41</f>
        <v>10</v>
      </c>
    </row>
    <row r="63" spans="3:6">
      <c r="C63" t="s">
        <v>262</v>
      </c>
      <c r="D63" s="39">
        <f>'A VerAvgProdn'!D18</f>
        <v>96.107793522267201</v>
      </c>
      <c r="E63" s="39">
        <f>'A VerAvgProdn'!D19</f>
        <v>81.200724637681162</v>
      </c>
      <c r="F63" s="39">
        <f>'A VerAvgProdn'!D20</f>
        <v>74.820524620340549</v>
      </c>
    </row>
    <row r="64" spans="3:6">
      <c r="C64" t="s">
        <v>263</v>
      </c>
      <c r="D64" s="113">
        <f>D63/SUM($D$63:$F$63)</f>
        <v>0.38118493792885955</v>
      </c>
      <c r="E64" s="20">
        <f>E63/SUM($D$63:$F$63)</f>
        <v>0.32206017895543021</v>
      </c>
      <c r="F64" s="20">
        <f t="shared" ref="F64" si="0">F63/SUM($D$63:$F$63)</f>
        <v>0.2967548831157103</v>
      </c>
    </row>
    <row r="65" spans="2:12">
      <c r="C65" t="s">
        <v>264</v>
      </c>
      <c r="D65" s="95">
        <f>D60-(D61+D62)</f>
        <v>30.840000000000003</v>
      </c>
      <c r="E65" s="16">
        <f>E60-(E61+E62)</f>
        <v>9.8400000000000034</v>
      </c>
      <c r="F65" s="16">
        <f>F60-(F61+F62)</f>
        <v>40.840000000000003</v>
      </c>
    </row>
    <row r="67" spans="2:12">
      <c r="B67" t="s">
        <v>265</v>
      </c>
    </row>
    <row r="68" spans="2:12">
      <c r="C68" t="s">
        <v>266</v>
      </c>
      <c r="D68" s="95">
        <f>D65*D64*$D54</f>
        <v>2873.0176425681184</v>
      </c>
      <c r="E68" s="16">
        <f t="shared" ref="E68:F68" si="1">E65*E64*$D54</f>
        <v>774.49803493534159</v>
      </c>
      <c r="F68" s="16">
        <f t="shared" si="1"/>
        <v>2961.9095995945613</v>
      </c>
    </row>
    <row r="69" spans="2:12">
      <c r="C69" t="s">
        <v>267</v>
      </c>
    </row>
    <row r="71" spans="2:12">
      <c r="C71" t="s">
        <v>268</v>
      </c>
      <c r="D71" s="93">
        <f>D61*(D52-D54)*D64</f>
        <v>0</v>
      </c>
      <c r="E71" s="93">
        <f>E61*(D52-D54)*E64</f>
        <v>0</v>
      </c>
      <c r="F71" s="93">
        <f>F61*(D52-D54)*F64</f>
        <v>0</v>
      </c>
    </row>
    <row r="73" spans="2:12">
      <c r="C73" t="s">
        <v>269</v>
      </c>
      <c r="D73" s="95">
        <f>SUM(D68:F68)-SUM(D71:F71)</f>
        <v>6609.425277098022</v>
      </c>
      <c r="J73" s="21"/>
      <c r="K73" s="21"/>
      <c r="L73" s="21"/>
    </row>
    <row r="74" spans="2:12">
      <c r="J74" s="21"/>
      <c r="K74" s="21"/>
      <c r="L74" s="21"/>
    </row>
    <row r="75" spans="2:12">
      <c r="B75" t="s">
        <v>270</v>
      </c>
      <c r="D75" s="93" t="s">
        <v>271</v>
      </c>
      <c r="F75" t="s">
        <v>272</v>
      </c>
    </row>
    <row r="76" spans="2:12">
      <c r="C76" t="s">
        <v>273</v>
      </c>
      <c r="D76" s="95">
        <f>'A Employees'!F10</f>
        <v>22</v>
      </c>
      <c r="E76" t="s">
        <v>274</v>
      </c>
      <c r="F76">
        <v>8</v>
      </c>
    </row>
    <row r="77" spans="2:12">
      <c r="C77" t="s">
        <v>275</v>
      </c>
      <c r="D77" s="95">
        <f>'A Employees'!F9</f>
        <v>26</v>
      </c>
      <c r="E77" t="s">
        <v>274</v>
      </c>
      <c r="F77">
        <f>'A Employees'!E9</f>
        <v>6</v>
      </c>
    </row>
    <row r="78" spans="2:12">
      <c r="C78" t="s">
        <v>276</v>
      </c>
      <c r="D78" s="95">
        <f>'A Employees'!F11</f>
        <v>26</v>
      </c>
      <c r="E78" t="s">
        <v>274</v>
      </c>
      <c r="F78">
        <f>'A Employees'!E11</f>
        <v>6</v>
      </c>
    </row>
    <row r="80" spans="2:12">
      <c r="C80" t="s">
        <v>277</v>
      </c>
      <c r="D80" s="100">
        <v>0.2</v>
      </c>
    </row>
    <row r="82" spans="2:10">
      <c r="C82" t="s">
        <v>278</v>
      </c>
      <c r="D82" s="95">
        <f>(D76*F76+D77*F77+D78*F78)*D36*(1+D80)</f>
        <v>1991.04</v>
      </c>
    </row>
    <row r="84" spans="2:10">
      <c r="B84" t="s">
        <v>279</v>
      </c>
      <c r="I84" s="61" t="s">
        <v>280</v>
      </c>
    </row>
    <row r="85" spans="2:10" ht="32">
      <c r="C85" s="22" t="s">
        <v>281</v>
      </c>
      <c r="D85" s="96" t="s">
        <v>282</v>
      </c>
      <c r="E85" s="13" t="s">
        <v>283</v>
      </c>
      <c r="F85" t="s">
        <v>284</v>
      </c>
      <c r="I85" s="92" t="s">
        <v>285</v>
      </c>
    </row>
    <row r="86" spans="2:10">
      <c r="C86" t="s">
        <v>286</v>
      </c>
      <c r="D86" s="97">
        <f>VLOOKUP(C86,Table2[[Role]:[Amount]],3,FALSE)</f>
        <v>30</v>
      </c>
      <c r="E86" s="98">
        <f>VLOOKUP(C86,Table2[[Role]:[Amount]],2,FALSE)</f>
        <v>3</v>
      </c>
      <c r="F86" s="39">
        <v>8</v>
      </c>
      <c r="I86" s="99">
        <f t="shared" ref="I86:I92" si="2">D86*E86*F86</f>
        <v>720</v>
      </c>
    </row>
    <row r="87" spans="2:10">
      <c r="C87" t="s">
        <v>287</v>
      </c>
      <c r="D87" s="97">
        <f>VLOOKUP(C87,Table2[[Role]:[Amount]],3,FALSE)</f>
        <v>26</v>
      </c>
      <c r="E87" s="98">
        <f>VLOOKUP(C87,Table2[[Role]:[Amount]],2,FALSE)</f>
        <v>3</v>
      </c>
      <c r="F87" s="39">
        <v>8</v>
      </c>
      <c r="I87" s="99">
        <f t="shared" si="2"/>
        <v>624</v>
      </c>
    </row>
    <row r="88" spans="2:10">
      <c r="C88" t="s">
        <v>288</v>
      </c>
      <c r="D88" s="97">
        <f>VLOOKUP(C88,Table2[[Role]:[Amount]],3,FALSE)</f>
        <v>30</v>
      </c>
      <c r="E88" s="98">
        <f>VLOOKUP(C88,Table2[[Role]:[Amount]],2,FALSE)</f>
        <v>2</v>
      </c>
      <c r="F88" s="39">
        <v>8</v>
      </c>
      <c r="I88" s="99">
        <f t="shared" si="2"/>
        <v>480</v>
      </c>
    </row>
    <row r="89" spans="2:10">
      <c r="C89" t="s">
        <v>289</v>
      </c>
      <c r="D89" s="97">
        <f>VLOOKUP(C89,Table36[[Role]:[Amount]],3,FALSE)</f>
        <v>21.306818181818183</v>
      </c>
      <c r="E89" s="98">
        <f>VLOOKUP(C89,Table3[[Role]:[Amount]],2,FALSE)</f>
        <v>2</v>
      </c>
      <c r="F89" s="39">
        <v>8</v>
      </c>
      <c r="I89" s="99">
        <f t="shared" si="2"/>
        <v>340.90909090909093</v>
      </c>
    </row>
    <row r="90" spans="2:10">
      <c r="C90" t="s">
        <v>290</v>
      </c>
      <c r="D90" s="97">
        <f>VLOOKUP(C90,Table2[[Role]:[Amount]],3,FALSE)</f>
        <v>26</v>
      </c>
      <c r="E90" s="98">
        <f>VLOOKUP(C90,Table2[[Role]:[Amount]],2,FALSE)</f>
        <v>2</v>
      </c>
      <c r="F90" s="39">
        <v>8</v>
      </c>
      <c r="I90" s="99">
        <f t="shared" si="2"/>
        <v>416</v>
      </c>
    </row>
    <row r="91" spans="2:10">
      <c r="C91" t="s">
        <v>291</v>
      </c>
      <c r="D91" s="97">
        <f>VLOOKUP(C91,Table36[[Role]:[Amount]],3,FALSE)</f>
        <v>19.886363636363637</v>
      </c>
      <c r="E91" s="98">
        <f>VLOOKUP(C91,Table3[[Role]:[Amount]],2,FALSE)</f>
        <v>3</v>
      </c>
      <c r="F91" s="39">
        <v>8</v>
      </c>
      <c r="I91" s="99">
        <f t="shared" si="2"/>
        <v>477.27272727272725</v>
      </c>
    </row>
    <row r="92" spans="2:10">
      <c r="C92" t="s">
        <v>292</v>
      </c>
      <c r="D92" s="97">
        <f>VLOOKUP(C92,Table36[[Role]:[Amount]],3,FALSE)</f>
        <v>28.40909090909091</v>
      </c>
      <c r="E92" s="98">
        <f>VLOOKUP(C92,Table3[[Role]:[Amount]],2,FALSE)</f>
        <v>2</v>
      </c>
      <c r="F92" s="39">
        <v>8</v>
      </c>
      <c r="I92" s="99">
        <f t="shared" si="2"/>
        <v>454.54545454545456</v>
      </c>
    </row>
    <row r="93" spans="2:10">
      <c r="I93" s="99">
        <f>SUM(I86:I92)</f>
        <v>3512.7272727272725</v>
      </c>
    </row>
    <row r="94" spans="2:10">
      <c r="C94" t="s">
        <v>293</v>
      </c>
      <c r="D94" s="100">
        <v>0.5</v>
      </c>
      <c r="I94" s="88"/>
    </row>
    <row r="96" spans="2:10" ht="21.25" customHeight="1">
      <c r="C96" t="s">
        <v>294</v>
      </c>
      <c r="D96" s="93">
        <f>D94*I93</f>
        <v>1756.3636363636363</v>
      </c>
      <c r="J96" s="91"/>
    </row>
    <row r="97" spans="2:5" ht="23.5" customHeight="1"/>
    <row r="98" spans="2:5">
      <c r="B98" t="s">
        <v>295</v>
      </c>
    </row>
    <row r="99" spans="2:5">
      <c r="C99" t="s">
        <v>296</v>
      </c>
      <c r="D99" s="95">
        <v>42</v>
      </c>
      <c r="E99" t="s">
        <v>297</v>
      </c>
    </row>
    <row r="100" spans="2:5">
      <c r="C100" t="s">
        <v>298</v>
      </c>
      <c r="D100" s="93">
        <v>24</v>
      </c>
      <c r="E100" t="s">
        <v>299</v>
      </c>
    </row>
    <row r="102" spans="2:5">
      <c r="B102" t="s">
        <v>300</v>
      </c>
    </row>
    <row r="103" spans="2:5">
      <c r="C103" t="s">
        <v>301</v>
      </c>
      <c r="D103" s="93">
        <f>D73</f>
        <v>6609.425277098022</v>
      </c>
    </row>
    <row r="104" spans="2:5">
      <c r="C104" t="s">
        <v>302</v>
      </c>
      <c r="D104" s="93">
        <f>-D82</f>
        <v>-1991.04</v>
      </c>
    </row>
    <row r="105" spans="2:5">
      <c r="C105" t="s">
        <v>303</v>
      </c>
      <c r="D105" s="93">
        <f>-D96</f>
        <v>-1756.3636363636363</v>
      </c>
    </row>
    <row r="106" spans="2:5">
      <c r="C106" t="s">
        <v>295</v>
      </c>
      <c r="D106" s="95">
        <f>-(D99*D100)</f>
        <v>-1008</v>
      </c>
    </row>
    <row r="108" spans="2:5">
      <c r="C108" s="14" t="s">
        <v>304</v>
      </c>
      <c r="D108" s="93">
        <f>SUM(D103:D107)</f>
        <v>1854.021640734386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D0DF0-6451-D041-81CB-86D8AF69EEE8}">
  <dimension ref="A1:L108"/>
  <sheetViews>
    <sheetView topLeftCell="B84" zoomScale="86" zoomScaleNormal="86" workbookViewId="0">
      <selection activeCell="C29" sqref="C29"/>
    </sheetView>
  </sheetViews>
  <sheetFormatPr baseColWidth="10" defaultColWidth="8.83203125" defaultRowHeight="15"/>
  <cols>
    <col min="1" max="1" width="4.1640625" customWidth="1"/>
    <col min="3" max="3" width="57.33203125" customWidth="1"/>
    <col min="4" max="4" width="14.6640625" style="93" customWidth="1"/>
    <col min="5" max="5" width="13.33203125" customWidth="1"/>
    <col min="6" max="6" width="12.5" bestFit="1" customWidth="1"/>
    <col min="7" max="7" width="8.5" customWidth="1"/>
    <col min="9" max="9" width="27.6640625" customWidth="1"/>
    <col min="10" max="10" width="10.6640625" bestFit="1" customWidth="1"/>
    <col min="14" max="14" width="49.33203125" bestFit="1" customWidth="1"/>
    <col min="17" max="17" width="17.33203125" bestFit="1" customWidth="1"/>
    <col min="18" max="18" width="9.6640625" bestFit="1" customWidth="1"/>
    <col min="19" max="20" width="16.1640625" bestFit="1" customWidth="1"/>
  </cols>
  <sheetData>
    <row r="1" spans="1:9" ht="20">
      <c r="A1" t="s">
        <v>213</v>
      </c>
      <c r="B1" s="18"/>
      <c r="C1" s="17"/>
    </row>
    <row r="2" spans="1:9" ht="13.25" customHeight="1">
      <c r="A2" s="18"/>
      <c r="B2" s="18"/>
      <c r="C2" s="17"/>
    </row>
    <row r="3" spans="1:9" ht="13.25" customHeight="1">
      <c r="A3" t="s">
        <v>146</v>
      </c>
      <c r="C3" t="s">
        <v>147</v>
      </c>
      <c r="D3" s="94" t="s">
        <v>148</v>
      </c>
      <c r="E3" t="s">
        <v>82</v>
      </c>
      <c r="H3" t="s">
        <v>149</v>
      </c>
      <c r="I3" t="s">
        <v>150</v>
      </c>
    </row>
    <row r="4" spans="1:9" ht="13.25" customHeight="1">
      <c r="B4">
        <v>1</v>
      </c>
      <c r="C4" t="s">
        <v>214</v>
      </c>
      <c r="H4" t="s">
        <v>215</v>
      </c>
      <c r="I4" t="s">
        <v>216</v>
      </c>
    </row>
    <row r="5" spans="1:9" ht="13.25" customHeight="1">
      <c r="C5" t="s">
        <v>217</v>
      </c>
      <c r="D5" s="93">
        <v>1</v>
      </c>
      <c r="E5" t="s">
        <v>218</v>
      </c>
    </row>
    <row r="6" spans="1:9" ht="13" customHeight="1">
      <c r="D6" s="93">
        <v>2</v>
      </c>
      <c r="E6" t="s">
        <v>215</v>
      </c>
    </row>
    <row r="7" spans="1:9" ht="13" customHeight="1"/>
    <row r="8" spans="1:9" ht="13" customHeight="1">
      <c r="B8">
        <v>2</v>
      </c>
      <c r="C8" t="s">
        <v>219</v>
      </c>
      <c r="H8" t="s">
        <v>215</v>
      </c>
      <c r="I8" t="s">
        <v>216</v>
      </c>
    </row>
    <row r="9" spans="1:9" ht="13" customHeight="1">
      <c r="C9" t="s">
        <v>220</v>
      </c>
      <c r="D9" s="93">
        <v>1</v>
      </c>
      <c r="E9" t="s">
        <v>218</v>
      </c>
    </row>
    <row r="10" spans="1:9" ht="13" customHeight="1">
      <c r="D10" s="93">
        <v>2</v>
      </c>
      <c r="E10" t="s">
        <v>215</v>
      </c>
    </row>
    <row r="11" spans="1:9" ht="13" customHeight="1"/>
    <row r="12" spans="1:9" ht="13" customHeight="1">
      <c r="B12">
        <v>3</v>
      </c>
      <c r="C12" t="s">
        <v>221</v>
      </c>
      <c r="H12" t="s">
        <v>215</v>
      </c>
      <c r="I12" t="s">
        <v>222</v>
      </c>
    </row>
    <row r="13" spans="1:9" ht="13" customHeight="1">
      <c r="D13" s="93">
        <v>1</v>
      </c>
      <c r="E13" t="s">
        <v>218</v>
      </c>
    </row>
    <row r="14" spans="1:9" ht="13" customHeight="1">
      <c r="D14" s="93">
        <v>2</v>
      </c>
      <c r="E14" t="s">
        <v>215</v>
      </c>
    </row>
    <row r="15" spans="1:9" ht="13.25" customHeight="1"/>
    <row r="16" spans="1:9" ht="13.25" customHeight="1">
      <c r="A16" t="s">
        <v>179</v>
      </c>
    </row>
    <row r="17" spans="2:3" ht="13.25" customHeight="1">
      <c r="B17">
        <v>1</v>
      </c>
      <c r="C17" t="s">
        <v>223</v>
      </c>
    </row>
    <row r="18" spans="2:3" ht="13.25" customHeight="1">
      <c r="C18" t="s">
        <v>224</v>
      </c>
    </row>
    <row r="19" spans="2:3" ht="13.25" customHeight="1">
      <c r="C19" t="s">
        <v>225</v>
      </c>
    </row>
    <row r="20" spans="2:3" ht="13.25" customHeight="1">
      <c r="C20" t="s">
        <v>226</v>
      </c>
    </row>
    <row r="21" spans="2:3" ht="13.25" customHeight="1"/>
    <row r="22" spans="2:3" ht="13.25" customHeight="1">
      <c r="B22">
        <v>2</v>
      </c>
      <c r="C22" t="s">
        <v>227</v>
      </c>
    </row>
    <row r="23" spans="2:3" ht="13.25" customHeight="1">
      <c r="C23" t="s">
        <v>228</v>
      </c>
    </row>
    <row r="24" spans="2:3" ht="13.25" customHeight="1">
      <c r="C24" t="s">
        <v>229</v>
      </c>
    </row>
    <row r="25" spans="2:3" ht="13.25" customHeight="1">
      <c r="C25" t="s">
        <v>230</v>
      </c>
    </row>
    <row r="26" spans="2:3" ht="13.25" customHeight="1">
      <c r="C26" t="s">
        <v>226</v>
      </c>
    </row>
    <row r="27" spans="2:3" ht="13.25" customHeight="1"/>
    <row r="28" spans="2:3" ht="13.25" customHeight="1">
      <c r="B28">
        <v>3</v>
      </c>
      <c r="C28" t="s">
        <v>231</v>
      </c>
    </row>
    <row r="29" spans="2:3" ht="13.25" customHeight="1">
      <c r="C29" t="s">
        <v>232</v>
      </c>
    </row>
    <row r="30" spans="2:3" ht="13.25" customHeight="1">
      <c r="C30" t="s">
        <v>226</v>
      </c>
    </row>
    <row r="31" spans="2:3" ht="13.25" customHeight="1"/>
    <row r="32" spans="2:3" ht="13.25" customHeight="1"/>
    <row r="33" spans="1:5">
      <c r="A33" t="s">
        <v>233</v>
      </c>
    </row>
    <row r="34" spans="1:5">
      <c r="B34">
        <v>1</v>
      </c>
      <c r="C34" t="s">
        <v>234</v>
      </c>
      <c r="D34" s="39">
        <f>'T Assembly'!W72/60</f>
        <v>9.3919999999999995</v>
      </c>
      <c r="E34" t="s">
        <v>235</v>
      </c>
    </row>
    <row r="35" spans="1:5">
      <c r="B35">
        <v>2</v>
      </c>
      <c r="C35" t="s">
        <v>236</v>
      </c>
      <c r="D35" s="39">
        <f>'T Picking'!C50/60</f>
        <v>4.4800884543761637</v>
      </c>
      <c r="E35" t="s">
        <v>235</v>
      </c>
    </row>
    <row r="36" spans="1:5">
      <c r="B36">
        <v>3</v>
      </c>
      <c r="C36" t="s">
        <v>237</v>
      </c>
      <c r="D36">
        <v>7.2</v>
      </c>
      <c r="E36" t="s">
        <v>238</v>
      </c>
    </row>
    <row r="37" spans="1:5">
      <c r="B37">
        <v>4</v>
      </c>
      <c r="C37" t="s">
        <v>239</v>
      </c>
      <c r="D37">
        <v>3</v>
      </c>
      <c r="E37" t="s">
        <v>240</v>
      </c>
    </row>
    <row r="38" spans="1:5">
      <c r="B38">
        <v>5</v>
      </c>
      <c r="C38" t="s">
        <v>241</v>
      </c>
      <c r="D38">
        <v>2</v>
      </c>
      <c r="E38" t="s">
        <v>242</v>
      </c>
    </row>
    <row r="39" spans="1:5">
      <c r="B39">
        <v>6</v>
      </c>
      <c r="C39" t="s">
        <v>243</v>
      </c>
      <c r="D39" s="100">
        <f>'T Assembly'!P71/100</f>
        <v>0.02</v>
      </c>
    </row>
    <row r="40" spans="1:5">
      <c r="B40">
        <v>7</v>
      </c>
      <c r="C40" t="s">
        <v>244</v>
      </c>
      <c r="D40" s="100">
        <f>'T Assembly'!P67/100</f>
        <v>9.5000000000000001E-2</v>
      </c>
    </row>
    <row r="41" spans="1:5">
      <c r="B41">
        <v>8</v>
      </c>
      <c r="C41" t="s">
        <v>245</v>
      </c>
      <c r="D41" s="93">
        <v>10</v>
      </c>
    </row>
    <row r="43" spans="1:5">
      <c r="A43" t="s">
        <v>246</v>
      </c>
    </row>
    <row r="45" spans="1:5">
      <c r="B45" t="s">
        <v>247</v>
      </c>
      <c r="E45" s="19"/>
    </row>
    <row r="46" spans="1:5">
      <c r="C46" t="s">
        <v>635</v>
      </c>
      <c r="D46">
        <v>1</v>
      </c>
      <c r="E46" t="s">
        <v>238</v>
      </c>
    </row>
    <row r="47" spans="1:5">
      <c r="C47" t="s">
        <v>249</v>
      </c>
      <c r="D47">
        <f>D36</f>
        <v>7.2</v>
      </c>
      <c r="E47" t="s">
        <v>238</v>
      </c>
    </row>
    <row r="48" spans="1:5">
      <c r="D48"/>
    </row>
    <row r="49" spans="3:6">
      <c r="C49" t="s">
        <v>250</v>
      </c>
      <c r="D49" s="39">
        <f>D46/(D34/60)</f>
        <v>6.3884156729131174</v>
      </c>
      <c r="E49" t="s">
        <v>251</v>
      </c>
    </row>
    <row r="50" spans="3:6">
      <c r="C50" t="s">
        <v>252</v>
      </c>
      <c r="D50" s="39">
        <f>D49*D47</f>
        <v>45.996592844974444</v>
      </c>
      <c r="E50" t="s">
        <v>253</v>
      </c>
    </row>
    <row r="51" spans="3:6">
      <c r="C51" t="str">
        <f>"TrackRs made by "&amp;D37&amp;" tables Per Shift"</f>
        <v>TrackRs made by 3 tables Per Shift</v>
      </c>
      <c r="D51" s="39">
        <f>D50*D37</f>
        <v>137.98977853492335</v>
      </c>
      <c r="E51" t="s">
        <v>254</v>
      </c>
    </row>
    <row r="52" spans="3:6">
      <c r="C52" t="str">
        <f>"TrackRs per day in "&amp;D38&amp;" shifts"</f>
        <v>TrackRs per day in 2 shifts</v>
      </c>
      <c r="D52" s="39">
        <f>D51*D38</f>
        <v>275.97955706984669</v>
      </c>
      <c r="E52" t="s">
        <v>254</v>
      </c>
    </row>
    <row r="53" spans="3:6">
      <c r="C53" t="s">
        <v>255</v>
      </c>
      <c r="D53" s="113">
        <f>D39+D40</f>
        <v>0.115</v>
      </c>
    </row>
    <row r="54" spans="3:6">
      <c r="C54" t="s">
        <v>256</v>
      </c>
      <c r="D54" s="127">
        <f>D52*(1-D53)</f>
        <v>244.24190800681433</v>
      </c>
      <c r="E54" t="s">
        <v>254</v>
      </c>
    </row>
    <row r="56" spans="3:6">
      <c r="C56" t="s">
        <v>257</v>
      </c>
    </row>
    <row r="57" spans="3:6">
      <c r="C57" t="s">
        <v>258</v>
      </c>
    </row>
    <row r="59" spans="3:6">
      <c r="D59" s="93" t="s">
        <v>93</v>
      </c>
      <c r="E59" t="s">
        <v>97</v>
      </c>
      <c r="F59" t="s">
        <v>101</v>
      </c>
    </row>
    <row r="60" spans="3:6">
      <c r="C60" t="s">
        <v>259</v>
      </c>
      <c r="D60" s="95">
        <f>'A WholeSale'!G6</f>
        <v>140</v>
      </c>
      <c r="E60" s="16">
        <f>'A WholeSale'!G7</f>
        <v>115</v>
      </c>
      <c r="F60" s="16">
        <f>'A WholeSale'!G8</f>
        <v>155</v>
      </c>
    </row>
    <row r="61" spans="3:6">
      <c r="C61" t="s">
        <v>260</v>
      </c>
      <c r="D61" s="95">
        <f>Components!L4</f>
        <v>99.16</v>
      </c>
      <c r="E61" s="16">
        <f>Components!L5</f>
        <v>95.16</v>
      </c>
      <c r="F61" s="16">
        <f>Components!L6</f>
        <v>104.16</v>
      </c>
    </row>
    <row r="62" spans="3:6">
      <c r="C62" t="s">
        <v>261</v>
      </c>
      <c r="D62" s="95">
        <f>D41</f>
        <v>10</v>
      </c>
      <c r="E62" s="16">
        <f>D41</f>
        <v>10</v>
      </c>
      <c r="F62" s="16">
        <f>D41</f>
        <v>10</v>
      </c>
    </row>
    <row r="63" spans="3:6">
      <c r="C63" t="s">
        <v>262</v>
      </c>
      <c r="D63" s="39">
        <f>'A VerAvgProdn'!D18</f>
        <v>96.107793522267201</v>
      </c>
      <c r="E63" s="39">
        <f>'A VerAvgProdn'!D19</f>
        <v>81.200724637681162</v>
      </c>
      <c r="F63" s="39">
        <f>'A VerAvgProdn'!D20</f>
        <v>74.820524620340549</v>
      </c>
    </row>
    <row r="64" spans="3:6">
      <c r="C64" t="s">
        <v>263</v>
      </c>
      <c r="D64" s="113">
        <f>D63/SUM($D$63:$F$63)</f>
        <v>0.38118493792885955</v>
      </c>
      <c r="E64" s="20">
        <f>E63/SUM($D$63:$F$63)</f>
        <v>0.32206017895543021</v>
      </c>
      <c r="F64" s="20">
        <f t="shared" ref="F64" si="0">F63/SUM($D$63:$F$63)</f>
        <v>0.2967548831157103</v>
      </c>
    </row>
    <row r="65" spans="2:12">
      <c r="C65" t="s">
        <v>264</v>
      </c>
      <c r="D65" s="95">
        <f>D60-(D61+D62)</f>
        <v>30.840000000000003</v>
      </c>
      <c r="E65" s="16">
        <f>E60-(E61+E62)</f>
        <v>9.8400000000000034</v>
      </c>
      <c r="F65" s="16">
        <f>F60-(F61+F62)</f>
        <v>40.840000000000003</v>
      </c>
    </row>
    <row r="67" spans="2:12">
      <c r="B67" t="s">
        <v>265</v>
      </c>
    </row>
    <row r="68" spans="2:12">
      <c r="C68" t="s">
        <v>266</v>
      </c>
      <c r="D68" s="95">
        <f>D65*D64*$D54</f>
        <v>2871.2452189924034</v>
      </c>
      <c r="E68" s="16">
        <f t="shared" ref="E68:F68" si="1">E65*E64*$D54</f>
        <v>774.02023119472926</v>
      </c>
      <c r="F68" s="16">
        <f t="shared" si="1"/>
        <v>2960.0823367453277</v>
      </c>
    </row>
    <row r="69" spans="2:12">
      <c r="C69" t="s">
        <v>267</v>
      </c>
    </row>
    <row r="71" spans="2:12">
      <c r="C71" t="s">
        <v>268</v>
      </c>
      <c r="D71" s="93">
        <f>D61*(D52-D54)*D64</f>
        <v>1199.629131227988</v>
      </c>
      <c r="E71" s="15">
        <f>E61*(D52-D54)*E64</f>
        <v>972.67155827205852</v>
      </c>
      <c r="F71" s="15">
        <f>F61*(D52-D54)*F64</f>
        <v>981.01037153312132</v>
      </c>
    </row>
    <row r="73" spans="2:12">
      <c r="C73" t="s">
        <v>269</v>
      </c>
      <c r="D73" s="95">
        <f>SUM(D68:F68)-SUM(D71:F71)</f>
        <v>3452.0367258992919</v>
      </c>
      <c r="J73" s="21"/>
      <c r="K73" s="21"/>
      <c r="L73" s="21"/>
    </row>
    <row r="74" spans="2:12">
      <c r="J74" s="21"/>
      <c r="K74" s="21"/>
      <c r="L74" s="21"/>
    </row>
    <row r="75" spans="2:12">
      <c r="B75" t="s">
        <v>270</v>
      </c>
      <c r="D75" s="93" t="s">
        <v>271</v>
      </c>
      <c r="F75" t="s">
        <v>272</v>
      </c>
    </row>
    <row r="76" spans="2:12">
      <c r="C76" t="s">
        <v>273</v>
      </c>
      <c r="D76" s="95">
        <f>'A Employees'!F10</f>
        <v>22</v>
      </c>
      <c r="E76" t="s">
        <v>274</v>
      </c>
      <c r="F76">
        <v>8</v>
      </c>
    </row>
    <row r="77" spans="2:12">
      <c r="C77" t="s">
        <v>275</v>
      </c>
      <c r="D77" s="95">
        <f>'A Employees'!F9</f>
        <v>26</v>
      </c>
      <c r="E77" t="s">
        <v>274</v>
      </c>
      <c r="F77">
        <f>'A Employees'!E9</f>
        <v>6</v>
      </c>
    </row>
    <row r="78" spans="2:12">
      <c r="C78" t="s">
        <v>276</v>
      </c>
      <c r="D78" s="95">
        <f>'A Employees'!F11</f>
        <v>26</v>
      </c>
      <c r="E78" t="s">
        <v>274</v>
      </c>
      <c r="F78">
        <f>'A Employees'!E11</f>
        <v>6</v>
      </c>
    </row>
    <row r="80" spans="2:12">
      <c r="C80" t="s">
        <v>277</v>
      </c>
      <c r="D80" s="100">
        <v>0.2</v>
      </c>
    </row>
    <row r="82" spans="2:10">
      <c r="C82" t="s">
        <v>278</v>
      </c>
      <c r="D82" s="95">
        <f>(D76*F76+D77*F77+D78*F78)*D36*(1+D80)</f>
        <v>4216.32</v>
      </c>
    </row>
    <row r="84" spans="2:10">
      <c r="B84" t="s">
        <v>279</v>
      </c>
      <c r="I84" s="61" t="s">
        <v>280</v>
      </c>
    </row>
    <row r="85" spans="2:10" ht="32">
      <c r="C85" s="22" t="s">
        <v>281</v>
      </c>
      <c r="D85" s="96" t="s">
        <v>282</v>
      </c>
      <c r="E85" s="13" t="s">
        <v>283</v>
      </c>
      <c r="F85" t="s">
        <v>284</v>
      </c>
      <c r="I85" s="92" t="s">
        <v>285</v>
      </c>
    </row>
    <row r="86" spans="2:10">
      <c r="C86" t="s">
        <v>286</v>
      </c>
      <c r="D86" s="97">
        <f>VLOOKUP(C86,Table2[[Role]:[Amount]],3,FALSE)</f>
        <v>30</v>
      </c>
      <c r="E86" s="98">
        <f>VLOOKUP(C86,Table2[[Role]:[Amount]],2,FALSE)</f>
        <v>3</v>
      </c>
      <c r="F86" s="39">
        <v>8</v>
      </c>
      <c r="I86" s="99">
        <f t="shared" ref="I86:I92" si="2">D86*E86*F86</f>
        <v>720</v>
      </c>
    </row>
    <row r="87" spans="2:10">
      <c r="C87" t="s">
        <v>287</v>
      </c>
      <c r="D87" s="97">
        <f>VLOOKUP(C87,Table2[[Role]:[Amount]],3,FALSE)</f>
        <v>26</v>
      </c>
      <c r="E87" s="98">
        <f>VLOOKUP(C87,Table2[[Role]:[Amount]],2,FALSE)</f>
        <v>3</v>
      </c>
      <c r="F87" s="39">
        <v>8</v>
      </c>
      <c r="I87" s="99">
        <f t="shared" si="2"/>
        <v>624</v>
      </c>
    </row>
    <row r="88" spans="2:10">
      <c r="C88" t="s">
        <v>288</v>
      </c>
      <c r="D88" s="97">
        <f>VLOOKUP(C88,Table2[[Role]:[Amount]],3,FALSE)</f>
        <v>30</v>
      </c>
      <c r="E88" s="98">
        <f>VLOOKUP(C88,Table2[[Role]:[Amount]],2,FALSE)</f>
        <v>2</v>
      </c>
      <c r="F88" s="39">
        <v>8</v>
      </c>
      <c r="I88" s="99">
        <f t="shared" si="2"/>
        <v>480</v>
      </c>
    </row>
    <row r="89" spans="2:10">
      <c r="C89" t="s">
        <v>289</v>
      </c>
      <c r="D89" s="97">
        <f>VLOOKUP(C89,Table36[[Role]:[Amount]],3,FALSE)</f>
        <v>21.306818181818183</v>
      </c>
      <c r="E89" s="98">
        <f>VLOOKUP(C89,Table3[[Role]:[Amount]],2,FALSE)</f>
        <v>2</v>
      </c>
      <c r="F89" s="39">
        <v>8</v>
      </c>
      <c r="I89" s="99">
        <f t="shared" si="2"/>
        <v>340.90909090909093</v>
      </c>
    </row>
    <row r="90" spans="2:10">
      <c r="C90" t="s">
        <v>290</v>
      </c>
      <c r="D90" s="97">
        <f>VLOOKUP(C90,Table2[[Role]:[Amount]],3,FALSE)</f>
        <v>26</v>
      </c>
      <c r="E90" s="98">
        <f>VLOOKUP(C90,Table2[[Role]:[Amount]],2,FALSE)</f>
        <v>2</v>
      </c>
      <c r="F90" s="39">
        <v>8</v>
      </c>
      <c r="I90" s="99">
        <f t="shared" si="2"/>
        <v>416</v>
      </c>
    </row>
    <row r="91" spans="2:10">
      <c r="C91" t="s">
        <v>291</v>
      </c>
      <c r="D91" s="97">
        <f>VLOOKUP(C91,Table36[[Role]:[Amount]],3,FALSE)</f>
        <v>19.886363636363637</v>
      </c>
      <c r="E91" s="98">
        <f>VLOOKUP(C91,Table3[[Role]:[Amount]],2,FALSE)</f>
        <v>3</v>
      </c>
      <c r="F91" s="39">
        <v>8</v>
      </c>
      <c r="I91" s="99">
        <f t="shared" si="2"/>
        <v>477.27272727272725</v>
      </c>
    </row>
    <row r="92" spans="2:10">
      <c r="C92" t="s">
        <v>292</v>
      </c>
      <c r="D92" s="97">
        <f>VLOOKUP(C92,Table36[[Role]:[Amount]],3,FALSE)</f>
        <v>28.40909090909091</v>
      </c>
      <c r="E92" s="98">
        <f>VLOOKUP(C92,Table3[[Role]:[Amount]],2,FALSE)</f>
        <v>2</v>
      </c>
      <c r="F92" s="39">
        <v>8</v>
      </c>
      <c r="I92" s="99">
        <f t="shared" si="2"/>
        <v>454.54545454545456</v>
      </c>
    </row>
    <row r="93" spans="2:10">
      <c r="I93" s="61">
        <f>SUM(I86:I92)</f>
        <v>3512.7272727272725</v>
      </c>
    </row>
    <row r="94" spans="2:10">
      <c r="C94" t="s">
        <v>293</v>
      </c>
      <c r="D94" s="100">
        <v>0.5</v>
      </c>
      <c r="I94" s="88"/>
    </row>
    <row r="96" spans="2:10" ht="21.25" customHeight="1">
      <c r="C96" t="s">
        <v>294</v>
      </c>
      <c r="D96" s="93">
        <f>D94*I93</f>
        <v>1756.3636363636363</v>
      </c>
      <c r="J96" s="91"/>
    </row>
    <row r="97" spans="2:5" ht="23.5" customHeight="1"/>
    <row r="98" spans="2:5">
      <c r="B98" t="s">
        <v>295</v>
      </c>
    </row>
    <row r="99" spans="2:5">
      <c r="C99" t="s">
        <v>296</v>
      </c>
      <c r="D99" s="95">
        <v>42</v>
      </c>
      <c r="E99" t="s">
        <v>297</v>
      </c>
    </row>
    <row r="100" spans="2:5">
      <c r="C100" t="s">
        <v>298</v>
      </c>
      <c r="D100" s="93">
        <v>24</v>
      </c>
      <c r="E100" t="s">
        <v>299</v>
      </c>
    </row>
    <row r="102" spans="2:5">
      <c r="B102" t="s">
        <v>300</v>
      </c>
    </row>
    <row r="103" spans="2:5">
      <c r="C103" t="s">
        <v>301</v>
      </c>
      <c r="D103" s="93">
        <f>D73</f>
        <v>3452.0367258992919</v>
      </c>
    </row>
    <row r="104" spans="2:5">
      <c r="C104" t="s">
        <v>302</v>
      </c>
      <c r="D104" s="93">
        <f>-D82</f>
        <v>-4216.32</v>
      </c>
    </row>
    <row r="105" spans="2:5">
      <c r="C105" t="s">
        <v>303</v>
      </c>
      <c r="D105" s="93">
        <f>-D96</f>
        <v>-1756.3636363636363</v>
      </c>
    </row>
    <row r="106" spans="2:5">
      <c r="C106" t="s">
        <v>295</v>
      </c>
      <c r="D106" s="95">
        <f>-(D99*D100)</f>
        <v>-1008</v>
      </c>
    </row>
    <row r="108" spans="2:5">
      <c r="C108" s="14" t="s">
        <v>304</v>
      </c>
      <c r="D108" s="93">
        <f>SUM(D103:D107)</f>
        <v>-3528.6469104643438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351C5-6410-BE40-A268-14C51BE82CB1}">
  <dimension ref="A2:AB162"/>
  <sheetViews>
    <sheetView topLeftCell="A4" zoomScale="80" zoomScaleNormal="80" workbookViewId="0">
      <selection activeCell="D99" sqref="D99"/>
    </sheetView>
  </sheetViews>
  <sheetFormatPr baseColWidth="10" defaultColWidth="8.83203125" defaultRowHeight="15"/>
  <cols>
    <col min="1" max="1" width="3.33203125" customWidth="1"/>
    <col min="3" max="3" width="103.83203125" bestFit="1" customWidth="1"/>
    <col min="4" max="4" width="12.5" customWidth="1"/>
    <col min="5" max="5" width="33.5" bestFit="1" customWidth="1"/>
    <col min="7" max="7" width="15.33203125" customWidth="1"/>
    <col min="8" max="8" width="11.33203125" customWidth="1"/>
    <col min="9" max="10" width="13.6640625" bestFit="1" customWidth="1"/>
    <col min="11" max="11" width="12" customWidth="1"/>
    <col min="12" max="12" width="14.5" customWidth="1"/>
    <col min="13" max="13" width="11.5" customWidth="1"/>
    <col min="18" max="18" width="10.83203125" customWidth="1"/>
    <col min="19" max="19" width="9.33203125" bestFit="1" customWidth="1"/>
    <col min="21" max="21" width="12.1640625" customWidth="1"/>
    <col min="22" max="22" width="11.33203125" customWidth="1"/>
    <col min="23" max="23" width="14" customWidth="1"/>
    <col min="24" max="25" width="10.5" bestFit="1" customWidth="1"/>
  </cols>
  <sheetData>
    <row r="2" spans="1:17">
      <c r="A2" t="s">
        <v>305</v>
      </c>
    </row>
    <row r="3" spans="1:17">
      <c r="B3" t="s">
        <v>306</v>
      </c>
      <c r="C3" t="s">
        <v>307</v>
      </c>
      <c r="D3" t="s">
        <v>308</v>
      </c>
      <c r="E3" t="s">
        <v>309</v>
      </c>
    </row>
    <row r="4" spans="1:17">
      <c r="B4" t="s">
        <v>86</v>
      </c>
      <c r="C4" t="str">
        <f>'A Employees'!$D$10</f>
        <v>Team Member</v>
      </c>
      <c r="D4">
        <f>'A Employees'!$F$10</f>
        <v>22</v>
      </c>
      <c r="E4" s="86">
        <f>D4/3600</f>
        <v>6.1111111111111114E-3</v>
      </c>
      <c r="Q4" t="s">
        <v>310</v>
      </c>
    </row>
    <row r="5" spans="1:17">
      <c r="B5" t="s">
        <v>87</v>
      </c>
      <c r="C5" t="str">
        <f>'A Employees'!$D$10</f>
        <v>Team Member</v>
      </c>
      <c r="D5">
        <f>'A Employees'!$F$10</f>
        <v>22</v>
      </c>
      <c r="E5" s="86">
        <f>D5/3600</f>
        <v>6.1111111111111114E-3</v>
      </c>
    </row>
    <row r="7" spans="1:17">
      <c r="A7" t="s">
        <v>146</v>
      </c>
      <c r="C7" t="s">
        <v>147</v>
      </c>
      <c r="D7" s="14" t="s">
        <v>148</v>
      </c>
      <c r="E7" t="s">
        <v>82</v>
      </c>
      <c r="H7" t="s">
        <v>149</v>
      </c>
      <c r="I7" t="s">
        <v>150</v>
      </c>
    </row>
    <row r="8" spans="1:17">
      <c r="B8">
        <v>1</v>
      </c>
      <c r="C8" t="s">
        <v>311</v>
      </c>
      <c r="H8" t="s">
        <v>18</v>
      </c>
      <c r="J8" t="s">
        <v>154</v>
      </c>
      <c r="K8" t="s">
        <v>312</v>
      </c>
    </row>
    <row r="9" spans="1:17">
      <c r="D9">
        <v>1</v>
      </c>
      <c r="E9" t="s">
        <v>313</v>
      </c>
      <c r="H9">
        <f>'A Picking'!I17</f>
        <v>5</v>
      </c>
      <c r="J9" t="s">
        <v>154</v>
      </c>
    </row>
    <row r="10" spans="1:17">
      <c r="D10">
        <v>2</v>
      </c>
      <c r="E10" t="s">
        <v>314</v>
      </c>
      <c r="H10">
        <f>'A Picking'!I18</f>
        <v>15</v>
      </c>
      <c r="J10" t="s">
        <v>154</v>
      </c>
    </row>
    <row r="11" spans="1:17">
      <c r="D11">
        <v>3</v>
      </c>
      <c r="E11" t="s">
        <v>315</v>
      </c>
      <c r="H11">
        <f>'A Picking'!J29</f>
        <v>10</v>
      </c>
      <c r="J11" t="s">
        <v>154</v>
      </c>
    </row>
    <row r="13" spans="1:17">
      <c r="B13">
        <v>2</v>
      </c>
      <c r="C13" t="s">
        <v>316</v>
      </c>
      <c r="H13" t="str">
        <f>E14</f>
        <v>Maintenance Workers</v>
      </c>
    </row>
    <row r="14" spans="1:17">
      <c r="D14">
        <v>1</v>
      </c>
      <c r="E14" t="s">
        <v>317</v>
      </c>
    </row>
    <row r="15" spans="1:17">
      <c r="D15">
        <v>2</v>
      </c>
      <c r="E15" t="s">
        <v>318</v>
      </c>
    </row>
    <row r="16" spans="1:17">
      <c r="D16">
        <v>3</v>
      </c>
      <c r="E16" t="s">
        <v>319</v>
      </c>
    </row>
    <row r="18" spans="1:8">
      <c r="B18">
        <v>3</v>
      </c>
      <c r="C18" t="s">
        <v>320</v>
      </c>
      <c r="H18" t="str">
        <f>E19</f>
        <v>Maintenance Workers</v>
      </c>
    </row>
    <row r="19" spans="1:8">
      <c r="D19">
        <v>1</v>
      </c>
      <c r="E19" t="s">
        <v>317</v>
      </c>
    </row>
    <row r="20" spans="1:8">
      <c r="D20">
        <v>2</v>
      </c>
      <c r="E20" t="s">
        <v>318</v>
      </c>
    </row>
    <row r="21" spans="1:8">
      <c r="D21">
        <v>3</v>
      </c>
      <c r="E21" t="s">
        <v>319</v>
      </c>
    </row>
    <row r="23" spans="1:8">
      <c r="B23">
        <v>4</v>
      </c>
    </row>
    <row r="27" spans="1:8">
      <c r="A27" t="s">
        <v>179</v>
      </c>
    </row>
    <row r="28" spans="1:8">
      <c r="C28" t="s">
        <v>321</v>
      </c>
      <c r="D28" t="s">
        <v>322</v>
      </c>
    </row>
    <row r="29" spans="1:8">
      <c r="D29" t="s">
        <v>323</v>
      </c>
    </row>
    <row r="31" spans="1:8">
      <c r="A31" t="s">
        <v>233</v>
      </c>
    </row>
    <row r="32" spans="1:8">
      <c r="B32">
        <v>1</v>
      </c>
      <c r="C32" t="s">
        <v>324</v>
      </c>
      <c r="E32" t="s">
        <v>325</v>
      </c>
      <c r="F32" t="s">
        <v>326</v>
      </c>
    </row>
    <row r="33" spans="1:28">
      <c r="B33">
        <v>2</v>
      </c>
      <c r="C33" t="s">
        <v>327</v>
      </c>
      <c r="E33">
        <v>1.7</v>
      </c>
      <c r="G33">
        <v>8.51</v>
      </c>
      <c r="H33" t="s">
        <v>328</v>
      </c>
    </row>
    <row r="34" spans="1:28">
      <c r="B34">
        <v>3</v>
      </c>
      <c r="C34" t="s">
        <v>329</v>
      </c>
      <c r="E34">
        <v>0.79</v>
      </c>
      <c r="G34">
        <v>3.89</v>
      </c>
      <c r="H34" t="s">
        <v>328</v>
      </c>
    </row>
    <row r="35" spans="1:28">
      <c r="B35">
        <v>4</v>
      </c>
      <c r="C35" t="s">
        <v>330</v>
      </c>
      <c r="E35">
        <v>2.08</v>
      </c>
      <c r="G35">
        <v>10.41</v>
      </c>
      <c r="H35" t="s">
        <v>328</v>
      </c>
    </row>
    <row r="37" spans="1:28">
      <c r="A37" t="s">
        <v>331</v>
      </c>
      <c r="D37" t="s">
        <v>332</v>
      </c>
    </row>
    <row r="38" spans="1:28" ht="64">
      <c r="B38" t="s">
        <v>333</v>
      </c>
      <c r="C38" t="s">
        <v>334</v>
      </c>
      <c r="E38" t="s">
        <v>335</v>
      </c>
      <c r="F38" s="83" t="s">
        <v>336</v>
      </c>
      <c r="G38" s="13" t="s">
        <v>337</v>
      </c>
      <c r="H38" s="83" t="s">
        <v>338</v>
      </c>
      <c r="I38" s="13" t="s">
        <v>339</v>
      </c>
      <c r="J38" s="13" t="s">
        <v>340</v>
      </c>
      <c r="K38" s="83" t="s">
        <v>341</v>
      </c>
      <c r="L38" s="83" t="s">
        <v>342</v>
      </c>
      <c r="M38" s="83" t="s">
        <v>343</v>
      </c>
      <c r="N38" s="13" t="s">
        <v>344</v>
      </c>
      <c r="O38" s="13" t="s">
        <v>345</v>
      </c>
      <c r="P38" s="13" t="s">
        <v>346</v>
      </c>
      <c r="Q38" s="84" t="s">
        <v>347</v>
      </c>
      <c r="R38" s="13" t="s">
        <v>348</v>
      </c>
      <c r="S38" s="13" t="s">
        <v>349</v>
      </c>
      <c r="T38" s="13" t="s">
        <v>350</v>
      </c>
      <c r="U38" s="13" t="s">
        <v>351</v>
      </c>
      <c r="V38" s="13" t="s">
        <v>352</v>
      </c>
      <c r="W38" s="13" t="s">
        <v>353</v>
      </c>
      <c r="X38" s="13" t="s">
        <v>354</v>
      </c>
      <c r="Y38" s="13" t="s">
        <v>355</v>
      </c>
      <c r="Z38" s="13" t="s">
        <v>356</v>
      </c>
      <c r="AA38" s="13" t="s">
        <v>357</v>
      </c>
      <c r="AB38" s="13"/>
    </row>
    <row r="39" spans="1:28">
      <c r="B39">
        <v>1</v>
      </c>
      <c r="C39" t="s">
        <v>358</v>
      </c>
      <c r="E39">
        <v>14</v>
      </c>
      <c r="F39">
        <f>E39</f>
        <v>14</v>
      </c>
      <c r="G39" s="39">
        <f>E39*$E$4</f>
        <v>8.5555555555555565E-2</v>
      </c>
      <c r="H39" s="39">
        <f>E39*$E$5</f>
        <v>8.5555555555555565E-2</v>
      </c>
      <c r="I39" s="39">
        <v>8.6800000000000002E-2</v>
      </c>
      <c r="J39" s="101">
        <v>8.6800000000000002E-2</v>
      </c>
      <c r="K39" s="90">
        <v>1</v>
      </c>
      <c r="L39">
        <f>VLOOKUP(K39,Components!A$4:I$21,8,0)</f>
        <v>6.61</v>
      </c>
      <c r="M39">
        <f>VLOOKUP(K39,Components!A$4:I$21,9,0)</f>
        <v>6.61</v>
      </c>
      <c r="N39">
        <f>L39</f>
        <v>6.61</v>
      </c>
      <c r="O39">
        <f>M39</f>
        <v>6.61</v>
      </c>
      <c r="P39">
        <v>0</v>
      </c>
      <c r="W39">
        <f>E39+R39</f>
        <v>14</v>
      </c>
      <c r="X39" s="39">
        <f>G39+L39+S39+U39</f>
        <v>6.6955555555555559</v>
      </c>
      <c r="Y39" s="39">
        <f>H39+M39+T39+V39</f>
        <v>6.6955555555555559</v>
      </c>
    </row>
    <row r="40" spans="1:28">
      <c r="B40">
        <v>2</v>
      </c>
      <c r="C40" t="s">
        <v>359</v>
      </c>
      <c r="D40" t="s">
        <v>360</v>
      </c>
      <c r="E40">
        <v>2</v>
      </c>
      <c r="F40">
        <f>SUM($E$39:E40)</f>
        <v>16</v>
      </c>
      <c r="G40" s="39">
        <f>E40*$E$4</f>
        <v>1.2222222222222223E-2</v>
      </c>
      <c r="H40" s="39">
        <f t="shared" ref="H40:H72" si="0">E40*$E$5</f>
        <v>1.2222222222222223E-2</v>
      </c>
      <c r="I40" s="39">
        <f>SUM(I39,G40)</f>
        <v>9.902222222222222E-2</v>
      </c>
      <c r="J40" s="39">
        <f>SUM(J39,H40)</f>
        <v>9.902222222222222E-2</v>
      </c>
      <c r="K40" s="90">
        <v>1</v>
      </c>
      <c r="N40">
        <f>SUM(N39,L40)</f>
        <v>6.61</v>
      </c>
      <c r="O40">
        <f>SUM(O39,M40)</f>
        <v>6.61</v>
      </c>
      <c r="P40">
        <v>2</v>
      </c>
      <c r="Q40" t="s">
        <v>361</v>
      </c>
      <c r="R40" s="13">
        <f>F87</f>
        <v>30.57</v>
      </c>
      <c r="S40" s="104">
        <f>I87</f>
        <v>0.18681666666666666</v>
      </c>
      <c r="T40" s="104">
        <f>J87</f>
        <v>0.18681666666666666</v>
      </c>
      <c r="U40">
        <f>L88</f>
        <v>6.61</v>
      </c>
      <c r="V40">
        <f>M88</f>
        <v>6.61</v>
      </c>
      <c r="W40">
        <f>W39+(E40+R40)</f>
        <v>46.57</v>
      </c>
      <c r="X40" s="39">
        <f>X39+(G40+L40+S40+U40)</f>
        <v>13.504594444444445</v>
      </c>
      <c r="Y40" s="39">
        <f>Y39+(H40+M40+T40+V40)</f>
        <v>13.504594444444445</v>
      </c>
    </row>
    <row r="41" spans="1:28">
      <c r="B41">
        <v>3</v>
      </c>
      <c r="C41" t="s">
        <v>362</v>
      </c>
      <c r="E41">
        <v>3</v>
      </c>
      <c r="F41">
        <f>SUM($E$39:E41)</f>
        <v>19</v>
      </c>
      <c r="G41" s="39">
        <f>E41*$E$4</f>
        <v>1.8333333333333333E-2</v>
      </c>
      <c r="H41" s="39">
        <f t="shared" si="0"/>
        <v>1.8333333333333333E-2</v>
      </c>
      <c r="I41" s="39">
        <f t="shared" ref="I41:J56" si="1">SUM(I40,G41)</f>
        <v>0.11735555555555555</v>
      </c>
      <c r="J41" s="39">
        <f t="shared" si="1"/>
        <v>0.11735555555555555</v>
      </c>
      <c r="K41" s="90">
        <v>2</v>
      </c>
      <c r="L41">
        <f>VLOOKUP(K41,Components!A$4:I$21,8,0)</f>
        <v>0.08</v>
      </c>
      <c r="M41">
        <f>VLOOKUP(K41,Components!A$4:I$21,9,0)</f>
        <v>0.08</v>
      </c>
      <c r="N41">
        <f>SUM(N40,L41)</f>
        <v>6.69</v>
      </c>
      <c r="O41">
        <f>SUM(O40,M41)</f>
        <v>6.69</v>
      </c>
      <c r="P41">
        <v>0</v>
      </c>
      <c r="S41" s="104"/>
      <c r="T41" s="104"/>
      <c r="W41">
        <f t="shared" ref="W41:W72" si="2">W40+(E41+R41)</f>
        <v>49.57</v>
      </c>
      <c r="X41" s="39">
        <f t="shared" ref="X41:Y56" si="3">X40+(G41+L41+S41+U41)</f>
        <v>13.602927777777778</v>
      </c>
      <c r="Y41" s="39">
        <f t="shared" si="3"/>
        <v>13.602927777777778</v>
      </c>
    </row>
    <row r="42" spans="1:28">
      <c r="G42" s="39"/>
      <c r="H42" s="39"/>
      <c r="I42" s="39"/>
      <c r="J42" s="39"/>
      <c r="K42" s="90">
        <v>12</v>
      </c>
      <c r="L42">
        <f>VLOOKUP(K42,Components!A$4:I$21,8,0)</f>
        <v>3</v>
      </c>
      <c r="M42">
        <f>VLOOKUP(K42,Components!A$4:I$21,9,0)</f>
        <v>3</v>
      </c>
      <c r="N42">
        <f t="shared" ref="N42:O57" si="4">SUM(N41,L42)</f>
        <v>9.6900000000000013</v>
      </c>
      <c r="O42">
        <f t="shared" si="4"/>
        <v>9.6900000000000013</v>
      </c>
      <c r="S42" s="104"/>
      <c r="T42" s="104"/>
      <c r="W42">
        <f t="shared" si="2"/>
        <v>49.57</v>
      </c>
      <c r="X42" s="39">
        <f t="shared" si="3"/>
        <v>16.602927777777779</v>
      </c>
      <c r="Y42" s="39">
        <f t="shared" si="3"/>
        <v>16.602927777777779</v>
      </c>
    </row>
    <row r="43" spans="1:28">
      <c r="G43" s="39"/>
      <c r="H43" s="39"/>
      <c r="I43" s="39"/>
      <c r="J43" s="39"/>
      <c r="K43" s="90">
        <v>13</v>
      </c>
      <c r="L43">
        <f>VLOOKUP(K43,Components!A$4:I$21,8,0)</f>
        <v>6</v>
      </c>
      <c r="M43">
        <f>VLOOKUP(K43,Components!A$4:I$21,9,0)</f>
        <v>6</v>
      </c>
      <c r="N43">
        <f t="shared" si="4"/>
        <v>15.690000000000001</v>
      </c>
      <c r="O43">
        <f t="shared" si="4"/>
        <v>15.690000000000001</v>
      </c>
      <c r="S43" s="104"/>
      <c r="T43" s="104"/>
      <c r="W43">
        <f t="shared" si="2"/>
        <v>49.57</v>
      </c>
      <c r="X43" s="39">
        <f t="shared" si="3"/>
        <v>22.602927777777779</v>
      </c>
      <c r="Y43" s="39">
        <f t="shared" si="3"/>
        <v>22.602927777777779</v>
      </c>
    </row>
    <row r="44" spans="1:28">
      <c r="B44">
        <v>4</v>
      </c>
      <c r="C44" t="s">
        <v>363</v>
      </c>
      <c r="E44">
        <v>7</v>
      </c>
      <c r="F44">
        <f>SUM($E$39:E44)</f>
        <v>26</v>
      </c>
      <c r="G44" s="39">
        <f t="shared" ref="G44:G49" si="5">E44*$E$4</f>
        <v>4.2777777777777783E-2</v>
      </c>
      <c r="H44" s="39">
        <f t="shared" si="0"/>
        <v>4.2777777777777783E-2</v>
      </c>
      <c r="I44" s="39">
        <f>SUM(I41,G44)</f>
        <v>0.16013333333333332</v>
      </c>
      <c r="J44" s="39">
        <f>SUM(J41,H44)</f>
        <v>0.16013333333333332</v>
      </c>
      <c r="K44" s="90">
        <v>14</v>
      </c>
      <c r="L44">
        <f>VLOOKUP(K44,Components!A$4:I$21,8,0)</f>
        <v>10</v>
      </c>
      <c r="M44">
        <f>VLOOKUP(K44,Components!A$4:I$21,9,0)</f>
        <v>10</v>
      </c>
      <c r="N44">
        <f t="shared" si="4"/>
        <v>25.69</v>
      </c>
      <c r="O44">
        <f t="shared" si="4"/>
        <v>25.69</v>
      </c>
      <c r="S44" s="104"/>
      <c r="T44" s="104"/>
      <c r="W44">
        <f t="shared" si="2"/>
        <v>56.57</v>
      </c>
      <c r="X44" s="39">
        <f t="shared" si="3"/>
        <v>32.645705555555558</v>
      </c>
      <c r="Y44" s="39">
        <f t="shared" si="3"/>
        <v>32.645705555555558</v>
      </c>
    </row>
    <row r="45" spans="1:28">
      <c r="B45">
        <v>5</v>
      </c>
      <c r="C45" t="s">
        <v>364</v>
      </c>
      <c r="E45">
        <v>2</v>
      </c>
      <c r="F45">
        <f>SUM($E$39:E45)</f>
        <v>28</v>
      </c>
      <c r="G45" s="39">
        <f t="shared" si="5"/>
        <v>1.2222222222222223E-2</v>
      </c>
      <c r="H45" s="39">
        <f t="shared" si="0"/>
        <v>1.2222222222222223E-2</v>
      </c>
      <c r="I45" s="39">
        <f t="shared" si="1"/>
        <v>0.17235555555555554</v>
      </c>
      <c r="J45" s="39">
        <f t="shared" si="1"/>
        <v>0.17235555555555554</v>
      </c>
      <c r="N45">
        <f t="shared" si="4"/>
        <v>25.69</v>
      </c>
      <c r="O45">
        <f>SUM(O44,M45)</f>
        <v>25.69</v>
      </c>
      <c r="P45">
        <v>5.2</v>
      </c>
      <c r="Q45" t="s">
        <v>365</v>
      </c>
      <c r="R45">
        <f>F106</f>
        <v>43.57</v>
      </c>
      <c r="S45" s="104">
        <f>I106</f>
        <v>0.24792777777777777</v>
      </c>
      <c r="T45" s="104">
        <f>J106</f>
        <v>0.24792777777777777</v>
      </c>
      <c r="U45">
        <f>L107</f>
        <v>25.69</v>
      </c>
      <c r="V45">
        <f>M107</f>
        <v>25.69</v>
      </c>
      <c r="W45">
        <f t="shared" si="2"/>
        <v>102.14</v>
      </c>
      <c r="X45" s="39">
        <f t="shared" si="3"/>
        <v>58.595855555555559</v>
      </c>
      <c r="Y45" s="39">
        <f t="shared" si="3"/>
        <v>58.595855555555559</v>
      </c>
    </row>
    <row r="46" spans="1:28">
      <c r="B46">
        <v>6</v>
      </c>
      <c r="C46" t="s">
        <v>366</v>
      </c>
      <c r="E46">
        <v>6.6</v>
      </c>
      <c r="F46">
        <f>SUM($E$39:E46)</f>
        <v>34.6</v>
      </c>
      <c r="G46" s="39">
        <f t="shared" si="5"/>
        <v>4.0333333333333332E-2</v>
      </c>
      <c r="H46" s="39">
        <f t="shared" si="0"/>
        <v>4.0333333333333332E-2</v>
      </c>
      <c r="I46" s="39">
        <f t="shared" si="1"/>
        <v>0.21268888888888887</v>
      </c>
      <c r="J46" s="39">
        <f t="shared" si="1"/>
        <v>0.21268888888888887</v>
      </c>
      <c r="K46">
        <v>10</v>
      </c>
      <c r="L46">
        <f>VLOOKUP(K46,Components!A$4:I$21,8,0)</f>
        <v>4</v>
      </c>
      <c r="M46">
        <f>VLOOKUP(K46,Components!A$4:I$21,9,0)</f>
        <v>4</v>
      </c>
      <c r="N46">
        <f t="shared" si="4"/>
        <v>29.69</v>
      </c>
      <c r="O46">
        <f t="shared" si="4"/>
        <v>29.69</v>
      </c>
      <c r="S46" s="104"/>
      <c r="T46" s="104"/>
      <c r="W46">
        <f t="shared" si="2"/>
        <v>108.74</v>
      </c>
      <c r="X46" s="39">
        <f t="shared" si="3"/>
        <v>62.636188888888896</v>
      </c>
      <c r="Y46" s="39">
        <f t="shared" si="3"/>
        <v>62.636188888888896</v>
      </c>
    </row>
    <row r="47" spans="1:28">
      <c r="B47">
        <v>7</v>
      </c>
      <c r="C47" t="s">
        <v>367</v>
      </c>
      <c r="E47">
        <v>20</v>
      </c>
      <c r="F47">
        <f>SUM($E$39:E47)</f>
        <v>54.6</v>
      </c>
      <c r="G47" s="39">
        <f t="shared" si="5"/>
        <v>0.12222222222222223</v>
      </c>
      <c r="H47" s="39">
        <f t="shared" si="0"/>
        <v>0.12222222222222223</v>
      </c>
      <c r="I47" s="39">
        <f t="shared" si="1"/>
        <v>0.3349111111111111</v>
      </c>
      <c r="J47" s="39">
        <f t="shared" si="1"/>
        <v>0.3349111111111111</v>
      </c>
      <c r="K47">
        <v>4</v>
      </c>
      <c r="L47">
        <f>VLOOKUP(K47,Components!A$4:I$21,8,0)</f>
        <v>14.99</v>
      </c>
      <c r="M47">
        <f>VLOOKUP(K47,Components!A$4:I$21,9,0)</f>
        <v>14.99</v>
      </c>
      <c r="N47">
        <f t="shared" si="4"/>
        <v>44.68</v>
      </c>
      <c r="O47">
        <f t="shared" si="4"/>
        <v>44.68</v>
      </c>
      <c r="S47" s="104"/>
      <c r="T47" s="104"/>
      <c r="W47">
        <f t="shared" si="2"/>
        <v>128.74</v>
      </c>
      <c r="X47" s="39">
        <f t="shared" si="3"/>
        <v>77.748411111111125</v>
      </c>
      <c r="Y47" s="39">
        <f t="shared" si="3"/>
        <v>77.748411111111125</v>
      </c>
    </row>
    <row r="48" spans="1:28">
      <c r="B48">
        <v>8</v>
      </c>
      <c r="C48" t="s">
        <v>368</v>
      </c>
      <c r="E48">
        <v>41</v>
      </c>
      <c r="F48">
        <f>SUM($E$39:E48)</f>
        <v>95.6</v>
      </c>
      <c r="G48" s="39">
        <f t="shared" si="5"/>
        <v>0.25055555555555559</v>
      </c>
      <c r="H48" s="39">
        <f t="shared" si="0"/>
        <v>0.25055555555555559</v>
      </c>
      <c r="I48" s="39">
        <f t="shared" si="1"/>
        <v>0.58546666666666669</v>
      </c>
      <c r="J48" s="39">
        <f t="shared" si="1"/>
        <v>0.58546666666666669</v>
      </c>
      <c r="N48">
        <f t="shared" si="4"/>
        <v>44.68</v>
      </c>
      <c r="O48">
        <f t="shared" si="4"/>
        <v>44.68</v>
      </c>
      <c r="P48">
        <v>2</v>
      </c>
      <c r="Q48" t="s">
        <v>369</v>
      </c>
      <c r="R48">
        <f>F109</f>
        <v>11</v>
      </c>
      <c r="S48" s="104">
        <f>I109</f>
        <v>6.7222222222222225E-2</v>
      </c>
      <c r="T48" s="104">
        <f>J109</f>
        <v>6.7222222222222225E-2</v>
      </c>
      <c r="W48">
        <f t="shared" si="2"/>
        <v>180.74</v>
      </c>
      <c r="X48" s="39">
        <f t="shared" si="3"/>
        <v>78.066188888888902</v>
      </c>
      <c r="Y48" s="39">
        <f t="shared" si="3"/>
        <v>78.066188888888902</v>
      </c>
    </row>
    <row r="49" spans="2:25">
      <c r="B49">
        <v>9</v>
      </c>
      <c r="C49" t="s">
        <v>370</v>
      </c>
      <c r="E49">
        <v>24</v>
      </c>
      <c r="F49">
        <f>SUM($E$39:E49)</f>
        <v>119.6</v>
      </c>
      <c r="G49" s="39">
        <f t="shared" si="5"/>
        <v>0.14666666666666667</v>
      </c>
      <c r="H49" s="39">
        <f t="shared" si="0"/>
        <v>0.14666666666666667</v>
      </c>
      <c r="I49" s="39">
        <f t="shared" si="1"/>
        <v>0.7321333333333333</v>
      </c>
      <c r="J49" s="39">
        <f t="shared" si="1"/>
        <v>0.7321333333333333</v>
      </c>
      <c r="K49" s="90">
        <v>12</v>
      </c>
      <c r="L49" s="123"/>
      <c r="M49" s="123"/>
      <c r="N49">
        <f t="shared" si="4"/>
        <v>44.68</v>
      </c>
      <c r="O49">
        <f t="shared" si="4"/>
        <v>44.68</v>
      </c>
      <c r="S49" s="104"/>
      <c r="T49" s="104"/>
      <c r="W49">
        <f t="shared" si="2"/>
        <v>204.74</v>
      </c>
      <c r="X49" s="39">
        <f t="shared" si="3"/>
        <v>78.212855555555564</v>
      </c>
      <c r="Y49" s="39">
        <f t="shared" si="3"/>
        <v>78.212855555555564</v>
      </c>
    </row>
    <row r="50" spans="2:25">
      <c r="G50" s="39"/>
      <c r="H50" s="39"/>
      <c r="I50" s="39"/>
      <c r="J50" s="39"/>
      <c r="K50" s="90">
        <v>13</v>
      </c>
      <c r="L50" s="123"/>
      <c r="M50" s="123"/>
      <c r="N50">
        <f t="shared" si="4"/>
        <v>44.68</v>
      </c>
      <c r="O50">
        <f t="shared" si="4"/>
        <v>44.68</v>
      </c>
      <c r="S50" s="104"/>
      <c r="T50" s="104"/>
      <c r="W50">
        <f t="shared" si="2"/>
        <v>204.74</v>
      </c>
      <c r="X50" s="39">
        <f t="shared" si="3"/>
        <v>78.212855555555564</v>
      </c>
      <c r="Y50" s="39">
        <f t="shared" si="3"/>
        <v>78.212855555555564</v>
      </c>
    </row>
    <row r="51" spans="2:25">
      <c r="G51" s="39"/>
      <c r="H51" s="39"/>
      <c r="I51" s="39"/>
      <c r="J51" s="39"/>
      <c r="K51" s="90">
        <v>14</v>
      </c>
      <c r="L51" s="123"/>
      <c r="M51" s="123"/>
      <c r="N51">
        <f t="shared" si="4"/>
        <v>44.68</v>
      </c>
      <c r="O51">
        <f t="shared" si="4"/>
        <v>44.68</v>
      </c>
      <c r="S51" s="104"/>
      <c r="T51" s="104"/>
      <c r="W51">
        <f t="shared" si="2"/>
        <v>204.74</v>
      </c>
      <c r="X51" s="39">
        <f t="shared" si="3"/>
        <v>78.212855555555564</v>
      </c>
      <c r="Y51" s="39">
        <f t="shared" si="3"/>
        <v>78.212855555555564</v>
      </c>
    </row>
    <row r="52" spans="2:25">
      <c r="B52">
        <v>10</v>
      </c>
      <c r="C52" t="s">
        <v>371</v>
      </c>
      <c r="E52">
        <v>12</v>
      </c>
      <c r="F52">
        <f>SUM($E$39:E52)</f>
        <v>131.6</v>
      </c>
      <c r="G52" s="39">
        <f t="shared" ref="G52:G72" si="6">E52*$E$4</f>
        <v>7.3333333333333334E-2</v>
      </c>
      <c r="H52" s="39">
        <f t="shared" si="0"/>
        <v>7.3333333333333334E-2</v>
      </c>
      <c r="I52" s="39">
        <f>SUM(I49,G52)</f>
        <v>0.80546666666666666</v>
      </c>
      <c r="J52" s="39">
        <f>SUM(J49,H52)</f>
        <v>0.80546666666666666</v>
      </c>
      <c r="K52">
        <v>7</v>
      </c>
      <c r="L52">
        <f>VLOOKUP(K52,Components!A$4:I$21,8,0)</f>
        <v>0.56999999999999995</v>
      </c>
      <c r="M52">
        <f>VLOOKUP(K52,Components!A$4:I$21,9,0)</f>
        <v>0.56999999999999995</v>
      </c>
      <c r="N52">
        <f t="shared" si="4"/>
        <v>45.25</v>
      </c>
      <c r="O52">
        <f t="shared" si="4"/>
        <v>45.25</v>
      </c>
      <c r="S52" s="104"/>
      <c r="T52" s="104"/>
      <c r="W52">
        <f t="shared" si="2"/>
        <v>216.74</v>
      </c>
      <c r="X52" s="39">
        <f t="shared" si="3"/>
        <v>78.856188888888894</v>
      </c>
      <c r="Y52" s="39">
        <f t="shared" si="3"/>
        <v>78.856188888888894</v>
      </c>
    </row>
    <row r="53" spans="2:25">
      <c r="B53">
        <v>11</v>
      </c>
      <c r="C53" t="s">
        <v>372</v>
      </c>
      <c r="E53">
        <v>2</v>
      </c>
      <c r="F53">
        <f>SUM($E$39:E53)</f>
        <v>133.6</v>
      </c>
      <c r="G53" s="39">
        <f t="shared" si="6"/>
        <v>1.2222222222222223E-2</v>
      </c>
      <c r="H53" s="39">
        <f t="shared" si="0"/>
        <v>1.2222222222222223E-2</v>
      </c>
      <c r="I53" s="39">
        <f t="shared" si="1"/>
        <v>0.81768888888888891</v>
      </c>
      <c r="J53" s="39">
        <f t="shared" si="1"/>
        <v>0.81768888888888891</v>
      </c>
      <c r="N53">
        <f t="shared" si="4"/>
        <v>45.25</v>
      </c>
      <c r="O53">
        <f t="shared" si="4"/>
        <v>45.25</v>
      </c>
      <c r="S53" s="104"/>
      <c r="T53" s="104"/>
      <c r="W53">
        <f t="shared" si="2"/>
        <v>218.74</v>
      </c>
      <c r="X53" s="39">
        <f t="shared" si="3"/>
        <v>78.868411111111115</v>
      </c>
      <c r="Y53" s="39">
        <f t="shared" si="3"/>
        <v>78.868411111111115</v>
      </c>
    </row>
    <row r="54" spans="2:25">
      <c r="B54">
        <v>12</v>
      </c>
      <c r="C54" t="s">
        <v>373</v>
      </c>
      <c r="E54">
        <v>2</v>
      </c>
      <c r="F54">
        <f>SUM($E$39:E54)</f>
        <v>135.6</v>
      </c>
      <c r="G54" s="39">
        <f t="shared" si="6"/>
        <v>1.2222222222222223E-2</v>
      </c>
      <c r="H54" s="39">
        <f t="shared" si="0"/>
        <v>1.2222222222222223E-2</v>
      </c>
      <c r="I54" s="39">
        <f t="shared" si="1"/>
        <v>0.82991111111111115</v>
      </c>
      <c r="J54" s="39">
        <f t="shared" si="1"/>
        <v>0.82991111111111115</v>
      </c>
      <c r="N54">
        <f t="shared" si="4"/>
        <v>45.25</v>
      </c>
      <c r="O54">
        <f t="shared" si="4"/>
        <v>45.25</v>
      </c>
      <c r="P54">
        <v>7.5</v>
      </c>
      <c r="Q54" t="s">
        <v>374</v>
      </c>
      <c r="R54">
        <f>F119</f>
        <v>22.57</v>
      </c>
      <c r="S54" s="104">
        <f>I119</f>
        <v>0.13792777777777779</v>
      </c>
      <c r="T54" s="104">
        <f>J119</f>
        <v>0.13792777777777779</v>
      </c>
      <c r="W54">
        <f t="shared" si="2"/>
        <v>243.31</v>
      </c>
      <c r="X54" s="39">
        <f t="shared" si="3"/>
        <v>79.018561111111111</v>
      </c>
      <c r="Y54" s="39">
        <f t="shared" si="3"/>
        <v>79.018561111111111</v>
      </c>
    </row>
    <row r="55" spans="2:25">
      <c r="B55">
        <v>13</v>
      </c>
      <c r="C55" t="s">
        <v>375</v>
      </c>
      <c r="E55">
        <v>4.4000000000000004</v>
      </c>
      <c r="F55">
        <f>SUM($E$39:E55)</f>
        <v>140</v>
      </c>
      <c r="G55" s="39">
        <f t="shared" si="6"/>
        <v>2.6888888888888893E-2</v>
      </c>
      <c r="H55" s="39">
        <f t="shared" si="0"/>
        <v>2.6888888888888893E-2</v>
      </c>
      <c r="I55" s="39">
        <f t="shared" si="1"/>
        <v>0.85680000000000001</v>
      </c>
      <c r="J55" s="39">
        <f t="shared" si="1"/>
        <v>0.85680000000000001</v>
      </c>
      <c r="K55">
        <v>5</v>
      </c>
      <c r="L55">
        <f>VLOOKUP(K55,Components!A$4:I$21,8,0)</f>
        <v>4.1500000000000004</v>
      </c>
      <c r="M55">
        <f>VLOOKUP(K55,Components!A$4:I$21,9,0)</f>
        <v>4.1500000000000004</v>
      </c>
      <c r="N55">
        <f t="shared" si="4"/>
        <v>49.4</v>
      </c>
      <c r="O55">
        <f t="shared" si="4"/>
        <v>49.4</v>
      </c>
      <c r="S55" s="104"/>
      <c r="T55" s="104"/>
      <c r="W55">
        <f t="shared" si="2"/>
        <v>247.71</v>
      </c>
      <c r="X55" s="39">
        <f t="shared" si="3"/>
        <v>83.195449999999994</v>
      </c>
      <c r="Y55" s="39">
        <f t="shared" si="3"/>
        <v>83.195449999999994</v>
      </c>
    </row>
    <row r="56" spans="2:25">
      <c r="B56">
        <v>14</v>
      </c>
      <c r="C56" t="s">
        <v>372</v>
      </c>
      <c r="E56">
        <v>2</v>
      </c>
      <c r="F56">
        <f>SUM($E$39:E56)</f>
        <v>142</v>
      </c>
      <c r="G56" s="39">
        <f t="shared" si="6"/>
        <v>1.2222222222222223E-2</v>
      </c>
      <c r="H56" s="39">
        <f t="shared" si="0"/>
        <v>1.2222222222222223E-2</v>
      </c>
      <c r="I56" s="39">
        <f t="shared" si="1"/>
        <v>0.86902222222222225</v>
      </c>
      <c r="J56" s="39">
        <f t="shared" si="1"/>
        <v>0.86902222222222225</v>
      </c>
      <c r="N56">
        <f t="shared" si="4"/>
        <v>49.4</v>
      </c>
      <c r="O56">
        <f t="shared" si="4"/>
        <v>49.4</v>
      </c>
      <c r="S56" s="104"/>
      <c r="T56" s="104"/>
      <c r="W56">
        <f t="shared" si="2"/>
        <v>249.71</v>
      </c>
      <c r="X56" s="39">
        <f t="shared" si="3"/>
        <v>83.207672222222214</v>
      </c>
      <c r="Y56" s="39">
        <f t="shared" si="3"/>
        <v>83.207672222222214</v>
      </c>
    </row>
    <row r="57" spans="2:25">
      <c r="B57">
        <v>15</v>
      </c>
      <c r="C57" t="s">
        <v>376</v>
      </c>
      <c r="E57">
        <v>2</v>
      </c>
      <c r="F57">
        <f>SUM($E$39:E57)</f>
        <v>144</v>
      </c>
      <c r="G57" s="39">
        <f t="shared" si="6"/>
        <v>1.2222222222222223E-2</v>
      </c>
      <c r="H57" s="39">
        <f t="shared" si="0"/>
        <v>1.2222222222222223E-2</v>
      </c>
      <c r="I57" s="39">
        <f t="shared" ref="I57:J72" si="7">SUM(I56,G57)</f>
        <v>0.8812444444444445</v>
      </c>
      <c r="J57" s="39">
        <f t="shared" si="7"/>
        <v>0.8812444444444445</v>
      </c>
      <c r="N57">
        <f t="shared" si="4"/>
        <v>49.4</v>
      </c>
      <c r="O57">
        <f t="shared" si="4"/>
        <v>49.4</v>
      </c>
      <c r="Q57" t="s">
        <v>377</v>
      </c>
      <c r="S57" s="104"/>
      <c r="T57" s="104"/>
      <c r="W57">
        <f t="shared" si="2"/>
        <v>251.71</v>
      </c>
      <c r="X57" s="39">
        <f t="shared" ref="X57:Y72" si="8">X56+(G57+L57+S57+U57)</f>
        <v>83.219894444444435</v>
      </c>
      <c r="Y57" s="39">
        <f t="shared" si="8"/>
        <v>83.219894444444435</v>
      </c>
    </row>
    <row r="58" spans="2:25">
      <c r="B58">
        <v>16</v>
      </c>
      <c r="C58" t="s">
        <v>378</v>
      </c>
      <c r="E58">
        <v>8.8000000000000007</v>
      </c>
      <c r="F58">
        <f>SUM($E$39:E58)</f>
        <v>152.80000000000001</v>
      </c>
      <c r="G58" s="39">
        <f t="shared" si="6"/>
        <v>5.3777777777777785E-2</v>
      </c>
      <c r="H58" s="39">
        <f t="shared" si="0"/>
        <v>5.3777777777777785E-2</v>
      </c>
      <c r="I58" s="39">
        <f t="shared" si="7"/>
        <v>0.93502222222222231</v>
      </c>
      <c r="J58" s="39">
        <f t="shared" si="7"/>
        <v>0.93502222222222231</v>
      </c>
      <c r="K58">
        <v>8</v>
      </c>
      <c r="L58">
        <f>VLOOKUP(K58,Components!A$4:I$21,8,0)</f>
        <v>0.31</v>
      </c>
      <c r="M58">
        <f>VLOOKUP(K58,Components!A$4:I$21,9,0)</f>
        <v>0.31</v>
      </c>
      <c r="N58">
        <f t="shared" ref="N58:O72" si="9">SUM(N57,L58)</f>
        <v>49.71</v>
      </c>
      <c r="O58">
        <f t="shared" si="9"/>
        <v>49.71</v>
      </c>
      <c r="S58" s="104"/>
      <c r="T58" s="104"/>
      <c r="W58">
        <f t="shared" si="2"/>
        <v>260.51</v>
      </c>
      <c r="X58" s="39">
        <f t="shared" si="8"/>
        <v>83.583672222222219</v>
      </c>
      <c r="Y58" s="39">
        <f t="shared" si="8"/>
        <v>83.583672222222219</v>
      </c>
    </row>
    <row r="59" spans="2:25">
      <c r="B59">
        <v>17</v>
      </c>
      <c r="C59" t="s">
        <v>372</v>
      </c>
      <c r="E59">
        <v>6</v>
      </c>
      <c r="F59">
        <f>SUM($E$39:E59)</f>
        <v>158.80000000000001</v>
      </c>
      <c r="G59" s="39">
        <f t="shared" si="6"/>
        <v>3.6666666666666667E-2</v>
      </c>
      <c r="H59" s="39">
        <f t="shared" si="0"/>
        <v>3.6666666666666667E-2</v>
      </c>
      <c r="I59" s="39">
        <f t="shared" si="7"/>
        <v>0.97168888888888894</v>
      </c>
      <c r="J59" s="39">
        <f t="shared" si="7"/>
        <v>0.97168888888888894</v>
      </c>
      <c r="N59">
        <f t="shared" si="9"/>
        <v>49.71</v>
      </c>
      <c r="O59">
        <f t="shared" si="9"/>
        <v>49.71</v>
      </c>
      <c r="S59" s="104"/>
      <c r="T59" s="104"/>
      <c r="W59">
        <f t="shared" si="2"/>
        <v>266.51</v>
      </c>
      <c r="X59" s="39">
        <f t="shared" si="8"/>
        <v>83.620338888888881</v>
      </c>
      <c r="Y59" s="39">
        <f t="shared" si="8"/>
        <v>83.620338888888881</v>
      </c>
    </row>
    <row r="60" spans="2:25">
      <c r="B60">
        <v>18</v>
      </c>
      <c r="C60" t="s">
        <v>379</v>
      </c>
      <c r="E60">
        <v>2</v>
      </c>
      <c r="F60">
        <f>SUM($E$39:E60)</f>
        <v>160.80000000000001</v>
      </c>
      <c r="G60" s="39">
        <f t="shared" si="6"/>
        <v>1.2222222222222223E-2</v>
      </c>
      <c r="H60" s="39">
        <f t="shared" si="0"/>
        <v>1.2222222222222223E-2</v>
      </c>
      <c r="I60" s="39">
        <f t="shared" si="7"/>
        <v>0.98391111111111118</v>
      </c>
      <c r="J60" s="39">
        <f t="shared" si="7"/>
        <v>0.98391111111111118</v>
      </c>
      <c r="N60">
        <f t="shared" si="9"/>
        <v>49.71</v>
      </c>
      <c r="O60">
        <f t="shared" si="9"/>
        <v>49.71</v>
      </c>
      <c r="P60">
        <v>0.1</v>
      </c>
      <c r="Q60" t="s">
        <v>380</v>
      </c>
      <c r="R60">
        <f>F130</f>
        <v>34.78</v>
      </c>
      <c r="S60" s="104">
        <f>I130</f>
        <v>0.21254444444444448</v>
      </c>
      <c r="T60" s="104">
        <f>J130</f>
        <v>0.21254444444444448</v>
      </c>
      <c r="W60">
        <f t="shared" si="2"/>
        <v>303.28999999999996</v>
      </c>
      <c r="X60" s="39">
        <f t="shared" si="8"/>
        <v>83.845105555555548</v>
      </c>
      <c r="Y60" s="39">
        <f t="shared" si="8"/>
        <v>83.845105555555548</v>
      </c>
    </row>
    <row r="61" spans="2:25">
      <c r="B61">
        <v>19</v>
      </c>
      <c r="C61" t="s">
        <v>381</v>
      </c>
      <c r="E61">
        <v>1.2</v>
      </c>
      <c r="F61">
        <f>SUM($E$39:E61)</f>
        <v>162</v>
      </c>
      <c r="G61" s="39">
        <f t="shared" si="6"/>
        <v>7.3333333333333332E-3</v>
      </c>
      <c r="H61" s="39">
        <f t="shared" si="0"/>
        <v>7.3333333333333332E-3</v>
      </c>
      <c r="I61" s="39">
        <f t="shared" si="7"/>
        <v>0.99124444444444448</v>
      </c>
      <c r="J61" s="39">
        <f t="shared" si="7"/>
        <v>0.99124444444444448</v>
      </c>
      <c r="K61">
        <v>11</v>
      </c>
      <c r="L61">
        <f>VLOOKUP(K61,Components!A$4:I$21,8,0)</f>
        <v>2</v>
      </c>
      <c r="M61">
        <f>VLOOKUP(K61,Components!A$4:I$21,9,0)</f>
        <v>2</v>
      </c>
      <c r="N61">
        <f t="shared" si="9"/>
        <v>51.71</v>
      </c>
      <c r="O61">
        <f t="shared" si="9"/>
        <v>51.71</v>
      </c>
      <c r="S61" s="104"/>
      <c r="T61" s="104"/>
      <c r="W61">
        <f t="shared" si="2"/>
        <v>304.48999999999995</v>
      </c>
      <c r="X61" s="39">
        <f t="shared" si="8"/>
        <v>85.852438888888884</v>
      </c>
      <c r="Y61" s="39">
        <f t="shared" si="8"/>
        <v>85.852438888888884</v>
      </c>
    </row>
    <row r="62" spans="2:25">
      <c r="B62">
        <v>20</v>
      </c>
      <c r="C62" t="s">
        <v>382</v>
      </c>
      <c r="E62">
        <v>1.2</v>
      </c>
      <c r="F62">
        <f>SUM($E$39:E62)</f>
        <v>163.19999999999999</v>
      </c>
      <c r="G62" s="39">
        <f t="shared" si="6"/>
        <v>7.3333333333333332E-3</v>
      </c>
      <c r="H62" s="39">
        <f t="shared" si="0"/>
        <v>7.3333333333333332E-3</v>
      </c>
      <c r="I62" s="39">
        <f t="shared" si="7"/>
        <v>0.99857777777777779</v>
      </c>
      <c r="J62" s="39">
        <f t="shared" si="7"/>
        <v>0.99857777777777779</v>
      </c>
      <c r="K62">
        <v>6</v>
      </c>
      <c r="L62">
        <f>VLOOKUP(K62,Components!A$4:I$21,8,0)</f>
        <v>1.88</v>
      </c>
      <c r="M62">
        <f>VLOOKUP(K62,Components!A$4:I$21,9,0)</f>
        <v>1.88</v>
      </c>
      <c r="N62">
        <f t="shared" si="9"/>
        <v>53.59</v>
      </c>
      <c r="O62">
        <f t="shared" si="9"/>
        <v>53.59</v>
      </c>
      <c r="S62" s="104"/>
      <c r="T62" s="104"/>
      <c r="W62">
        <f t="shared" si="2"/>
        <v>305.68999999999994</v>
      </c>
      <c r="X62" s="39">
        <f t="shared" si="8"/>
        <v>87.739772222222214</v>
      </c>
      <c r="Y62" s="39">
        <f t="shared" si="8"/>
        <v>87.739772222222214</v>
      </c>
    </row>
    <row r="63" spans="2:25">
      <c r="B63">
        <v>21</v>
      </c>
      <c r="C63" t="s">
        <v>383</v>
      </c>
      <c r="E63">
        <v>12</v>
      </c>
      <c r="F63">
        <f>SUM($E$39:E63)</f>
        <v>175.2</v>
      </c>
      <c r="G63" s="39">
        <f t="shared" si="6"/>
        <v>7.3333333333333334E-2</v>
      </c>
      <c r="H63" s="39">
        <f t="shared" si="0"/>
        <v>7.3333333333333334E-2</v>
      </c>
      <c r="I63" s="39">
        <f t="shared" si="7"/>
        <v>1.071911111111111</v>
      </c>
      <c r="J63" s="39">
        <f t="shared" si="7"/>
        <v>1.071911111111111</v>
      </c>
      <c r="K63">
        <v>3</v>
      </c>
      <c r="L63">
        <f>VLOOKUP(K63,Components!A$4:I$21,8,0)</f>
        <v>17.420000000000002</v>
      </c>
      <c r="M63">
        <f>VLOOKUP(K63,Components!A$4:I$21,9,0)</f>
        <v>17.420000000000002</v>
      </c>
      <c r="N63">
        <f t="shared" si="9"/>
        <v>71.010000000000005</v>
      </c>
      <c r="O63">
        <f t="shared" si="9"/>
        <v>71.010000000000005</v>
      </c>
      <c r="S63" s="104"/>
      <c r="T63" s="104"/>
      <c r="W63">
        <f t="shared" si="2"/>
        <v>317.68999999999994</v>
      </c>
      <c r="X63" s="39">
        <f t="shared" si="8"/>
        <v>105.23310555555555</v>
      </c>
      <c r="Y63" s="39">
        <f t="shared" si="8"/>
        <v>105.23310555555555</v>
      </c>
    </row>
    <row r="64" spans="2:25">
      <c r="B64">
        <v>22</v>
      </c>
      <c r="C64" t="s">
        <v>384</v>
      </c>
      <c r="D64" t="s">
        <v>360</v>
      </c>
      <c r="E64">
        <v>2</v>
      </c>
      <c r="F64">
        <f>SUM($E$39:E64)</f>
        <v>177.2</v>
      </c>
      <c r="G64" s="39">
        <f t="shared" si="6"/>
        <v>1.2222222222222223E-2</v>
      </c>
      <c r="H64" s="39">
        <f t="shared" si="0"/>
        <v>1.2222222222222223E-2</v>
      </c>
      <c r="I64" s="39">
        <f t="shared" si="7"/>
        <v>1.0841333333333332</v>
      </c>
      <c r="J64" s="39">
        <f t="shared" si="7"/>
        <v>1.0841333333333332</v>
      </c>
      <c r="K64">
        <v>3</v>
      </c>
      <c r="M64">
        <f>VLOOKUP(K64,Components!A$4:I$21,9,0)</f>
        <v>17.420000000000002</v>
      </c>
      <c r="N64">
        <f t="shared" si="9"/>
        <v>71.010000000000005</v>
      </c>
      <c r="O64">
        <f t="shared" si="9"/>
        <v>88.43</v>
      </c>
      <c r="P64">
        <v>3</v>
      </c>
      <c r="Q64" t="s">
        <v>385</v>
      </c>
      <c r="R64">
        <f>F145</f>
        <v>48.97</v>
      </c>
      <c r="S64" s="104">
        <f>I145</f>
        <v>0.2992611111111112</v>
      </c>
      <c r="T64" s="104">
        <f>J145</f>
        <v>0.2992611111111112</v>
      </c>
      <c r="U64">
        <f>L146</f>
        <v>21.3</v>
      </c>
      <c r="V64">
        <f>M146</f>
        <v>21.3</v>
      </c>
      <c r="W64">
        <f t="shared" si="2"/>
        <v>368.65999999999997</v>
      </c>
      <c r="X64" s="39">
        <f t="shared" si="8"/>
        <v>126.84458888888889</v>
      </c>
      <c r="Y64" s="39">
        <f t="shared" si="8"/>
        <v>144.26458888888888</v>
      </c>
    </row>
    <row r="65" spans="1:27">
      <c r="B65">
        <v>23</v>
      </c>
      <c r="C65" t="s">
        <v>386</v>
      </c>
      <c r="E65">
        <v>8</v>
      </c>
      <c r="F65">
        <f>SUM($E$39:E65)</f>
        <v>185.2</v>
      </c>
      <c r="G65" s="39">
        <f t="shared" si="6"/>
        <v>4.8888888888888891E-2</v>
      </c>
      <c r="H65" s="39">
        <f t="shared" si="0"/>
        <v>4.8888888888888891E-2</v>
      </c>
      <c r="I65" s="39">
        <f t="shared" si="7"/>
        <v>1.1330222222222222</v>
      </c>
      <c r="J65" s="39">
        <f t="shared" si="7"/>
        <v>1.1330222222222222</v>
      </c>
      <c r="K65">
        <v>9</v>
      </c>
      <c r="L65">
        <f>VLOOKUP(K65,Components!A$4:I$21,8,0)</f>
        <v>38.15</v>
      </c>
      <c r="M65">
        <f>VLOOKUP(K65,Components!A$4:I$21,9,0)</f>
        <v>38.15</v>
      </c>
      <c r="N65">
        <f t="shared" si="9"/>
        <v>109.16</v>
      </c>
      <c r="O65">
        <f t="shared" si="9"/>
        <v>126.58000000000001</v>
      </c>
      <c r="S65" s="104"/>
      <c r="T65" s="104"/>
      <c r="W65">
        <f t="shared" si="2"/>
        <v>376.65999999999997</v>
      </c>
      <c r="X65" s="39">
        <f t="shared" si="8"/>
        <v>165.04347777777778</v>
      </c>
      <c r="Y65" s="39">
        <f t="shared" si="8"/>
        <v>182.46347777777777</v>
      </c>
    </row>
    <row r="66" spans="1:27">
      <c r="B66">
        <v>24</v>
      </c>
      <c r="C66" t="s">
        <v>387</v>
      </c>
      <c r="E66">
        <v>13.3</v>
      </c>
      <c r="F66">
        <f>SUM($E$39:E66)</f>
        <v>198.5</v>
      </c>
      <c r="G66" s="39">
        <f t="shared" si="6"/>
        <v>8.1277777777777782E-2</v>
      </c>
      <c r="H66" s="39">
        <f t="shared" si="0"/>
        <v>8.1277777777777782E-2</v>
      </c>
      <c r="I66" s="39">
        <f t="shared" si="7"/>
        <v>1.2142999999999999</v>
      </c>
      <c r="J66" s="39">
        <f t="shared" si="7"/>
        <v>1.2142999999999999</v>
      </c>
      <c r="N66">
        <f t="shared" si="9"/>
        <v>109.16</v>
      </c>
      <c r="O66">
        <f t="shared" si="9"/>
        <v>126.58000000000001</v>
      </c>
      <c r="S66" s="104"/>
      <c r="T66" s="104"/>
      <c r="W66">
        <f t="shared" si="2"/>
        <v>389.96</v>
      </c>
      <c r="X66" s="39">
        <f t="shared" si="8"/>
        <v>165.12475555555557</v>
      </c>
      <c r="Y66" s="39">
        <f t="shared" si="8"/>
        <v>182.54475555555555</v>
      </c>
    </row>
    <row r="67" spans="1:27">
      <c r="B67">
        <v>25</v>
      </c>
      <c r="C67" t="s">
        <v>388</v>
      </c>
      <c r="E67">
        <v>10</v>
      </c>
      <c r="F67">
        <f>SUM($E$39:E67)</f>
        <v>208.5</v>
      </c>
      <c r="G67" s="39">
        <f t="shared" si="6"/>
        <v>6.1111111111111116E-2</v>
      </c>
      <c r="H67" s="39">
        <f t="shared" si="0"/>
        <v>6.1111111111111116E-2</v>
      </c>
      <c r="I67" s="39">
        <f t="shared" si="7"/>
        <v>1.2754111111111111</v>
      </c>
      <c r="J67" s="39">
        <f t="shared" si="7"/>
        <v>1.2754111111111111</v>
      </c>
      <c r="N67">
        <f t="shared" si="9"/>
        <v>109.16</v>
      </c>
      <c r="O67">
        <f t="shared" si="9"/>
        <v>126.58000000000001</v>
      </c>
      <c r="P67">
        <v>9.5</v>
      </c>
      <c r="Q67" t="s">
        <v>389</v>
      </c>
      <c r="R67">
        <f>F155</f>
        <v>44.78</v>
      </c>
      <c r="S67" s="104">
        <f>I155</f>
        <v>0.2736555555555556</v>
      </c>
      <c r="T67" s="104">
        <f>J155</f>
        <v>0.2736555555555556</v>
      </c>
      <c r="W67">
        <f t="shared" si="2"/>
        <v>444.74</v>
      </c>
      <c r="X67" s="39">
        <f t="shared" si="8"/>
        <v>165.45952222222223</v>
      </c>
      <c r="Y67" s="39">
        <f t="shared" si="8"/>
        <v>182.87952222222222</v>
      </c>
    </row>
    <row r="68" spans="1:27">
      <c r="B68">
        <v>24</v>
      </c>
      <c r="C68" t="s">
        <v>390</v>
      </c>
      <c r="F68">
        <f>SUM($E$39:E68)</f>
        <v>208.5</v>
      </c>
      <c r="G68" s="39">
        <f t="shared" si="6"/>
        <v>0</v>
      </c>
      <c r="H68" s="39">
        <f t="shared" si="0"/>
        <v>0</v>
      </c>
      <c r="I68" s="39">
        <f t="shared" si="7"/>
        <v>1.2754111111111111</v>
      </c>
      <c r="J68" s="39">
        <f t="shared" si="7"/>
        <v>1.2754111111111111</v>
      </c>
      <c r="N68">
        <f t="shared" si="9"/>
        <v>109.16</v>
      </c>
      <c r="O68">
        <f t="shared" si="9"/>
        <v>126.58000000000001</v>
      </c>
      <c r="S68" s="104"/>
      <c r="T68" s="104"/>
      <c r="W68">
        <f t="shared" si="2"/>
        <v>444.74</v>
      </c>
      <c r="X68" s="39">
        <f t="shared" si="8"/>
        <v>165.45952222222223</v>
      </c>
      <c r="Y68" s="39">
        <f t="shared" si="8"/>
        <v>182.87952222222222</v>
      </c>
    </row>
    <row r="69" spans="1:27">
      <c r="B69">
        <v>25</v>
      </c>
      <c r="C69" t="s">
        <v>391</v>
      </c>
      <c r="E69">
        <v>33</v>
      </c>
      <c r="F69">
        <f>SUM($E$39:E69)</f>
        <v>241.5</v>
      </c>
      <c r="G69" s="39">
        <f t="shared" si="6"/>
        <v>0.20166666666666669</v>
      </c>
      <c r="H69" s="39">
        <f t="shared" si="0"/>
        <v>0.20166666666666669</v>
      </c>
      <c r="I69" s="39">
        <f t="shared" si="7"/>
        <v>1.4770777777777777</v>
      </c>
      <c r="J69" s="39">
        <f t="shared" si="7"/>
        <v>1.4770777777777777</v>
      </c>
      <c r="N69">
        <f t="shared" si="9"/>
        <v>109.16</v>
      </c>
      <c r="O69">
        <f t="shared" si="9"/>
        <v>126.58000000000001</v>
      </c>
      <c r="S69" s="104"/>
      <c r="T69" s="104"/>
      <c r="W69">
        <f t="shared" si="2"/>
        <v>477.74</v>
      </c>
      <c r="X69" s="39">
        <f t="shared" si="8"/>
        <v>165.66118888888889</v>
      </c>
      <c r="Y69" s="39">
        <f t="shared" si="8"/>
        <v>183.08118888888887</v>
      </c>
    </row>
    <row r="70" spans="1:27">
      <c r="B70">
        <v>26</v>
      </c>
      <c r="C70" t="s">
        <v>392</v>
      </c>
      <c r="E70">
        <v>10</v>
      </c>
      <c r="F70">
        <f>SUM($E$39:E70)</f>
        <v>251.5</v>
      </c>
      <c r="G70" s="39">
        <f t="shared" si="6"/>
        <v>6.1111111111111116E-2</v>
      </c>
      <c r="H70" s="39">
        <f t="shared" si="0"/>
        <v>6.1111111111111116E-2</v>
      </c>
      <c r="I70" s="39">
        <f t="shared" si="7"/>
        <v>1.5381888888888888</v>
      </c>
      <c r="J70" s="39">
        <f t="shared" si="7"/>
        <v>1.5381888888888888</v>
      </c>
      <c r="N70">
        <f t="shared" si="9"/>
        <v>109.16</v>
      </c>
      <c r="O70">
        <f t="shared" si="9"/>
        <v>126.58000000000001</v>
      </c>
      <c r="S70" s="104"/>
      <c r="T70" s="104"/>
      <c r="W70">
        <f t="shared" si="2"/>
        <v>487.74</v>
      </c>
      <c r="X70" s="39">
        <f t="shared" si="8"/>
        <v>165.72229999999999</v>
      </c>
      <c r="Y70" s="39">
        <f t="shared" si="8"/>
        <v>183.14229999999998</v>
      </c>
    </row>
    <row r="71" spans="1:27">
      <c r="B71">
        <v>27</v>
      </c>
      <c r="C71" t="s">
        <v>393</v>
      </c>
      <c r="E71">
        <v>30</v>
      </c>
      <c r="F71">
        <f>SUM($E$39:E71)</f>
        <v>281.5</v>
      </c>
      <c r="G71" s="39">
        <f t="shared" si="6"/>
        <v>0.18333333333333335</v>
      </c>
      <c r="H71" s="39">
        <f t="shared" si="0"/>
        <v>0.18333333333333335</v>
      </c>
      <c r="I71" s="39">
        <f t="shared" si="7"/>
        <v>1.7215222222222222</v>
      </c>
      <c r="J71" s="39">
        <f t="shared" si="7"/>
        <v>1.7215222222222222</v>
      </c>
      <c r="N71">
        <f t="shared" si="9"/>
        <v>109.16</v>
      </c>
      <c r="O71">
        <f t="shared" si="9"/>
        <v>126.58000000000001</v>
      </c>
      <c r="P71">
        <v>2</v>
      </c>
      <c r="Q71" t="s">
        <v>394</v>
      </c>
      <c r="R71">
        <f>F162</f>
        <v>26.78</v>
      </c>
      <c r="S71" s="104">
        <f>I162</f>
        <v>0.16365555555555558</v>
      </c>
      <c r="T71" s="104">
        <f>J162</f>
        <v>0.16365555555555558</v>
      </c>
      <c r="W71">
        <f t="shared" si="2"/>
        <v>544.52</v>
      </c>
      <c r="X71" s="39">
        <f t="shared" si="8"/>
        <v>166.06928888888888</v>
      </c>
      <c r="Y71" s="39">
        <f t="shared" si="8"/>
        <v>183.48928888888886</v>
      </c>
    </row>
    <row r="72" spans="1:27">
      <c r="B72">
        <v>28</v>
      </c>
      <c r="C72" t="s">
        <v>395</v>
      </c>
      <c r="E72">
        <v>19</v>
      </c>
      <c r="F72">
        <f>SUM($E$39:E72)</f>
        <v>300.5</v>
      </c>
      <c r="G72" s="39">
        <f t="shared" si="6"/>
        <v>0.11611111111111112</v>
      </c>
      <c r="H72" s="39">
        <f t="shared" si="0"/>
        <v>0.11611111111111112</v>
      </c>
      <c r="I72" s="39">
        <f t="shared" si="7"/>
        <v>1.8376333333333332</v>
      </c>
      <c r="J72" s="39">
        <f t="shared" si="7"/>
        <v>1.8376333333333332</v>
      </c>
      <c r="N72">
        <f t="shared" si="9"/>
        <v>109.16</v>
      </c>
      <c r="O72">
        <f t="shared" si="9"/>
        <v>126.58000000000001</v>
      </c>
      <c r="S72" s="39"/>
      <c r="T72" s="39"/>
      <c r="W72">
        <f t="shared" si="2"/>
        <v>563.52</v>
      </c>
      <c r="X72" s="39">
        <f t="shared" si="8"/>
        <v>166.18539999999999</v>
      </c>
      <c r="Y72" s="39">
        <f t="shared" si="8"/>
        <v>183.60539999999997</v>
      </c>
    </row>
    <row r="73" spans="1:27">
      <c r="B73">
        <v>29</v>
      </c>
      <c r="C73" t="s">
        <v>396</v>
      </c>
      <c r="E73" t="s">
        <v>397</v>
      </c>
    </row>
    <row r="75" spans="1:27">
      <c r="A75" t="s">
        <v>398</v>
      </c>
    </row>
    <row r="77" spans="1:27">
      <c r="B77" t="s">
        <v>399</v>
      </c>
      <c r="C77" t="s">
        <v>400</v>
      </c>
    </row>
    <row r="78" spans="1:27">
      <c r="B78" t="s">
        <v>401</v>
      </c>
      <c r="C78" t="s">
        <v>400</v>
      </c>
    </row>
    <row r="79" spans="1:27" ht="48">
      <c r="B79" t="s">
        <v>333</v>
      </c>
      <c r="C79" t="s">
        <v>334</v>
      </c>
      <c r="D79" t="s">
        <v>402</v>
      </c>
      <c r="E79" t="s">
        <v>335</v>
      </c>
      <c r="F79" s="13" t="s">
        <v>336</v>
      </c>
      <c r="G79" s="13" t="s">
        <v>403</v>
      </c>
      <c r="H79" s="13" t="s">
        <v>338</v>
      </c>
      <c r="I79" s="13" t="s">
        <v>339</v>
      </c>
      <c r="J79" s="13" t="s">
        <v>340</v>
      </c>
      <c r="K79" s="13" t="s">
        <v>341</v>
      </c>
      <c r="L79" s="13" t="s">
        <v>342</v>
      </c>
      <c r="M79" s="13" t="s">
        <v>343</v>
      </c>
      <c r="N79" s="13" t="s">
        <v>344</v>
      </c>
      <c r="O79" s="13" t="s">
        <v>345</v>
      </c>
      <c r="P79" s="13"/>
      <c r="Q79" s="13"/>
      <c r="R79" s="13"/>
      <c r="S79" s="13"/>
      <c r="T79" s="13"/>
      <c r="U79" s="13"/>
      <c r="V79" s="13"/>
      <c r="W79" s="13"/>
      <c r="X79" s="13"/>
      <c r="Y79" s="13"/>
      <c r="Z79" s="13"/>
      <c r="AA79" s="13"/>
    </row>
    <row r="80" spans="1:27">
      <c r="B80">
        <v>30</v>
      </c>
      <c r="C80" t="s">
        <v>404</v>
      </c>
      <c r="E80">
        <v>1.7</v>
      </c>
      <c r="F80" s="13">
        <f>E80</f>
        <v>1.7</v>
      </c>
      <c r="G80" s="103">
        <f>E80*$E$4</f>
        <v>1.0388888888888888E-2</v>
      </c>
      <c r="H80" s="103">
        <f>E80*$E$5</f>
        <v>1.0388888888888888E-2</v>
      </c>
      <c r="I80" s="103">
        <f>G80</f>
        <v>1.0388888888888888E-2</v>
      </c>
      <c r="J80" s="103">
        <f>H80</f>
        <v>1.0388888888888888E-2</v>
      </c>
      <c r="K80" s="13"/>
      <c r="L80" s="13">
        <v>0</v>
      </c>
      <c r="M80" s="13">
        <v>0</v>
      </c>
      <c r="N80" s="103">
        <f>G80+L80</f>
        <v>1.0388888888888888E-2</v>
      </c>
      <c r="O80" s="103">
        <f>H80+M80</f>
        <v>1.0388888888888888E-2</v>
      </c>
      <c r="P80" s="13"/>
      <c r="Q80" s="13"/>
      <c r="R80" s="13"/>
      <c r="S80" s="13"/>
      <c r="T80" s="13"/>
      <c r="U80" s="13"/>
      <c r="V80" s="13"/>
      <c r="W80" s="13"/>
      <c r="X80" s="13"/>
      <c r="Y80" s="13"/>
      <c r="Z80" s="13"/>
      <c r="AA80" s="13"/>
    </row>
    <row r="81" spans="2:27">
      <c r="B81">
        <v>31</v>
      </c>
      <c r="C81" t="s">
        <v>405</v>
      </c>
      <c r="D81" t="s">
        <v>360</v>
      </c>
      <c r="E81">
        <v>1</v>
      </c>
      <c r="F81" s="13">
        <f>F80+E81</f>
        <v>2.7</v>
      </c>
      <c r="G81" s="103">
        <f t="shared" ref="G81:G109" si="10">E81*$E$4</f>
        <v>6.1111111111111114E-3</v>
      </c>
      <c r="H81" s="103">
        <f t="shared" ref="H81:H103" si="11">E81*$E$5</f>
        <v>6.1111111111111114E-3</v>
      </c>
      <c r="I81" s="103">
        <f>I80+G81</f>
        <v>1.6500000000000001E-2</v>
      </c>
      <c r="J81" s="103">
        <f>J80+H81</f>
        <v>1.6500000000000001E-2</v>
      </c>
      <c r="K81" s="13"/>
      <c r="L81" s="13">
        <v>0</v>
      </c>
      <c r="M81" s="13">
        <v>0</v>
      </c>
      <c r="N81" s="103">
        <f>N80+(G81+L81)</f>
        <v>1.6500000000000001E-2</v>
      </c>
      <c r="O81" s="103">
        <f>O80+(H81+M81)</f>
        <v>1.6500000000000001E-2</v>
      </c>
      <c r="P81" s="13"/>
      <c r="Q81" s="13"/>
      <c r="R81" s="13"/>
      <c r="S81" s="13"/>
      <c r="T81" s="13"/>
      <c r="U81" s="13"/>
      <c r="V81" s="13"/>
      <c r="W81" s="13"/>
      <c r="X81" s="13"/>
      <c r="Y81" s="13"/>
      <c r="Z81" s="13"/>
      <c r="AA81" s="13"/>
    </row>
    <row r="82" spans="2:27">
      <c r="B82">
        <v>32</v>
      </c>
      <c r="C82" t="s">
        <v>406</v>
      </c>
      <c r="E82">
        <v>8</v>
      </c>
      <c r="F82" s="13">
        <f t="shared" ref="F82:F86" si="12">F81+E82</f>
        <v>10.7</v>
      </c>
      <c r="G82" s="103">
        <f t="shared" si="10"/>
        <v>4.8888888888888891E-2</v>
      </c>
      <c r="H82" s="103">
        <f t="shared" si="11"/>
        <v>4.8888888888888891E-2</v>
      </c>
      <c r="I82" s="103">
        <f t="shared" ref="I82:J87" si="13">I81+G82</f>
        <v>6.5388888888888885E-2</v>
      </c>
      <c r="J82" s="103">
        <f t="shared" si="13"/>
        <v>6.5388888888888885E-2</v>
      </c>
      <c r="K82" s="13"/>
      <c r="L82" s="13">
        <v>0</v>
      </c>
      <c r="M82" s="13">
        <v>0</v>
      </c>
      <c r="N82" s="103">
        <f t="shared" ref="N82:O87" si="14">N81+(G82+L82)</f>
        <v>6.5388888888888885E-2</v>
      </c>
      <c r="O82" s="103">
        <f t="shared" si="14"/>
        <v>6.5388888888888885E-2</v>
      </c>
      <c r="P82" s="13"/>
      <c r="Q82" s="13"/>
      <c r="R82" s="13"/>
      <c r="S82" s="13"/>
      <c r="T82" s="13"/>
      <c r="U82" s="13"/>
      <c r="V82" s="13"/>
      <c r="W82" s="13"/>
      <c r="X82" s="13"/>
      <c r="Y82" s="13"/>
      <c r="Z82" s="13"/>
      <c r="AA82" s="13"/>
    </row>
    <row r="83" spans="2:27">
      <c r="B83">
        <v>33</v>
      </c>
      <c r="C83" t="s">
        <v>407</v>
      </c>
      <c r="E83">
        <v>0.79</v>
      </c>
      <c r="F83" s="13">
        <f t="shared" si="12"/>
        <v>11.489999999999998</v>
      </c>
      <c r="G83" s="103">
        <f t="shared" si="10"/>
        <v>4.8277777777777781E-3</v>
      </c>
      <c r="H83" s="103">
        <f t="shared" si="11"/>
        <v>4.8277777777777781E-3</v>
      </c>
      <c r="I83" s="103">
        <f t="shared" si="13"/>
        <v>7.0216666666666663E-2</v>
      </c>
      <c r="J83" s="103">
        <f t="shared" si="13"/>
        <v>7.0216666666666663E-2</v>
      </c>
      <c r="K83" s="13"/>
      <c r="L83" s="13">
        <v>0</v>
      </c>
      <c r="M83" s="13">
        <v>0</v>
      </c>
      <c r="N83" s="103">
        <f t="shared" si="14"/>
        <v>7.0216666666666663E-2</v>
      </c>
      <c r="O83" s="103">
        <f t="shared" si="14"/>
        <v>7.0216666666666663E-2</v>
      </c>
      <c r="P83" s="13"/>
      <c r="Q83" s="13"/>
      <c r="R83" s="13"/>
      <c r="S83" s="13"/>
      <c r="T83" s="13"/>
      <c r="U83" s="13"/>
      <c r="V83" s="13"/>
      <c r="W83" s="13"/>
      <c r="X83" s="13"/>
      <c r="Y83" s="13"/>
      <c r="Z83" s="13"/>
      <c r="AA83" s="13"/>
    </row>
    <row r="84" spans="2:27">
      <c r="B84">
        <v>34</v>
      </c>
      <c r="C84" t="s">
        <v>408</v>
      </c>
      <c r="D84" t="s">
        <v>360</v>
      </c>
      <c r="E84">
        <v>1</v>
      </c>
      <c r="F84" s="13">
        <f t="shared" si="12"/>
        <v>12.489999999999998</v>
      </c>
      <c r="G84" s="103">
        <f t="shared" si="10"/>
        <v>6.1111111111111114E-3</v>
      </c>
      <c r="H84" s="103">
        <f t="shared" si="11"/>
        <v>6.1111111111111114E-3</v>
      </c>
      <c r="I84" s="103">
        <f t="shared" si="13"/>
        <v>7.6327777777777772E-2</v>
      </c>
      <c r="J84" s="103">
        <f t="shared" si="13"/>
        <v>7.6327777777777772E-2</v>
      </c>
      <c r="K84" s="13"/>
      <c r="L84" s="13">
        <v>0</v>
      </c>
      <c r="M84" s="13">
        <v>0</v>
      </c>
      <c r="N84" s="103">
        <f t="shared" si="14"/>
        <v>7.6327777777777772E-2</v>
      </c>
      <c r="O84" s="103">
        <f t="shared" si="14"/>
        <v>7.6327777777777772E-2</v>
      </c>
      <c r="P84" s="13"/>
      <c r="Q84" s="13"/>
      <c r="R84" s="13"/>
      <c r="S84" s="13"/>
      <c r="T84" s="13"/>
      <c r="U84" s="13"/>
      <c r="V84" s="13"/>
      <c r="W84" s="13"/>
      <c r="X84" s="13"/>
      <c r="Y84" s="13"/>
      <c r="Z84" s="13"/>
      <c r="AA84" s="13"/>
    </row>
    <row r="85" spans="2:27">
      <c r="B85">
        <v>35</v>
      </c>
      <c r="C85" t="s">
        <v>409</v>
      </c>
      <c r="E85">
        <v>2.08</v>
      </c>
      <c r="F85" s="13">
        <f t="shared" si="12"/>
        <v>14.569999999999999</v>
      </c>
      <c r="G85" s="103">
        <f t="shared" si="10"/>
        <v>1.2711111111111112E-2</v>
      </c>
      <c r="H85" s="103">
        <f t="shared" si="11"/>
        <v>1.2711111111111112E-2</v>
      </c>
      <c r="I85" s="103">
        <f t="shared" si="13"/>
        <v>8.903888888888889E-2</v>
      </c>
      <c r="J85" s="103">
        <f t="shared" si="13"/>
        <v>8.903888888888889E-2</v>
      </c>
      <c r="K85" s="13"/>
      <c r="L85" s="13">
        <v>0</v>
      </c>
      <c r="M85" s="13">
        <v>0</v>
      </c>
      <c r="N85" s="103">
        <f t="shared" si="14"/>
        <v>8.903888888888889E-2</v>
      </c>
      <c r="O85" s="103">
        <f t="shared" si="14"/>
        <v>8.903888888888889E-2</v>
      </c>
      <c r="P85" s="13"/>
      <c r="Q85" s="13"/>
      <c r="R85" s="13"/>
      <c r="S85" s="13"/>
      <c r="T85" s="13"/>
      <c r="U85" s="13"/>
      <c r="V85" s="13"/>
      <c r="W85" s="13"/>
      <c r="X85" s="13"/>
      <c r="Y85" s="13"/>
      <c r="Z85" s="13"/>
      <c r="AA85" s="13"/>
    </row>
    <row r="86" spans="2:27">
      <c r="B86">
        <v>1</v>
      </c>
      <c r="C86" t="s">
        <v>358</v>
      </c>
      <c r="E86">
        <v>14</v>
      </c>
      <c r="F86" s="13">
        <f t="shared" si="12"/>
        <v>28.57</v>
      </c>
      <c r="G86" s="103">
        <f t="shared" si="10"/>
        <v>8.5555555555555565E-2</v>
      </c>
      <c r="H86" s="103">
        <f t="shared" si="11"/>
        <v>8.5555555555555565E-2</v>
      </c>
      <c r="I86" s="103">
        <f t="shared" si="13"/>
        <v>0.17459444444444444</v>
      </c>
      <c r="J86" s="103">
        <f t="shared" si="13"/>
        <v>0.17459444444444444</v>
      </c>
      <c r="K86">
        <v>1</v>
      </c>
      <c r="L86">
        <f>VLOOKUP(K86,Components!A$4:I$21,8,0)</f>
        <v>6.61</v>
      </c>
      <c r="M86">
        <f>VLOOKUP(K86,Components!A$4:I$21,9,0)</f>
        <v>6.61</v>
      </c>
      <c r="N86" s="103">
        <f t="shared" si="14"/>
        <v>6.784594444444445</v>
      </c>
      <c r="O86" s="103">
        <f t="shared" si="14"/>
        <v>6.784594444444445</v>
      </c>
    </row>
    <row r="87" spans="2:27">
      <c r="B87">
        <v>2</v>
      </c>
      <c r="C87" t="s">
        <v>410</v>
      </c>
      <c r="D87" t="s">
        <v>360</v>
      </c>
      <c r="E87">
        <v>2</v>
      </c>
      <c r="F87" s="13">
        <f>F86+E87</f>
        <v>30.57</v>
      </c>
      <c r="G87" s="103">
        <f t="shared" si="10"/>
        <v>1.2222222222222223E-2</v>
      </c>
      <c r="H87" s="103">
        <f t="shared" si="11"/>
        <v>1.2222222222222223E-2</v>
      </c>
      <c r="I87" s="103">
        <f>I86+G87</f>
        <v>0.18681666666666666</v>
      </c>
      <c r="J87" s="103">
        <f t="shared" si="13"/>
        <v>0.18681666666666666</v>
      </c>
      <c r="K87">
        <v>1</v>
      </c>
      <c r="L87">
        <v>0</v>
      </c>
      <c r="M87">
        <f>VLOOKUP(K87,Components!K$3:P$49,6,0)</f>
        <v>0</v>
      </c>
      <c r="N87" s="103">
        <f t="shared" si="14"/>
        <v>6.7968166666666674</v>
      </c>
      <c r="O87" s="103">
        <f t="shared" si="14"/>
        <v>6.7968166666666674</v>
      </c>
    </row>
    <row r="88" spans="2:27">
      <c r="G88" s="103"/>
      <c r="H88" s="103"/>
      <c r="I88" s="39"/>
      <c r="J88" s="39"/>
      <c r="L88">
        <f>SUM(L80:L87)</f>
        <v>6.61</v>
      </c>
      <c r="M88">
        <f>SUM(M80:M87)</f>
        <v>6.61</v>
      </c>
      <c r="N88" s="39"/>
      <c r="O88" s="39"/>
    </row>
    <row r="89" spans="2:27">
      <c r="G89" s="103"/>
      <c r="H89" s="103"/>
      <c r="I89" s="39"/>
      <c r="J89" s="39"/>
      <c r="N89" s="39"/>
      <c r="O89" s="39"/>
    </row>
    <row r="90" spans="2:27">
      <c r="G90" s="103"/>
      <c r="H90" s="103"/>
      <c r="I90" s="39"/>
      <c r="J90" s="39"/>
      <c r="N90" s="39"/>
      <c r="O90" s="39"/>
    </row>
    <row r="91" spans="2:27">
      <c r="G91" s="103"/>
      <c r="H91" s="103"/>
      <c r="I91" s="39"/>
      <c r="J91" s="39"/>
      <c r="N91" s="39"/>
      <c r="O91" s="39"/>
    </row>
    <row r="92" spans="2:27">
      <c r="G92" s="103"/>
      <c r="H92" s="103"/>
      <c r="I92" s="39"/>
      <c r="J92" s="39"/>
      <c r="K92" s="90"/>
      <c r="N92" s="39"/>
      <c r="O92" s="39"/>
    </row>
    <row r="93" spans="2:27">
      <c r="B93" t="s">
        <v>411</v>
      </c>
      <c r="C93" t="s">
        <v>412</v>
      </c>
      <c r="G93" s="103"/>
      <c r="H93" s="103"/>
      <c r="I93" s="39"/>
      <c r="J93" s="39"/>
      <c r="N93" s="39"/>
      <c r="O93" s="39"/>
    </row>
    <row r="94" spans="2:27">
      <c r="B94">
        <v>36</v>
      </c>
      <c r="C94" t="s">
        <v>413</v>
      </c>
      <c r="D94" t="s">
        <v>360</v>
      </c>
      <c r="E94">
        <v>3</v>
      </c>
      <c r="F94">
        <f>E94</f>
        <v>3</v>
      </c>
      <c r="G94" s="103">
        <f t="shared" si="10"/>
        <v>1.8333333333333333E-2</v>
      </c>
      <c r="H94" s="103">
        <f t="shared" si="11"/>
        <v>1.8333333333333333E-2</v>
      </c>
      <c r="I94" s="39">
        <f>G94</f>
        <v>1.8333333333333333E-2</v>
      </c>
      <c r="J94" s="39">
        <f>H94</f>
        <v>1.8333333333333333E-2</v>
      </c>
      <c r="N94" s="103">
        <f>G94+L94</f>
        <v>1.8333333333333333E-2</v>
      </c>
      <c r="O94" s="103">
        <f>H94+M94</f>
        <v>1.8333333333333333E-2</v>
      </c>
    </row>
    <row r="95" spans="2:27">
      <c r="B95">
        <v>30</v>
      </c>
      <c r="C95" t="s">
        <v>404</v>
      </c>
      <c r="E95">
        <v>1.7</v>
      </c>
      <c r="F95" s="13">
        <f>F94+E95</f>
        <v>4.7</v>
      </c>
      <c r="G95" s="103">
        <f t="shared" si="10"/>
        <v>1.0388888888888888E-2</v>
      </c>
      <c r="H95" s="103">
        <f t="shared" si="11"/>
        <v>1.0388888888888888E-2</v>
      </c>
      <c r="I95" s="39">
        <f>I94+G95</f>
        <v>2.8722222222222222E-2</v>
      </c>
      <c r="J95" s="39">
        <f>J94+H95</f>
        <v>2.8722222222222222E-2</v>
      </c>
      <c r="N95" s="103">
        <f t="shared" ref="N95:O106" si="15">N94+(G95+L95)</f>
        <v>2.8722222222222222E-2</v>
      </c>
      <c r="O95" s="103">
        <f t="shared" si="15"/>
        <v>2.8722222222222222E-2</v>
      </c>
    </row>
    <row r="96" spans="2:27">
      <c r="B96">
        <v>31</v>
      </c>
      <c r="C96" t="s">
        <v>405</v>
      </c>
      <c r="D96" t="s">
        <v>360</v>
      </c>
      <c r="E96">
        <v>1</v>
      </c>
      <c r="F96" s="13">
        <f t="shared" ref="F96:F106" si="16">F95+E96</f>
        <v>5.7</v>
      </c>
      <c r="G96" s="103">
        <f t="shared" si="10"/>
        <v>6.1111111111111114E-3</v>
      </c>
      <c r="H96" s="103">
        <f t="shared" si="11"/>
        <v>6.1111111111111114E-3</v>
      </c>
      <c r="I96" s="39">
        <f t="shared" ref="I96:J102" si="17">I95+G96</f>
        <v>3.4833333333333334E-2</v>
      </c>
      <c r="J96" s="39">
        <f t="shared" si="17"/>
        <v>3.4833333333333334E-2</v>
      </c>
      <c r="N96" s="103">
        <f t="shared" si="15"/>
        <v>3.4833333333333334E-2</v>
      </c>
      <c r="O96" s="103">
        <f t="shared" si="15"/>
        <v>3.4833333333333334E-2</v>
      </c>
    </row>
    <row r="97" spans="2:15">
      <c r="B97">
        <v>32</v>
      </c>
      <c r="C97" t="s">
        <v>406</v>
      </c>
      <c r="E97">
        <v>8</v>
      </c>
      <c r="F97" s="13">
        <f t="shared" si="16"/>
        <v>13.7</v>
      </c>
      <c r="G97" s="103">
        <f t="shared" si="10"/>
        <v>4.8888888888888891E-2</v>
      </c>
      <c r="H97" s="103">
        <f t="shared" si="11"/>
        <v>4.8888888888888891E-2</v>
      </c>
      <c r="I97" s="39">
        <f t="shared" si="17"/>
        <v>8.3722222222222226E-2</v>
      </c>
      <c r="J97" s="39">
        <f t="shared" si="17"/>
        <v>8.3722222222222226E-2</v>
      </c>
      <c r="N97" s="103">
        <f t="shared" si="15"/>
        <v>8.3722222222222226E-2</v>
      </c>
      <c r="O97" s="103">
        <f t="shared" si="15"/>
        <v>8.3722222222222226E-2</v>
      </c>
    </row>
    <row r="98" spans="2:15">
      <c r="B98">
        <v>33</v>
      </c>
      <c r="C98" t="s">
        <v>407</v>
      </c>
      <c r="E98">
        <v>0.79</v>
      </c>
      <c r="F98" s="13">
        <f t="shared" si="16"/>
        <v>14.489999999999998</v>
      </c>
      <c r="G98" s="103">
        <f t="shared" si="10"/>
        <v>4.8277777777777781E-3</v>
      </c>
      <c r="H98" s="103">
        <f t="shared" si="11"/>
        <v>4.8277777777777781E-3</v>
      </c>
      <c r="I98" s="39">
        <f t="shared" si="17"/>
        <v>8.8550000000000004E-2</v>
      </c>
      <c r="J98" s="39">
        <f t="shared" si="17"/>
        <v>8.8550000000000004E-2</v>
      </c>
      <c r="N98" s="103">
        <f t="shared" si="15"/>
        <v>8.8550000000000004E-2</v>
      </c>
      <c r="O98" s="103">
        <f t="shared" si="15"/>
        <v>8.8550000000000004E-2</v>
      </c>
    </row>
    <row r="99" spans="2:15">
      <c r="B99">
        <v>34</v>
      </c>
      <c r="C99" t="s">
        <v>408</v>
      </c>
      <c r="D99" t="s">
        <v>360</v>
      </c>
      <c r="E99">
        <v>1</v>
      </c>
      <c r="F99" s="13">
        <f t="shared" si="16"/>
        <v>15.489999999999998</v>
      </c>
      <c r="G99" s="103">
        <f t="shared" si="10"/>
        <v>6.1111111111111114E-3</v>
      </c>
      <c r="H99" s="103">
        <f t="shared" si="11"/>
        <v>6.1111111111111114E-3</v>
      </c>
      <c r="I99" s="39">
        <f t="shared" si="17"/>
        <v>9.4661111111111113E-2</v>
      </c>
      <c r="J99" s="39">
        <f t="shared" si="17"/>
        <v>9.4661111111111113E-2</v>
      </c>
      <c r="N99" s="103">
        <f t="shared" si="15"/>
        <v>9.4661111111111113E-2</v>
      </c>
      <c r="O99" s="103">
        <f t="shared" si="15"/>
        <v>9.4661111111111113E-2</v>
      </c>
    </row>
    <row r="100" spans="2:15">
      <c r="B100">
        <v>35</v>
      </c>
      <c r="C100" t="s">
        <v>409</v>
      </c>
      <c r="E100">
        <v>2.08</v>
      </c>
      <c r="F100" s="13">
        <f t="shared" si="16"/>
        <v>17.57</v>
      </c>
      <c r="G100" s="103">
        <f t="shared" si="10"/>
        <v>1.2711111111111112E-2</v>
      </c>
      <c r="H100" s="103">
        <f t="shared" si="11"/>
        <v>1.2711111111111112E-2</v>
      </c>
      <c r="I100" s="39">
        <f t="shared" si="17"/>
        <v>0.10737222222222223</v>
      </c>
      <c r="J100" s="39">
        <f t="shared" si="17"/>
        <v>0.10737222222222223</v>
      </c>
      <c r="N100" s="103">
        <f t="shared" si="15"/>
        <v>0.10737222222222223</v>
      </c>
      <c r="O100" s="103">
        <f t="shared" si="15"/>
        <v>0.10737222222222223</v>
      </c>
    </row>
    <row r="101" spans="2:15">
      <c r="B101">
        <v>1</v>
      </c>
      <c r="C101" t="s">
        <v>358</v>
      </c>
      <c r="E101">
        <v>14</v>
      </c>
      <c r="F101" s="13">
        <f t="shared" si="16"/>
        <v>31.57</v>
      </c>
      <c r="G101" s="103">
        <f t="shared" si="10"/>
        <v>8.5555555555555565E-2</v>
      </c>
      <c r="H101" s="103">
        <f t="shared" si="11"/>
        <v>8.5555555555555565E-2</v>
      </c>
      <c r="I101" s="39">
        <f t="shared" si="17"/>
        <v>0.19292777777777781</v>
      </c>
      <c r="J101" s="39">
        <f t="shared" si="17"/>
        <v>0.19292777777777781</v>
      </c>
      <c r="K101">
        <v>1</v>
      </c>
      <c r="L101">
        <f>VLOOKUP(K101,Components!A$4:I$21,8,0)</f>
        <v>6.61</v>
      </c>
      <c r="M101">
        <f>VLOOKUP(K101,Components!A$4:I$21,9,0)</f>
        <v>6.61</v>
      </c>
      <c r="N101" s="103">
        <f t="shared" si="15"/>
        <v>6.8029277777777786</v>
      </c>
      <c r="O101" s="103">
        <f t="shared" si="15"/>
        <v>6.8029277777777786</v>
      </c>
    </row>
    <row r="102" spans="2:15">
      <c r="B102">
        <v>2</v>
      </c>
      <c r="C102" t="s">
        <v>410</v>
      </c>
      <c r="D102" t="s">
        <v>360</v>
      </c>
      <c r="E102">
        <v>2</v>
      </c>
      <c r="F102" s="13">
        <f t="shared" si="16"/>
        <v>33.57</v>
      </c>
      <c r="G102" s="103">
        <f t="shared" si="10"/>
        <v>1.2222222222222223E-2</v>
      </c>
      <c r="H102" s="103">
        <f t="shared" si="11"/>
        <v>1.2222222222222223E-2</v>
      </c>
      <c r="I102" s="39">
        <f t="shared" si="17"/>
        <v>0.20515000000000003</v>
      </c>
      <c r="J102" s="39">
        <f t="shared" si="17"/>
        <v>0.20515000000000003</v>
      </c>
      <c r="K102">
        <v>1</v>
      </c>
      <c r="N102" s="103">
        <f t="shared" si="15"/>
        <v>6.8151500000000009</v>
      </c>
      <c r="O102" s="103">
        <f t="shared" si="15"/>
        <v>6.8151500000000009</v>
      </c>
    </row>
    <row r="103" spans="2:15">
      <c r="B103">
        <v>3</v>
      </c>
      <c r="C103" t="s">
        <v>362</v>
      </c>
      <c r="E103">
        <v>3</v>
      </c>
      <c r="F103" s="13">
        <f t="shared" si="16"/>
        <v>36.57</v>
      </c>
      <c r="G103" s="103">
        <f t="shared" si="10"/>
        <v>1.8333333333333333E-2</v>
      </c>
      <c r="H103" s="39">
        <f t="shared" si="11"/>
        <v>1.8333333333333333E-2</v>
      </c>
      <c r="I103" s="39">
        <f>SUM(I87,G103)</f>
        <v>0.20515</v>
      </c>
      <c r="J103" s="39">
        <f>SUM(J87,H103)</f>
        <v>0.20515</v>
      </c>
      <c r="K103">
        <v>2</v>
      </c>
      <c r="L103">
        <f>VLOOKUP(K103,Components!A$4:I$21,8,0)</f>
        <v>0.08</v>
      </c>
      <c r="M103">
        <f>VLOOKUP(K103,Components!A$4:I$21,9,0)</f>
        <v>0.08</v>
      </c>
      <c r="N103" s="103">
        <f t="shared" si="15"/>
        <v>6.9134833333333345</v>
      </c>
      <c r="O103" s="103">
        <f t="shared" si="15"/>
        <v>6.9134833333333345</v>
      </c>
    </row>
    <row r="104" spans="2:15">
      <c r="F104" s="13">
        <f>F103+E104</f>
        <v>36.57</v>
      </c>
      <c r="G104" s="103">
        <f t="shared" si="10"/>
        <v>0</v>
      </c>
      <c r="H104" s="39"/>
      <c r="I104" s="39"/>
      <c r="J104" s="39"/>
      <c r="K104">
        <v>12</v>
      </c>
      <c r="L104">
        <f>VLOOKUP(K104,Components!A$4:I$21,8,0)</f>
        <v>3</v>
      </c>
      <c r="M104">
        <f>VLOOKUP(K104,Components!A$4:I$21,9,0)</f>
        <v>3</v>
      </c>
      <c r="N104" s="103">
        <f t="shared" si="15"/>
        <v>9.9134833333333354</v>
      </c>
      <c r="O104" s="103">
        <f t="shared" si="15"/>
        <v>9.9134833333333354</v>
      </c>
    </row>
    <row r="105" spans="2:15">
      <c r="F105" s="13">
        <f t="shared" si="16"/>
        <v>36.57</v>
      </c>
      <c r="G105" s="103">
        <f t="shared" si="10"/>
        <v>0</v>
      </c>
      <c r="H105" s="39"/>
      <c r="I105" s="39"/>
      <c r="J105" s="39"/>
      <c r="K105">
        <v>13</v>
      </c>
      <c r="L105">
        <f>VLOOKUP(K105,Components!A$4:I$21,8,0)</f>
        <v>6</v>
      </c>
      <c r="M105">
        <f>VLOOKUP(K105,Components!A$4:I$21,9,0)</f>
        <v>6</v>
      </c>
      <c r="N105" s="103">
        <f t="shared" si="15"/>
        <v>15.913483333333335</v>
      </c>
      <c r="O105" s="103">
        <f t="shared" si="15"/>
        <v>15.913483333333335</v>
      </c>
    </row>
    <row r="106" spans="2:15">
      <c r="B106">
        <v>4</v>
      </c>
      <c r="C106" t="s">
        <v>363</v>
      </c>
      <c r="E106">
        <v>7</v>
      </c>
      <c r="F106" s="13">
        <f t="shared" si="16"/>
        <v>43.57</v>
      </c>
      <c r="G106" s="103">
        <f t="shared" si="10"/>
        <v>4.2777777777777783E-2</v>
      </c>
      <c r="H106" s="39">
        <f t="shared" ref="H106:H109" si="18">E106*$E$5</f>
        <v>4.2777777777777783E-2</v>
      </c>
      <c r="I106" s="39">
        <f>SUM(I103,G106)</f>
        <v>0.24792777777777777</v>
      </c>
      <c r="J106" s="39">
        <f>SUM(J103,H106)</f>
        <v>0.24792777777777777</v>
      </c>
      <c r="K106" s="90">
        <v>14</v>
      </c>
      <c r="L106">
        <f>VLOOKUP(K106,Components!A$4:I$21,8,0)</f>
        <v>10</v>
      </c>
      <c r="M106">
        <f>VLOOKUP(K106,Components!A$4:I$21,9,0)</f>
        <v>10</v>
      </c>
      <c r="N106" s="103">
        <f t="shared" si="15"/>
        <v>25.956261111111111</v>
      </c>
      <c r="O106" s="103">
        <f t="shared" si="15"/>
        <v>25.956261111111111</v>
      </c>
    </row>
    <row r="107" spans="2:15">
      <c r="G107" s="103"/>
      <c r="H107" s="39"/>
      <c r="I107" s="39"/>
      <c r="J107" s="39"/>
      <c r="L107">
        <f>SUM(L101:L106)</f>
        <v>25.69</v>
      </c>
      <c r="M107">
        <f>SUM(M101:M106)</f>
        <v>25.69</v>
      </c>
      <c r="N107" s="39"/>
      <c r="O107" s="39"/>
    </row>
    <row r="108" spans="2:15">
      <c r="B108" t="s">
        <v>414</v>
      </c>
      <c r="C108" t="s">
        <v>415</v>
      </c>
      <c r="G108" s="103"/>
      <c r="H108" s="39"/>
      <c r="I108" s="39"/>
      <c r="J108" s="39"/>
      <c r="N108" s="39"/>
      <c r="O108" s="39"/>
    </row>
    <row r="109" spans="2:15">
      <c r="B109">
        <v>37</v>
      </c>
      <c r="C109" t="s">
        <v>416</v>
      </c>
      <c r="E109">
        <v>11</v>
      </c>
      <c r="F109">
        <f>E109</f>
        <v>11</v>
      </c>
      <c r="G109" s="103">
        <f t="shared" si="10"/>
        <v>6.7222222222222225E-2</v>
      </c>
      <c r="H109" s="39">
        <f t="shared" si="18"/>
        <v>6.7222222222222225E-2</v>
      </c>
      <c r="I109" s="39">
        <f>G109</f>
        <v>6.7222222222222225E-2</v>
      </c>
      <c r="J109" s="39">
        <f>H109</f>
        <v>6.7222222222222225E-2</v>
      </c>
      <c r="N109" s="103">
        <f>G109+L109</f>
        <v>6.7222222222222225E-2</v>
      </c>
      <c r="O109" s="103">
        <f>H109+M109</f>
        <v>6.7222222222222225E-2</v>
      </c>
    </row>
    <row r="110" spans="2:15">
      <c r="G110" s="39"/>
      <c r="H110" s="39"/>
      <c r="I110" s="39"/>
      <c r="J110" s="39"/>
      <c r="N110" s="39"/>
      <c r="O110" s="39"/>
    </row>
    <row r="111" spans="2:15">
      <c r="G111" s="39"/>
      <c r="H111" s="39"/>
      <c r="I111" s="39"/>
      <c r="J111" s="39"/>
      <c r="N111" s="39"/>
      <c r="O111" s="39"/>
    </row>
    <row r="112" spans="2:15">
      <c r="B112" t="s">
        <v>417</v>
      </c>
      <c r="C112" t="s">
        <v>418</v>
      </c>
      <c r="G112" s="39"/>
      <c r="H112" s="39"/>
      <c r="I112" s="39"/>
      <c r="J112" s="39"/>
      <c r="N112" s="39"/>
      <c r="O112" s="39"/>
    </row>
    <row r="113" spans="2:15">
      <c r="B113">
        <v>37</v>
      </c>
      <c r="C113" t="s">
        <v>416</v>
      </c>
      <c r="E113">
        <v>8</v>
      </c>
      <c r="F113" s="13">
        <f>E113</f>
        <v>8</v>
      </c>
      <c r="G113" s="39">
        <f t="shared" ref="G113:G119" si="19">E113*$E$4</f>
        <v>4.8888888888888891E-2</v>
      </c>
      <c r="H113" s="39">
        <f t="shared" ref="H113:H119" si="20">E113*$E$5</f>
        <v>4.8888888888888891E-2</v>
      </c>
      <c r="I113" s="39">
        <f>G113</f>
        <v>4.8888888888888891E-2</v>
      </c>
      <c r="J113" s="39">
        <f>H113</f>
        <v>4.8888888888888891E-2</v>
      </c>
      <c r="N113" s="103">
        <f>G113+I113</f>
        <v>9.7777777777777783E-2</v>
      </c>
      <c r="O113" s="103">
        <f>H113+J113</f>
        <v>9.7777777777777783E-2</v>
      </c>
    </row>
    <row r="114" spans="2:15">
      <c r="B114">
        <v>30</v>
      </c>
      <c r="C114" t="s">
        <v>404</v>
      </c>
      <c r="E114">
        <v>1.7</v>
      </c>
      <c r="F114" s="13">
        <f t="shared" ref="F114:F119" si="21">F113+E114</f>
        <v>9.6999999999999993</v>
      </c>
      <c r="G114" s="39">
        <f t="shared" si="19"/>
        <v>1.0388888888888888E-2</v>
      </c>
      <c r="H114" s="39">
        <f t="shared" si="20"/>
        <v>1.0388888888888888E-2</v>
      </c>
      <c r="I114" s="39">
        <f t="shared" ref="I114:J119" si="22">I113+G114</f>
        <v>5.9277777777777776E-2</v>
      </c>
      <c r="J114" s="39">
        <f t="shared" si="22"/>
        <v>5.9277777777777776E-2</v>
      </c>
      <c r="N114" s="103">
        <f t="shared" ref="N114:O119" si="23">N113+(G114+L114)</f>
        <v>0.10816666666666667</v>
      </c>
      <c r="O114" s="103">
        <f t="shared" si="23"/>
        <v>0.10816666666666667</v>
      </c>
    </row>
    <row r="115" spans="2:15">
      <c r="B115">
        <v>31</v>
      </c>
      <c r="C115" t="s">
        <v>405</v>
      </c>
      <c r="D115" t="s">
        <v>360</v>
      </c>
      <c r="E115">
        <v>1</v>
      </c>
      <c r="F115" s="13">
        <f t="shared" si="21"/>
        <v>10.7</v>
      </c>
      <c r="G115" s="39">
        <f t="shared" si="19"/>
        <v>6.1111111111111114E-3</v>
      </c>
      <c r="H115" s="39">
        <f t="shared" si="20"/>
        <v>6.1111111111111114E-3</v>
      </c>
      <c r="I115" s="39">
        <f t="shared" si="22"/>
        <v>6.5388888888888885E-2</v>
      </c>
      <c r="J115" s="39">
        <f t="shared" si="22"/>
        <v>6.5388888888888885E-2</v>
      </c>
      <c r="N115" s="103">
        <f t="shared" si="23"/>
        <v>0.11427777777777778</v>
      </c>
      <c r="O115" s="103">
        <f t="shared" si="23"/>
        <v>0.11427777777777778</v>
      </c>
    </row>
    <row r="116" spans="2:15">
      <c r="B116">
        <v>32</v>
      </c>
      <c r="C116" t="s">
        <v>406</v>
      </c>
      <c r="E116">
        <v>8</v>
      </c>
      <c r="F116" s="13">
        <f t="shared" si="21"/>
        <v>18.7</v>
      </c>
      <c r="G116" s="39">
        <f t="shared" si="19"/>
        <v>4.8888888888888891E-2</v>
      </c>
      <c r="H116" s="39">
        <f t="shared" si="20"/>
        <v>4.8888888888888891E-2</v>
      </c>
      <c r="I116" s="39">
        <f t="shared" si="22"/>
        <v>0.11427777777777778</v>
      </c>
      <c r="J116" s="39">
        <f t="shared" si="22"/>
        <v>0.11427777777777778</v>
      </c>
      <c r="N116" s="103">
        <f t="shared" si="23"/>
        <v>0.16316666666666668</v>
      </c>
      <c r="O116" s="103">
        <f t="shared" si="23"/>
        <v>0.16316666666666668</v>
      </c>
    </row>
    <row r="117" spans="2:15">
      <c r="B117" s="90">
        <v>33</v>
      </c>
      <c r="C117" s="118" t="s">
        <v>407</v>
      </c>
      <c r="E117">
        <v>0.79</v>
      </c>
      <c r="F117" s="13">
        <f t="shared" si="21"/>
        <v>19.489999999999998</v>
      </c>
      <c r="G117" s="39">
        <f t="shared" si="19"/>
        <v>4.8277777777777781E-3</v>
      </c>
      <c r="H117" s="39">
        <f t="shared" si="20"/>
        <v>4.8277777777777781E-3</v>
      </c>
      <c r="I117" s="39">
        <f t="shared" si="22"/>
        <v>0.11910555555555556</v>
      </c>
      <c r="J117" s="39">
        <f t="shared" si="22"/>
        <v>0.11910555555555556</v>
      </c>
      <c r="N117" s="103">
        <f t="shared" si="23"/>
        <v>0.16799444444444445</v>
      </c>
      <c r="O117" s="103">
        <f t="shared" si="23"/>
        <v>0.16799444444444445</v>
      </c>
    </row>
    <row r="118" spans="2:15">
      <c r="B118" s="90">
        <v>34</v>
      </c>
      <c r="C118" s="118" t="s">
        <v>408</v>
      </c>
      <c r="D118" t="s">
        <v>360</v>
      </c>
      <c r="E118">
        <v>1</v>
      </c>
      <c r="F118" s="13">
        <f t="shared" si="21"/>
        <v>20.49</v>
      </c>
      <c r="G118" s="39">
        <f t="shared" si="19"/>
        <v>6.1111111111111114E-3</v>
      </c>
      <c r="H118" s="39">
        <f t="shared" si="20"/>
        <v>6.1111111111111114E-3</v>
      </c>
      <c r="I118" s="39">
        <f t="shared" si="22"/>
        <v>0.12521666666666667</v>
      </c>
      <c r="J118" s="39">
        <f t="shared" si="22"/>
        <v>0.12521666666666667</v>
      </c>
      <c r="N118" s="103">
        <f t="shared" si="23"/>
        <v>0.17410555555555557</v>
      </c>
      <c r="O118" s="103">
        <f t="shared" si="23"/>
        <v>0.17410555555555557</v>
      </c>
    </row>
    <row r="119" spans="2:15">
      <c r="B119">
        <v>35</v>
      </c>
      <c r="C119" t="s">
        <v>409</v>
      </c>
      <c r="E119">
        <v>2.08</v>
      </c>
      <c r="F119" s="13">
        <f t="shared" si="21"/>
        <v>22.57</v>
      </c>
      <c r="G119" s="39">
        <f t="shared" si="19"/>
        <v>1.2711111111111112E-2</v>
      </c>
      <c r="H119" s="39">
        <f t="shared" si="20"/>
        <v>1.2711111111111112E-2</v>
      </c>
      <c r="I119" s="39">
        <f t="shared" si="22"/>
        <v>0.13792777777777779</v>
      </c>
      <c r="J119" s="39">
        <f t="shared" si="22"/>
        <v>0.13792777777777779</v>
      </c>
      <c r="N119" s="103">
        <f t="shared" si="23"/>
        <v>0.18681666666666669</v>
      </c>
      <c r="O119" s="103">
        <f t="shared" si="23"/>
        <v>0.18681666666666669</v>
      </c>
    </row>
    <row r="120" spans="2:15">
      <c r="G120" s="39"/>
      <c r="H120" s="39"/>
      <c r="I120" s="39"/>
      <c r="J120" s="39"/>
      <c r="N120" s="39"/>
      <c r="O120" s="39"/>
    </row>
    <row r="121" spans="2:15">
      <c r="B121" t="s">
        <v>419</v>
      </c>
      <c r="C121" t="s">
        <v>420</v>
      </c>
      <c r="G121" s="39"/>
      <c r="H121" s="39"/>
      <c r="I121" s="39"/>
      <c r="J121" s="39"/>
      <c r="N121" s="39"/>
      <c r="O121" s="39"/>
    </row>
    <row r="122" spans="2:15">
      <c r="G122" s="39"/>
      <c r="H122" s="39"/>
      <c r="I122" s="39"/>
      <c r="J122" s="39"/>
      <c r="N122" s="39"/>
      <c r="O122" s="39"/>
    </row>
    <row r="123" spans="2:15">
      <c r="G123" s="39"/>
      <c r="H123" s="39"/>
      <c r="I123" s="39"/>
      <c r="J123" s="39"/>
      <c r="N123" s="39"/>
      <c r="O123" s="39"/>
    </row>
    <row r="124" spans="2:15">
      <c r="B124" s="89" t="s">
        <v>421</v>
      </c>
      <c r="C124" t="s">
        <v>422</v>
      </c>
      <c r="G124" s="39"/>
      <c r="H124" s="39"/>
      <c r="I124" s="39"/>
      <c r="J124" s="39"/>
      <c r="N124" s="39"/>
      <c r="O124" s="39"/>
    </row>
    <row r="125" spans="2:15" ht="16">
      <c r="B125">
        <v>38</v>
      </c>
      <c r="C125" s="85" t="s">
        <v>423</v>
      </c>
      <c r="E125">
        <v>14</v>
      </c>
      <c r="F125">
        <f>E125</f>
        <v>14</v>
      </c>
      <c r="G125" s="39">
        <f t="shared" ref="G125:G130" si="24">E125*$E$4</f>
        <v>8.5555555555555565E-2</v>
      </c>
      <c r="H125" s="39">
        <f t="shared" ref="H125:H130" si="25">E125*$E$5</f>
        <v>8.5555555555555565E-2</v>
      </c>
      <c r="I125" s="39">
        <f>G125</f>
        <v>8.5555555555555565E-2</v>
      </c>
      <c r="J125" s="39">
        <f>H125</f>
        <v>8.5555555555555565E-2</v>
      </c>
      <c r="N125" s="103">
        <f>G125+L125</f>
        <v>8.5555555555555565E-2</v>
      </c>
      <c r="O125" s="103">
        <f>H125+M125</f>
        <v>8.5555555555555565E-2</v>
      </c>
    </row>
    <row r="126" spans="2:15">
      <c r="B126">
        <v>37</v>
      </c>
      <c r="C126" t="s">
        <v>416</v>
      </c>
      <c r="E126">
        <v>8</v>
      </c>
      <c r="F126" s="13">
        <f t="shared" ref="F126:F130" si="26">F125+E126</f>
        <v>22</v>
      </c>
      <c r="G126" s="39">
        <f t="shared" si="24"/>
        <v>4.8888888888888891E-2</v>
      </c>
      <c r="H126" s="39">
        <f t="shared" si="25"/>
        <v>4.8888888888888891E-2</v>
      </c>
      <c r="I126" s="39">
        <f>I125+G126</f>
        <v>0.13444444444444445</v>
      </c>
      <c r="J126" s="39">
        <f>J125+H126</f>
        <v>0.13444444444444445</v>
      </c>
      <c r="N126" s="103">
        <f t="shared" ref="N126:O130" si="27">N125+(G126+L126)</f>
        <v>0.13444444444444445</v>
      </c>
      <c r="O126" s="103">
        <f t="shared" si="27"/>
        <v>0.13444444444444445</v>
      </c>
    </row>
    <row r="127" spans="2:15">
      <c r="B127">
        <v>30</v>
      </c>
      <c r="C127" t="s">
        <v>404</v>
      </c>
      <c r="E127">
        <v>1.7</v>
      </c>
      <c r="F127" s="13">
        <f t="shared" si="26"/>
        <v>23.7</v>
      </c>
      <c r="G127" s="39">
        <f t="shared" si="24"/>
        <v>1.0388888888888888E-2</v>
      </c>
      <c r="H127" s="39">
        <f t="shared" si="25"/>
        <v>1.0388888888888888E-2</v>
      </c>
      <c r="I127" s="39">
        <f t="shared" ref="I127:J130" si="28">I126+G127</f>
        <v>0.14483333333333334</v>
      </c>
      <c r="J127" s="39">
        <f t="shared" si="28"/>
        <v>0.14483333333333334</v>
      </c>
      <c r="N127" s="103">
        <f t="shared" si="27"/>
        <v>0.14483333333333334</v>
      </c>
      <c r="O127" s="103">
        <f t="shared" si="27"/>
        <v>0.14483333333333334</v>
      </c>
    </row>
    <row r="128" spans="2:15">
      <c r="B128">
        <v>31</v>
      </c>
      <c r="C128" t="s">
        <v>405</v>
      </c>
      <c r="D128" t="s">
        <v>360</v>
      </c>
      <c r="E128">
        <v>1</v>
      </c>
      <c r="F128" s="13">
        <f t="shared" si="26"/>
        <v>24.7</v>
      </c>
      <c r="G128" s="39">
        <f t="shared" si="24"/>
        <v>6.1111111111111114E-3</v>
      </c>
      <c r="H128" s="39">
        <f t="shared" si="25"/>
        <v>6.1111111111111114E-3</v>
      </c>
      <c r="I128" s="39">
        <f t="shared" si="28"/>
        <v>0.15094444444444446</v>
      </c>
      <c r="J128" s="39">
        <f t="shared" si="28"/>
        <v>0.15094444444444446</v>
      </c>
      <c r="N128" s="103">
        <f t="shared" si="27"/>
        <v>0.15094444444444446</v>
      </c>
      <c r="O128" s="103">
        <f t="shared" si="27"/>
        <v>0.15094444444444446</v>
      </c>
    </row>
    <row r="129" spans="2:15">
      <c r="B129">
        <v>32</v>
      </c>
      <c r="C129" t="s">
        <v>406</v>
      </c>
      <c r="E129">
        <v>8</v>
      </c>
      <c r="F129" s="13">
        <f t="shared" si="26"/>
        <v>32.700000000000003</v>
      </c>
      <c r="G129" s="39">
        <f t="shared" si="24"/>
        <v>4.8888888888888891E-2</v>
      </c>
      <c r="H129" s="39">
        <f t="shared" si="25"/>
        <v>4.8888888888888891E-2</v>
      </c>
      <c r="I129" s="39">
        <f t="shared" si="28"/>
        <v>0.19983333333333336</v>
      </c>
      <c r="J129" s="39">
        <f t="shared" si="28"/>
        <v>0.19983333333333336</v>
      </c>
      <c r="N129" s="103">
        <f t="shared" si="27"/>
        <v>0.19983333333333336</v>
      </c>
      <c r="O129" s="103">
        <f t="shared" si="27"/>
        <v>0.19983333333333336</v>
      </c>
    </row>
    <row r="130" spans="2:15">
      <c r="B130">
        <v>35</v>
      </c>
      <c r="C130" t="s">
        <v>409</v>
      </c>
      <c r="E130">
        <v>2.08</v>
      </c>
      <c r="F130" s="13">
        <f t="shared" si="26"/>
        <v>34.78</v>
      </c>
      <c r="G130" s="39">
        <f t="shared" si="24"/>
        <v>1.2711111111111112E-2</v>
      </c>
      <c r="H130" s="39">
        <f t="shared" si="25"/>
        <v>1.2711111111111112E-2</v>
      </c>
      <c r="I130" s="39">
        <f t="shared" si="28"/>
        <v>0.21254444444444448</v>
      </c>
      <c r="J130" s="39">
        <f t="shared" si="28"/>
        <v>0.21254444444444448</v>
      </c>
      <c r="N130" s="103">
        <f t="shared" si="27"/>
        <v>0.21254444444444448</v>
      </c>
      <c r="O130" s="103">
        <f t="shared" si="27"/>
        <v>0.21254444444444448</v>
      </c>
    </row>
    <row r="131" spans="2:15">
      <c r="G131" s="39"/>
      <c r="H131" s="39"/>
      <c r="I131" s="39"/>
      <c r="J131" s="39"/>
      <c r="N131" s="39"/>
      <c r="O131" s="39"/>
    </row>
    <row r="132" spans="2:15">
      <c r="G132" s="39"/>
      <c r="H132" s="39"/>
      <c r="I132" s="39"/>
      <c r="J132" s="39"/>
      <c r="N132" s="39"/>
      <c r="O132" s="39"/>
    </row>
    <row r="133" spans="2:15">
      <c r="G133" s="39"/>
      <c r="H133" s="39"/>
      <c r="I133" s="39"/>
      <c r="J133" s="39"/>
      <c r="N133" s="39"/>
      <c r="O133" s="39"/>
    </row>
    <row r="134" spans="2:15">
      <c r="B134" t="s">
        <v>424</v>
      </c>
      <c r="C134" t="s">
        <v>425</v>
      </c>
      <c r="G134" s="39"/>
      <c r="H134" s="39"/>
      <c r="I134" s="39"/>
      <c r="J134" s="39"/>
      <c r="N134" s="39"/>
      <c r="O134" s="39"/>
    </row>
    <row r="135" spans="2:15">
      <c r="B135">
        <v>39</v>
      </c>
      <c r="C135" t="s">
        <v>426</v>
      </c>
      <c r="E135">
        <v>12</v>
      </c>
      <c r="F135">
        <f>E135</f>
        <v>12</v>
      </c>
      <c r="G135" s="39">
        <f t="shared" ref="G135:G142" si="29">E135*$E$4</f>
        <v>7.3333333333333334E-2</v>
      </c>
      <c r="H135" s="39">
        <f t="shared" ref="H135:H145" si="30">E135*$E$5</f>
        <v>7.3333333333333334E-2</v>
      </c>
      <c r="I135" s="39">
        <f>G135</f>
        <v>7.3333333333333334E-2</v>
      </c>
      <c r="J135" s="39">
        <f>H135</f>
        <v>7.3333333333333334E-2</v>
      </c>
      <c r="N135" s="103">
        <f>G135+L135</f>
        <v>7.3333333333333334E-2</v>
      </c>
      <c r="O135" s="103">
        <f>H135+M135</f>
        <v>7.3333333333333334E-2</v>
      </c>
    </row>
    <row r="136" spans="2:15">
      <c r="B136">
        <v>37</v>
      </c>
      <c r="C136" t="s">
        <v>416</v>
      </c>
      <c r="E136">
        <v>8</v>
      </c>
      <c r="F136" s="13">
        <f t="shared" ref="F136:F145" si="31">F135+E136</f>
        <v>20</v>
      </c>
      <c r="G136" s="39">
        <f t="shared" si="29"/>
        <v>4.8888888888888891E-2</v>
      </c>
      <c r="H136" s="39">
        <f t="shared" si="30"/>
        <v>4.8888888888888891E-2</v>
      </c>
      <c r="I136" s="39">
        <f>I135+G136</f>
        <v>0.12222222222222223</v>
      </c>
      <c r="J136" s="39">
        <f>J135+H136</f>
        <v>0.12222222222222223</v>
      </c>
      <c r="N136" s="103">
        <f t="shared" ref="N136:O145" si="32">N135+(G136+L136)</f>
        <v>0.12222222222222223</v>
      </c>
      <c r="O136" s="103">
        <f t="shared" si="32"/>
        <v>0.12222222222222223</v>
      </c>
    </row>
    <row r="137" spans="2:15">
      <c r="B137">
        <v>30</v>
      </c>
      <c r="C137" t="s">
        <v>404</v>
      </c>
      <c r="E137">
        <v>1.7</v>
      </c>
      <c r="F137" s="13">
        <f t="shared" si="31"/>
        <v>21.7</v>
      </c>
      <c r="G137" s="39">
        <f t="shared" si="29"/>
        <v>1.0388888888888888E-2</v>
      </c>
      <c r="H137" s="39">
        <f t="shared" si="30"/>
        <v>1.0388888888888888E-2</v>
      </c>
      <c r="I137" s="39">
        <f t="shared" ref="I137:J145" si="33">I136+G137</f>
        <v>0.13261111111111112</v>
      </c>
      <c r="J137" s="39">
        <f t="shared" si="33"/>
        <v>0.13261111111111112</v>
      </c>
      <c r="N137" s="103">
        <f t="shared" si="32"/>
        <v>0.13261111111111112</v>
      </c>
      <c r="O137" s="103">
        <f t="shared" si="32"/>
        <v>0.13261111111111112</v>
      </c>
    </row>
    <row r="138" spans="2:15">
      <c r="B138">
        <v>31</v>
      </c>
      <c r="C138" t="s">
        <v>405</v>
      </c>
      <c r="D138" t="s">
        <v>360</v>
      </c>
      <c r="E138">
        <v>1</v>
      </c>
      <c r="F138" s="13">
        <f t="shared" si="31"/>
        <v>22.7</v>
      </c>
      <c r="G138" s="39">
        <f t="shared" si="29"/>
        <v>6.1111111111111114E-3</v>
      </c>
      <c r="H138" s="39">
        <f t="shared" si="30"/>
        <v>6.1111111111111114E-3</v>
      </c>
      <c r="I138" s="39">
        <f t="shared" si="33"/>
        <v>0.13872222222222225</v>
      </c>
      <c r="J138" s="39">
        <f t="shared" si="33"/>
        <v>0.13872222222222225</v>
      </c>
      <c r="N138" s="103">
        <f t="shared" si="32"/>
        <v>0.13872222222222225</v>
      </c>
      <c r="O138" s="103">
        <f t="shared" si="32"/>
        <v>0.13872222222222225</v>
      </c>
    </row>
    <row r="139" spans="2:15">
      <c r="B139">
        <v>32</v>
      </c>
      <c r="C139" t="s">
        <v>406</v>
      </c>
      <c r="E139">
        <v>8</v>
      </c>
      <c r="F139" s="13">
        <f t="shared" si="31"/>
        <v>30.7</v>
      </c>
      <c r="G139" s="39">
        <f t="shared" si="29"/>
        <v>4.8888888888888891E-2</v>
      </c>
      <c r="H139" s="39">
        <f t="shared" si="30"/>
        <v>4.8888888888888891E-2</v>
      </c>
      <c r="I139" s="39">
        <f t="shared" si="33"/>
        <v>0.18761111111111115</v>
      </c>
      <c r="J139" s="39">
        <f t="shared" si="33"/>
        <v>0.18761111111111115</v>
      </c>
      <c r="N139" s="103">
        <f t="shared" si="32"/>
        <v>0.18761111111111115</v>
      </c>
      <c r="O139" s="103">
        <f t="shared" si="32"/>
        <v>0.18761111111111115</v>
      </c>
    </row>
    <row r="140" spans="2:15">
      <c r="B140" s="123">
        <v>33</v>
      </c>
      <c r="C140" t="s">
        <v>407</v>
      </c>
      <c r="E140">
        <v>0.79</v>
      </c>
      <c r="F140" s="13">
        <f t="shared" si="31"/>
        <v>31.49</v>
      </c>
      <c r="G140" s="39">
        <f t="shared" si="29"/>
        <v>4.8277777777777781E-3</v>
      </c>
      <c r="H140" s="39">
        <f t="shared" si="30"/>
        <v>4.8277777777777781E-3</v>
      </c>
      <c r="I140" s="39">
        <f t="shared" si="33"/>
        <v>0.19243888888888894</v>
      </c>
      <c r="J140" s="39">
        <f t="shared" si="33"/>
        <v>0.19243888888888894</v>
      </c>
      <c r="N140" s="103">
        <f t="shared" si="32"/>
        <v>0.19243888888888894</v>
      </c>
      <c r="O140" s="103">
        <f t="shared" si="32"/>
        <v>0.19243888888888894</v>
      </c>
    </row>
    <row r="141" spans="2:15">
      <c r="B141" s="123">
        <v>34</v>
      </c>
      <c r="C141" t="s">
        <v>408</v>
      </c>
      <c r="D141" t="s">
        <v>360</v>
      </c>
      <c r="E141">
        <v>1</v>
      </c>
      <c r="F141" s="13">
        <f t="shared" si="31"/>
        <v>32.489999999999995</v>
      </c>
      <c r="G141" s="39">
        <f t="shared" si="29"/>
        <v>6.1111111111111114E-3</v>
      </c>
      <c r="H141" s="39">
        <f t="shared" si="30"/>
        <v>6.1111111111111114E-3</v>
      </c>
      <c r="I141" s="39">
        <f t="shared" si="33"/>
        <v>0.19855000000000006</v>
      </c>
      <c r="J141" s="39">
        <f t="shared" si="33"/>
        <v>0.19855000000000006</v>
      </c>
      <c r="N141" s="103">
        <f t="shared" si="32"/>
        <v>0.19855000000000006</v>
      </c>
      <c r="O141" s="103">
        <f t="shared" si="32"/>
        <v>0.19855000000000006</v>
      </c>
    </row>
    <row r="142" spans="2:15">
      <c r="B142">
        <v>35</v>
      </c>
      <c r="C142" t="s">
        <v>409</v>
      </c>
      <c r="E142">
        <v>2.08</v>
      </c>
      <c r="F142" s="13">
        <f t="shared" si="31"/>
        <v>34.569999999999993</v>
      </c>
      <c r="G142" s="39">
        <f t="shared" si="29"/>
        <v>1.2711111111111112E-2</v>
      </c>
      <c r="H142" s="39">
        <f t="shared" si="30"/>
        <v>1.2711111111111112E-2</v>
      </c>
      <c r="I142" s="39">
        <f t="shared" si="33"/>
        <v>0.21126111111111118</v>
      </c>
      <c r="J142" s="39">
        <f t="shared" si="33"/>
        <v>0.21126111111111118</v>
      </c>
      <c r="N142" s="103">
        <f t="shared" si="32"/>
        <v>0.21126111111111118</v>
      </c>
      <c r="O142" s="103">
        <f t="shared" si="32"/>
        <v>0.21126111111111118</v>
      </c>
    </row>
    <row r="143" spans="2:15">
      <c r="B143">
        <v>19</v>
      </c>
      <c r="C143" t="s">
        <v>381</v>
      </c>
      <c r="E143">
        <v>1.2</v>
      </c>
      <c r="F143" s="13">
        <f t="shared" si="31"/>
        <v>35.769999999999996</v>
      </c>
      <c r="G143" s="39">
        <f>E143*$E$4</f>
        <v>7.3333333333333332E-3</v>
      </c>
      <c r="H143" s="39">
        <f t="shared" si="30"/>
        <v>7.3333333333333332E-3</v>
      </c>
      <c r="I143" s="39">
        <f t="shared" si="33"/>
        <v>0.21859444444444451</v>
      </c>
      <c r="J143" s="39">
        <f t="shared" si="33"/>
        <v>0.21859444444444451</v>
      </c>
      <c r="K143">
        <v>11</v>
      </c>
      <c r="L143">
        <f>VLOOKUP(K143,Components!A$4:I$21,8,0)</f>
        <v>2</v>
      </c>
      <c r="M143">
        <f>VLOOKUP(K143,Components!A$4:I$21,9,0)</f>
        <v>2</v>
      </c>
      <c r="N143" s="103">
        <f t="shared" si="32"/>
        <v>2.2185944444444448</v>
      </c>
      <c r="O143" s="103">
        <f t="shared" si="32"/>
        <v>2.2185944444444448</v>
      </c>
    </row>
    <row r="144" spans="2:15">
      <c r="B144">
        <v>20</v>
      </c>
      <c r="C144" t="s">
        <v>382</v>
      </c>
      <c r="E144">
        <v>1.2</v>
      </c>
      <c r="F144" s="13">
        <f t="shared" si="31"/>
        <v>36.97</v>
      </c>
      <c r="G144" s="39">
        <f>E144*$E$4</f>
        <v>7.3333333333333332E-3</v>
      </c>
      <c r="H144" s="39">
        <f t="shared" si="30"/>
        <v>7.3333333333333332E-3</v>
      </c>
      <c r="I144" s="39">
        <f t="shared" si="33"/>
        <v>0.22592777777777784</v>
      </c>
      <c r="J144" s="39">
        <f t="shared" si="33"/>
        <v>0.22592777777777784</v>
      </c>
      <c r="K144">
        <v>6</v>
      </c>
      <c r="L144">
        <f>VLOOKUP(K144,Components!A$4:I$21,8,0)</f>
        <v>1.88</v>
      </c>
      <c r="M144">
        <f>VLOOKUP(K144,Components!A$4:I$21,9,0)</f>
        <v>1.88</v>
      </c>
      <c r="N144" s="103">
        <f t="shared" si="32"/>
        <v>4.1059277777777776</v>
      </c>
      <c r="O144" s="103">
        <f t="shared" si="32"/>
        <v>4.1059277777777776</v>
      </c>
    </row>
    <row r="145" spans="2:16">
      <c r="B145">
        <v>21</v>
      </c>
      <c r="C145" t="s">
        <v>383</v>
      </c>
      <c r="E145">
        <v>12</v>
      </c>
      <c r="F145" s="13">
        <f t="shared" si="31"/>
        <v>48.97</v>
      </c>
      <c r="G145" s="39">
        <f>E145*$E$4</f>
        <v>7.3333333333333334E-2</v>
      </c>
      <c r="H145" s="39">
        <f t="shared" si="30"/>
        <v>7.3333333333333334E-2</v>
      </c>
      <c r="I145" s="39">
        <f t="shared" si="33"/>
        <v>0.2992611111111112</v>
      </c>
      <c r="J145" s="39">
        <f t="shared" si="33"/>
        <v>0.2992611111111112</v>
      </c>
      <c r="K145">
        <v>3</v>
      </c>
      <c r="L145">
        <f>VLOOKUP(K145,Components!A$4:I$21,8,0)</f>
        <v>17.420000000000002</v>
      </c>
      <c r="M145">
        <f>VLOOKUP(K145,Components!A$4:I$21,9,0)</f>
        <v>17.420000000000002</v>
      </c>
      <c r="N145" s="103">
        <f t="shared" si="32"/>
        <v>21.599261111111112</v>
      </c>
      <c r="O145" s="103">
        <f t="shared" si="32"/>
        <v>21.599261111111112</v>
      </c>
    </row>
    <row r="146" spans="2:16">
      <c r="C146" s="87"/>
      <c r="G146" s="39"/>
      <c r="H146" s="39"/>
      <c r="I146" s="39"/>
      <c r="J146" s="39"/>
      <c r="L146">
        <f>SUM(L143:L145)</f>
        <v>21.3</v>
      </c>
      <c r="M146">
        <f>SUM(M143:M145)</f>
        <v>21.3</v>
      </c>
      <c r="N146" s="39"/>
      <c r="O146" s="39"/>
    </row>
    <row r="147" spans="2:16">
      <c r="C147" s="87"/>
      <c r="G147" s="39"/>
      <c r="H147" s="39"/>
      <c r="I147" s="39"/>
      <c r="J147" s="39"/>
      <c r="N147" s="39"/>
      <c r="O147" s="39"/>
    </row>
    <row r="148" spans="2:16">
      <c r="C148" s="87"/>
      <c r="G148" s="39"/>
      <c r="H148" s="39"/>
      <c r="I148" s="39"/>
      <c r="J148" s="39"/>
      <c r="N148" s="39"/>
      <c r="O148" s="39"/>
    </row>
    <row r="149" spans="2:16">
      <c r="B149" t="s">
        <v>427</v>
      </c>
      <c r="C149" t="s">
        <v>428</v>
      </c>
      <c r="G149" s="39"/>
      <c r="H149" s="39"/>
      <c r="I149" s="39"/>
      <c r="J149" s="39"/>
      <c r="N149" s="39"/>
      <c r="O149" s="39"/>
    </row>
    <row r="150" spans="2:16" ht="16">
      <c r="B150">
        <v>38</v>
      </c>
      <c r="C150" s="85" t="s">
        <v>429</v>
      </c>
      <c r="E150">
        <v>18</v>
      </c>
      <c r="F150">
        <f>E150</f>
        <v>18</v>
      </c>
      <c r="G150" s="39">
        <f>E150*$E$4</f>
        <v>0.11</v>
      </c>
      <c r="H150" s="39">
        <f t="shared" ref="H150:H155" si="34">E150*$E$5</f>
        <v>0.11</v>
      </c>
      <c r="I150" s="39">
        <f>G150</f>
        <v>0.11</v>
      </c>
      <c r="J150" s="39">
        <f>H150</f>
        <v>0.11</v>
      </c>
      <c r="N150" s="103">
        <f>G150+L150</f>
        <v>0.11</v>
      </c>
      <c r="O150" s="103">
        <f>H150+M150</f>
        <v>0.11</v>
      </c>
    </row>
    <row r="151" spans="2:16" ht="16">
      <c r="B151">
        <v>38</v>
      </c>
      <c r="C151" s="85" t="s">
        <v>423</v>
      </c>
      <c r="E151">
        <v>14</v>
      </c>
      <c r="F151" s="13">
        <f t="shared" ref="F151:F155" si="35">F150+E151</f>
        <v>32</v>
      </c>
      <c r="G151" s="39">
        <f t="shared" ref="G151:G155" si="36">E151*$E$4</f>
        <v>8.5555555555555565E-2</v>
      </c>
      <c r="H151" s="39">
        <f t="shared" si="34"/>
        <v>8.5555555555555565E-2</v>
      </c>
      <c r="I151" s="39">
        <f>I150+G151</f>
        <v>0.19555555555555557</v>
      </c>
      <c r="J151" s="39">
        <f>J150+H151</f>
        <v>0.19555555555555557</v>
      </c>
      <c r="N151" s="103">
        <f t="shared" ref="N151:O155" si="37">N150+(G151+L151)</f>
        <v>0.19555555555555557</v>
      </c>
      <c r="O151" s="103">
        <f t="shared" si="37"/>
        <v>0.19555555555555557</v>
      </c>
    </row>
    <row r="152" spans="2:16">
      <c r="B152">
        <v>30</v>
      </c>
      <c r="C152" t="s">
        <v>404</v>
      </c>
      <c r="E152">
        <v>1.7</v>
      </c>
      <c r="F152" s="13">
        <f t="shared" si="35"/>
        <v>33.700000000000003</v>
      </c>
      <c r="G152" s="39">
        <f t="shared" si="36"/>
        <v>1.0388888888888888E-2</v>
      </c>
      <c r="H152" s="39">
        <f t="shared" si="34"/>
        <v>1.0388888888888888E-2</v>
      </c>
      <c r="I152" s="39">
        <f t="shared" ref="I152:J155" si="38">I151+G152</f>
        <v>0.20594444444444446</v>
      </c>
      <c r="J152" s="39">
        <f t="shared" si="38"/>
        <v>0.20594444444444446</v>
      </c>
      <c r="N152" s="103">
        <f t="shared" si="37"/>
        <v>0.20594444444444446</v>
      </c>
      <c r="O152" s="103">
        <f t="shared" si="37"/>
        <v>0.20594444444444446</v>
      </c>
    </row>
    <row r="153" spans="2:16">
      <c r="B153">
        <v>31</v>
      </c>
      <c r="C153" t="s">
        <v>405</v>
      </c>
      <c r="D153" t="s">
        <v>360</v>
      </c>
      <c r="E153">
        <v>1</v>
      </c>
      <c r="F153" s="13">
        <f t="shared" si="35"/>
        <v>34.700000000000003</v>
      </c>
      <c r="G153" s="39">
        <f t="shared" si="36"/>
        <v>6.1111111111111114E-3</v>
      </c>
      <c r="H153" s="39">
        <f t="shared" si="34"/>
        <v>6.1111111111111114E-3</v>
      </c>
      <c r="I153" s="39">
        <f t="shared" si="38"/>
        <v>0.21205555555555558</v>
      </c>
      <c r="J153" s="39">
        <f t="shared" si="38"/>
        <v>0.21205555555555558</v>
      </c>
      <c r="N153" s="103">
        <f t="shared" si="37"/>
        <v>0.21205555555555558</v>
      </c>
      <c r="O153" s="103">
        <f t="shared" si="37"/>
        <v>0.21205555555555558</v>
      </c>
    </row>
    <row r="154" spans="2:16">
      <c r="B154">
        <v>32</v>
      </c>
      <c r="C154" t="s">
        <v>406</v>
      </c>
      <c r="E154">
        <v>8</v>
      </c>
      <c r="F154" s="13">
        <f t="shared" si="35"/>
        <v>42.7</v>
      </c>
      <c r="G154" s="39">
        <f t="shared" si="36"/>
        <v>4.8888888888888891E-2</v>
      </c>
      <c r="H154" s="39">
        <f t="shared" si="34"/>
        <v>4.8888888888888891E-2</v>
      </c>
      <c r="I154" s="39">
        <f t="shared" si="38"/>
        <v>0.26094444444444448</v>
      </c>
      <c r="J154" s="39">
        <f t="shared" si="38"/>
        <v>0.26094444444444448</v>
      </c>
      <c r="N154" s="103">
        <f t="shared" si="37"/>
        <v>0.26094444444444448</v>
      </c>
      <c r="O154" s="103">
        <f t="shared" si="37"/>
        <v>0.26094444444444448</v>
      </c>
    </row>
    <row r="155" spans="2:16">
      <c r="B155">
        <v>35</v>
      </c>
      <c r="C155" t="s">
        <v>409</v>
      </c>
      <c r="E155">
        <v>2.08</v>
      </c>
      <c r="F155" s="13">
        <f t="shared" si="35"/>
        <v>44.78</v>
      </c>
      <c r="G155" s="39">
        <f t="shared" si="36"/>
        <v>1.2711111111111112E-2</v>
      </c>
      <c r="H155" s="39">
        <f t="shared" si="34"/>
        <v>1.2711111111111112E-2</v>
      </c>
      <c r="I155" s="39">
        <f t="shared" si="38"/>
        <v>0.2736555555555556</v>
      </c>
      <c r="J155" s="39">
        <f t="shared" si="38"/>
        <v>0.2736555555555556</v>
      </c>
      <c r="N155" s="103">
        <f t="shared" si="37"/>
        <v>0.2736555555555556</v>
      </c>
      <c r="O155" s="103">
        <f t="shared" si="37"/>
        <v>0.2736555555555556</v>
      </c>
      <c r="P155">
        <v>2</v>
      </c>
    </row>
    <row r="156" spans="2:16">
      <c r="C156" s="51"/>
      <c r="G156" s="39"/>
      <c r="H156" s="39"/>
      <c r="I156" s="39"/>
      <c r="J156" s="39"/>
      <c r="N156" s="39"/>
      <c r="O156" s="39"/>
    </row>
    <row r="157" spans="2:16">
      <c r="B157" t="s">
        <v>430</v>
      </c>
      <c r="C157" t="s">
        <v>431</v>
      </c>
      <c r="G157" s="39"/>
      <c r="H157" s="39"/>
      <c r="I157" s="39"/>
      <c r="J157" s="39"/>
      <c r="N157" s="39"/>
      <c r="O157" s="39"/>
    </row>
    <row r="158" spans="2:16" ht="16">
      <c r="B158">
        <v>38</v>
      </c>
      <c r="C158" s="85" t="s">
        <v>423</v>
      </c>
      <c r="E158">
        <v>14</v>
      </c>
      <c r="F158">
        <f>E158</f>
        <v>14</v>
      </c>
      <c r="G158" s="39">
        <f t="shared" ref="G158:G162" si="39">E158*$E$4</f>
        <v>8.5555555555555565E-2</v>
      </c>
      <c r="H158" s="39">
        <f t="shared" ref="H158:H162" si="40">E158*$E$5</f>
        <v>8.5555555555555565E-2</v>
      </c>
      <c r="I158" s="39">
        <f>G158</f>
        <v>8.5555555555555565E-2</v>
      </c>
      <c r="J158" s="39">
        <f>H158</f>
        <v>8.5555555555555565E-2</v>
      </c>
      <c r="N158" s="103">
        <f>G158+L158</f>
        <v>8.5555555555555565E-2</v>
      </c>
      <c r="O158" s="103">
        <f>H158+M158</f>
        <v>8.5555555555555565E-2</v>
      </c>
    </row>
    <row r="159" spans="2:16">
      <c r="B159">
        <v>30</v>
      </c>
      <c r="C159" t="s">
        <v>404</v>
      </c>
      <c r="E159">
        <v>1.7</v>
      </c>
      <c r="F159" s="13">
        <f t="shared" ref="F159:F162" si="41">F158+E159</f>
        <v>15.7</v>
      </c>
      <c r="G159" s="39">
        <f t="shared" si="39"/>
        <v>1.0388888888888888E-2</v>
      </c>
      <c r="H159" s="39">
        <f t="shared" si="40"/>
        <v>1.0388888888888888E-2</v>
      </c>
      <c r="I159" s="39">
        <f>I158+G159</f>
        <v>9.5944444444444457E-2</v>
      </c>
      <c r="J159" s="39">
        <f>J158+H159</f>
        <v>9.5944444444444457E-2</v>
      </c>
      <c r="N159" s="103">
        <f t="shared" ref="N159:O162" si="42">N158+(G159+L159)</f>
        <v>9.5944444444444457E-2</v>
      </c>
      <c r="O159" s="103">
        <f t="shared" si="42"/>
        <v>9.5944444444444457E-2</v>
      </c>
    </row>
    <row r="160" spans="2:16">
      <c r="B160">
        <v>31</v>
      </c>
      <c r="C160" t="s">
        <v>405</v>
      </c>
      <c r="D160" t="s">
        <v>360</v>
      </c>
      <c r="E160">
        <v>1</v>
      </c>
      <c r="F160" s="13">
        <f t="shared" si="41"/>
        <v>16.7</v>
      </c>
      <c r="G160" s="39">
        <f t="shared" si="39"/>
        <v>6.1111111111111114E-3</v>
      </c>
      <c r="H160" s="39">
        <f t="shared" si="40"/>
        <v>6.1111111111111114E-3</v>
      </c>
      <c r="I160" s="39">
        <f t="shared" ref="I160:J162" si="43">I159+G160</f>
        <v>0.10205555555555557</v>
      </c>
      <c r="J160" s="39">
        <f t="shared" si="43"/>
        <v>0.10205555555555557</v>
      </c>
      <c r="N160" s="103">
        <f t="shared" si="42"/>
        <v>0.10205555555555557</v>
      </c>
      <c r="O160" s="103">
        <f t="shared" si="42"/>
        <v>0.10205555555555557</v>
      </c>
    </row>
    <row r="161" spans="2:15">
      <c r="B161">
        <v>32</v>
      </c>
      <c r="C161" t="s">
        <v>406</v>
      </c>
      <c r="E161">
        <v>8</v>
      </c>
      <c r="F161" s="13">
        <f t="shared" si="41"/>
        <v>24.7</v>
      </c>
      <c r="G161" s="39">
        <f t="shared" si="39"/>
        <v>4.8888888888888891E-2</v>
      </c>
      <c r="H161" s="39">
        <f t="shared" si="40"/>
        <v>4.8888888888888891E-2</v>
      </c>
      <c r="I161" s="39">
        <f t="shared" si="43"/>
        <v>0.15094444444444446</v>
      </c>
      <c r="J161" s="39">
        <f t="shared" si="43"/>
        <v>0.15094444444444446</v>
      </c>
      <c r="N161" s="103">
        <f t="shared" si="42"/>
        <v>0.15094444444444446</v>
      </c>
      <c r="O161" s="103">
        <f t="shared" si="42"/>
        <v>0.15094444444444446</v>
      </c>
    </row>
    <row r="162" spans="2:15">
      <c r="B162">
        <v>35</v>
      </c>
      <c r="C162" t="s">
        <v>409</v>
      </c>
      <c r="E162">
        <v>2.08</v>
      </c>
      <c r="F162" s="13">
        <f t="shared" si="41"/>
        <v>26.78</v>
      </c>
      <c r="G162" s="39">
        <f t="shared" si="39"/>
        <v>1.2711111111111112E-2</v>
      </c>
      <c r="H162" s="39">
        <f t="shared" si="40"/>
        <v>1.2711111111111112E-2</v>
      </c>
      <c r="I162" s="39">
        <f t="shared" si="43"/>
        <v>0.16365555555555558</v>
      </c>
      <c r="J162" s="39">
        <f t="shared" si="43"/>
        <v>0.16365555555555558</v>
      </c>
      <c r="N162" s="103">
        <f t="shared" si="42"/>
        <v>0.16365555555555558</v>
      </c>
      <c r="O162" s="103">
        <f t="shared" si="42"/>
        <v>0.16365555555555558</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F565A-7182-8C4C-B7BC-0911AF085C99}">
  <dimension ref="A1:AE142"/>
  <sheetViews>
    <sheetView topLeftCell="A105" zoomScaleNormal="100" workbookViewId="0">
      <selection activeCell="F21" sqref="F21"/>
    </sheetView>
  </sheetViews>
  <sheetFormatPr baseColWidth="10" defaultColWidth="8.83203125" defaultRowHeight="15"/>
  <cols>
    <col min="1" max="1" width="4.33203125" customWidth="1"/>
    <col min="7" max="7" width="8.5" customWidth="1"/>
    <col min="11" max="11" width="1.83203125" customWidth="1"/>
    <col min="22" max="22" width="11.5" customWidth="1"/>
  </cols>
  <sheetData>
    <row r="1" spans="1:28">
      <c r="A1" s="3" t="s">
        <v>53</v>
      </c>
      <c r="O1" t="s">
        <v>476</v>
      </c>
    </row>
    <row r="3" spans="1:28">
      <c r="A3" t="s">
        <v>146</v>
      </c>
      <c r="C3" t="s">
        <v>147</v>
      </c>
      <c r="H3" s="14" t="s">
        <v>148</v>
      </c>
      <c r="I3" t="s">
        <v>82</v>
      </c>
      <c r="L3" t="s">
        <v>149</v>
      </c>
      <c r="M3" t="s">
        <v>150</v>
      </c>
    </row>
    <row r="4" spans="1:28">
      <c r="B4">
        <v>1</v>
      </c>
      <c r="C4" t="s">
        <v>477</v>
      </c>
      <c r="L4">
        <v>5</v>
      </c>
      <c r="M4" t="s">
        <v>478</v>
      </c>
    </row>
    <row r="5" spans="1:28">
      <c r="H5">
        <v>1</v>
      </c>
      <c r="I5">
        <v>7</v>
      </c>
      <c r="J5" t="s">
        <v>478</v>
      </c>
    </row>
    <row r="6" spans="1:28">
      <c r="H6">
        <v>2</v>
      </c>
      <c r="I6" t="s">
        <v>479</v>
      </c>
    </row>
    <row r="8" spans="1:28">
      <c r="B8">
        <v>2</v>
      </c>
      <c r="C8" t="s">
        <v>480</v>
      </c>
      <c r="L8" t="str">
        <f>I11</f>
        <v>less than assembly time</v>
      </c>
    </row>
    <row r="9" spans="1:28">
      <c r="H9">
        <v>1</v>
      </c>
      <c r="I9">
        <v>4</v>
      </c>
      <c r="J9" t="s">
        <v>478</v>
      </c>
    </row>
    <row r="10" spans="1:28">
      <c r="H10">
        <v>2</v>
      </c>
      <c r="I10" t="s">
        <v>479</v>
      </c>
    </row>
    <row r="11" spans="1:28">
      <c r="H11">
        <v>3</v>
      </c>
      <c r="I11" t="s">
        <v>481</v>
      </c>
    </row>
    <row r="13" spans="1:28">
      <c r="B13">
        <v>3</v>
      </c>
      <c r="C13" t="s">
        <v>482</v>
      </c>
      <c r="L13" t="s">
        <v>483</v>
      </c>
    </row>
    <row r="14" spans="1:28">
      <c r="H14">
        <v>1</v>
      </c>
      <c r="I14" t="s">
        <v>218</v>
      </c>
      <c r="X14" s="23"/>
      <c r="AA14" s="23"/>
      <c r="AB14" s="23"/>
    </row>
    <row r="15" spans="1:28">
      <c r="H15">
        <v>2</v>
      </c>
      <c r="I15" t="s">
        <v>215</v>
      </c>
      <c r="X15" s="23"/>
      <c r="AA15" s="23"/>
      <c r="AB15" s="23"/>
    </row>
    <row r="16" spans="1:28">
      <c r="X16" s="23"/>
      <c r="AA16" s="23"/>
      <c r="AB16" s="23"/>
    </row>
    <row r="17" spans="1:31">
      <c r="A17" t="s">
        <v>179</v>
      </c>
    </row>
    <row r="18" spans="1:31">
      <c r="B18">
        <v>1</v>
      </c>
      <c r="C18" s="155" t="s">
        <v>636</v>
      </c>
    </row>
    <row r="20" spans="1:31">
      <c r="X20" s="39"/>
      <c r="Y20" s="39"/>
      <c r="Z20" s="39"/>
      <c r="AA20" s="39"/>
      <c r="AB20" s="39"/>
      <c r="AC20" s="39"/>
      <c r="AD20" s="39"/>
      <c r="AE20" s="39"/>
    </row>
    <row r="21" spans="1:31">
      <c r="X21" s="39"/>
      <c r="Y21" s="39"/>
      <c r="Z21" s="39"/>
      <c r="AA21" s="39"/>
      <c r="AB21" s="39"/>
      <c r="AC21" s="39"/>
      <c r="AD21" s="39"/>
      <c r="AE21" s="39"/>
    </row>
    <row r="22" spans="1:31">
      <c r="D22" s="155"/>
      <c r="E22" s="155"/>
      <c r="F22" s="155"/>
      <c r="G22" s="155"/>
      <c r="H22" s="155"/>
      <c r="X22" s="39"/>
      <c r="Y22" s="39"/>
      <c r="Z22" s="39"/>
      <c r="AA22" s="39"/>
      <c r="AB22" s="39"/>
      <c r="AC22" s="39"/>
      <c r="AD22" s="39"/>
      <c r="AE22" s="39"/>
    </row>
    <row r="23" spans="1:31">
      <c r="A23" t="s">
        <v>233</v>
      </c>
    </row>
    <row r="24" spans="1:31">
      <c r="B24">
        <v>1</v>
      </c>
      <c r="C24" t="s">
        <v>492</v>
      </c>
      <c r="H24">
        <v>4</v>
      </c>
      <c r="I24" t="s">
        <v>478</v>
      </c>
    </row>
    <row r="26" spans="1:31">
      <c r="X26" s="39"/>
      <c r="Y26" s="39"/>
      <c r="Z26" s="39"/>
      <c r="AA26" s="39"/>
      <c r="AB26" s="39"/>
      <c r="AC26" s="39"/>
      <c r="AD26" s="39"/>
      <c r="AE26" s="39"/>
    </row>
    <row r="27" spans="1:31">
      <c r="V27" s="39"/>
      <c r="W27" s="39"/>
      <c r="X27" s="39"/>
      <c r="Y27" s="39"/>
      <c r="Z27" s="39"/>
      <c r="AA27" s="39"/>
      <c r="AB27" s="39"/>
      <c r="AC27" s="39"/>
      <c r="AD27" s="39"/>
      <c r="AE27" s="39"/>
    </row>
    <row r="28" spans="1:31">
      <c r="F28" t="s">
        <v>630</v>
      </c>
      <c r="H28" t="s">
        <v>631</v>
      </c>
      <c r="J28" t="s">
        <v>632</v>
      </c>
      <c r="V28" s="39"/>
      <c r="W28" s="39"/>
      <c r="X28" s="39"/>
      <c r="Y28" s="39"/>
      <c r="Z28" s="39"/>
      <c r="AA28" s="39"/>
      <c r="AB28" s="39"/>
      <c r="AC28" s="39"/>
      <c r="AD28" s="39"/>
      <c r="AE28" s="39"/>
    </row>
    <row r="29" spans="1:31">
      <c r="B29" t="s">
        <v>633</v>
      </c>
      <c r="C29" t="s">
        <v>235</v>
      </c>
      <c r="E29" t="s">
        <v>629</v>
      </c>
      <c r="F29" t="s">
        <v>498</v>
      </c>
      <c r="G29" t="s">
        <v>629</v>
      </c>
      <c r="H29" t="s">
        <v>498</v>
      </c>
      <c r="I29" t="s">
        <v>629</v>
      </c>
      <c r="J29" t="s">
        <v>498</v>
      </c>
    </row>
    <row r="30" spans="1:31">
      <c r="B30">
        <v>1</v>
      </c>
      <c r="C30">
        <v>0</v>
      </c>
      <c r="F30" t="s">
        <v>35</v>
      </c>
      <c r="H30" t="s">
        <v>35</v>
      </c>
      <c r="J30" t="s">
        <v>35</v>
      </c>
    </row>
    <row r="31" spans="1:31">
      <c r="B31">
        <v>1</v>
      </c>
      <c r="C31">
        <v>4</v>
      </c>
      <c r="E31" t="s">
        <v>33</v>
      </c>
      <c r="F31" t="s">
        <v>35</v>
      </c>
      <c r="G31" t="s">
        <v>38</v>
      </c>
      <c r="H31" t="s">
        <v>35</v>
      </c>
      <c r="I31" t="s">
        <v>41</v>
      </c>
      <c r="J31" t="s">
        <v>35</v>
      </c>
    </row>
    <row r="32" spans="1:31">
      <c r="B32">
        <v>1</v>
      </c>
      <c r="C32">
        <v>8</v>
      </c>
      <c r="E32" t="s">
        <v>33</v>
      </c>
      <c r="F32" t="s">
        <v>35</v>
      </c>
      <c r="G32" t="s">
        <v>38</v>
      </c>
      <c r="H32" t="s">
        <v>35</v>
      </c>
      <c r="I32" t="s">
        <v>41</v>
      </c>
      <c r="J32" t="s">
        <v>35</v>
      </c>
    </row>
    <row r="33" spans="2:10">
      <c r="B33">
        <v>1</v>
      </c>
      <c r="C33">
        <v>12</v>
      </c>
      <c r="E33" t="s">
        <v>33</v>
      </c>
      <c r="F33" t="s">
        <v>35</v>
      </c>
      <c r="G33" t="s">
        <v>38</v>
      </c>
      <c r="H33" t="s">
        <v>35</v>
      </c>
      <c r="I33" t="s">
        <v>41</v>
      </c>
      <c r="J33" t="s">
        <v>35</v>
      </c>
    </row>
    <row r="34" spans="2:10">
      <c r="B34">
        <v>1</v>
      </c>
      <c r="C34">
        <v>16</v>
      </c>
      <c r="E34" t="s">
        <v>33</v>
      </c>
      <c r="F34" t="s">
        <v>35</v>
      </c>
      <c r="G34" t="s">
        <v>38</v>
      </c>
      <c r="H34" t="s">
        <v>35</v>
      </c>
      <c r="I34" t="s">
        <v>41</v>
      </c>
      <c r="J34" t="s">
        <v>35</v>
      </c>
    </row>
    <row r="35" spans="2:10">
      <c r="B35">
        <v>1</v>
      </c>
      <c r="C35">
        <v>20</v>
      </c>
      <c r="E35" t="s">
        <v>33</v>
      </c>
      <c r="F35" t="s">
        <v>35</v>
      </c>
      <c r="G35" t="s">
        <v>38</v>
      </c>
      <c r="H35" t="s">
        <v>35</v>
      </c>
      <c r="I35" t="s">
        <v>41</v>
      </c>
      <c r="J35" t="s">
        <v>35</v>
      </c>
    </row>
    <row r="36" spans="2:10">
      <c r="B36">
        <v>1</v>
      </c>
      <c r="C36">
        <v>24</v>
      </c>
      <c r="E36" t="s">
        <v>33</v>
      </c>
      <c r="F36" t="s">
        <v>35</v>
      </c>
      <c r="G36" t="s">
        <v>38</v>
      </c>
      <c r="H36" t="s">
        <v>35</v>
      </c>
      <c r="I36" t="s">
        <v>41</v>
      </c>
      <c r="J36" t="s">
        <v>35</v>
      </c>
    </row>
    <row r="37" spans="2:10">
      <c r="B37">
        <v>1</v>
      </c>
      <c r="C37">
        <v>28</v>
      </c>
      <c r="E37" t="s">
        <v>33</v>
      </c>
      <c r="F37" t="s">
        <v>35</v>
      </c>
      <c r="G37" t="s">
        <v>38</v>
      </c>
      <c r="H37" t="s">
        <v>35</v>
      </c>
      <c r="I37" t="s">
        <v>41</v>
      </c>
      <c r="J37" t="s">
        <v>35</v>
      </c>
    </row>
    <row r="38" spans="2:10">
      <c r="B38">
        <v>1</v>
      </c>
      <c r="C38">
        <v>32</v>
      </c>
      <c r="E38" t="s">
        <v>33</v>
      </c>
      <c r="F38" t="s">
        <v>35</v>
      </c>
      <c r="G38" t="s">
        <v>38</v>
      </c>
      <c r="H38" t="s">
        <v>35</v>
      </c>
      <c r="I38" t="s">
        <v>41</v>
      </c>
      <c r="J38" t="s">
        <v>35</v>
      </c>
    </row>
    <row r="39" spans="2:10">
      <c r="B39">
        <v>1</v>
      </c>
      <c r="C39">
        <v>36</v>
      </c>
      <c r="E39" t="s">
        <v>33</v>
      </c>
      <c r="F39" t="s">
        <v>35</v>
      </c>
      <c r="G39" t="s">
        <v>38</v>
      </c>
      <c r="H39" t="s">
        <v>35</v>
      </c>
      <c r="I39" t="s">
        <v>41</v>
      </c>
      <c r="J39" t="s">
        <v>35</v>
      </c>
    </row>
    <row r="40" spans="2:10">
      <c r="B40">
        <v>1</v>
      </c>
      <c r="C40">
        <v>40</v>
      </c>
      <c r="E40" t="s">
        <v>33</v>
      </c>
      <c r="F40" t="s">
        <v>35</v>
      </c>
      <c r="G40" t="s">
        <v>38</v>
      </c>
      <c r="H40" t="s">
        <v>35</v>
      </c>
      <c r="I40" t="s">
        <v>41</v>
      </c>
      <c r="J40" t="s">
        <v>35</v>
      </c>
    </row>
    <row r="41" spans="2:10">
      <c r="B41">
        <v>1</v>
      </c>
      <c r="C41">
        <v>44</v>
      </c>
      <c r="E41" t="s">
        <v>33</v>
      </c>
      <c r="F41" t="s">
        <v>35</v>
      </c>
      <c r="G41" t="s">
        <v>38</v>
      </c>
      <c r="H41" t="s">
        <v>35</v>
      </c>
      <c r="I41" t="s">
        <v>41</v>
      </c>
      <c r="J41" t="s">
        <v>35</v>
      </c>
    </row>
    <row r="42" spans="2:10">
      <c r="B42">
        <v>1</v>
      </c>
      <c r="C42">
        <v>48</v>
      </c>
      <c r="E42" t="s">
        <v>33</v>
      </c>
      <c r="F42" t="s">
        <v>35</v>
      </c>
      <c r="G42" t="s">
        <v>38</v>
      </c>
      <c r="H42" t="s">
        <v>35</v>
      </c>
      <c r="I42" t="s">
        <v>41</v>
      </c>
      <c r="J42" t="s">
        <v>35</v>
      </c>
    </row>
    <row r="43" spans="2:10">
      <c r="B43">
        <v>1</v>
      </c>
      <c r="C43">
        <v>52</v>
      </c>
      <c r="E43" t="s">
        <v>33</v>
      </c>
      <c r="F43" t="s">
        <v>35</v>
      </c>
      <c r="G43" t="s">
        <v>38</v>
      </c>
      <c r="H43" t="s">
        <v>35</v>
      </c>
      <c r="I43" t="s">
        <v>41</v>
      </c>
      <c r="J43" t="s">
        <v>35</v>
      </c>
    </row>
    <row r="44" spans="2:10">
      <c r="B44">
        <v>1</v>
      </c>
      <c r="C44">
        <v>56</v>
      </c>
      <c r="E44" t="s">
        <v>33</v>
      </c>
      <c r="F44" t="s">
        <v>35</v>
      </c>
      <c r="G44" t="s">
        <v>38</v>
      </c>
      <c r="H44" t="s">
        <v>35</v>
      </c>
      <c r="I44" t="s">
        <v>41</v>
      </c>
      <c r="J44" t="s">
        <v>35</v>
      </c>
    </row>
    <row r="45" spans="2:10">
      <c r="B45">
        <v>1</v>
      </c>
      <c r="C45">
        <v>60</v>
      </c>
      <c r="E45" t="s">
        <v>33</v>
      </c>
      <c r="F45" t="s">
        <v>35</v>
      </c>
      <c r="G45" t="s">
        <v>38</v>
      </c>
      <c r="H45" t="s">
        <v>35</v>
      </c>
      <c r="I45" t="s">
        <v>41</v>
      </c>
      <c r="J45" t="s">
        <v>35</v>
      </c>
    </row>
    <row r="46" spans="2:10">
      <c r="B46">
        <v>2</v>
      </c>
      <c r="C46">
        <v>0</v>
      </c>
      <c r="E46" t="s">
        <v>33</v>
      </c>
      <c r="F46" t="s">
        <v>35</v>
      </c>
      <c r="G46" t="s">
        <v>38</v>
      </c>
      <c r="H46" t="s">
        <v>35</v>
      </c>
      <c r="I46" t="s">
        <v>41</v>
      </c>
      <c r="J46" t="s">
        <v>35</v>
      </c>
    </row>
    <row r="47" spans="2:10">
      <c r="B47">
        <v>2</v>
      </c>
      <c r="C47">
        <v>4</v>
      </c>
      <c r="E47" t="s">
        <v>33</v>
      </c>
      <c r="F47" t="s">
        <v>35</v>
      </c>
      <c r="G47" t="s">
        <v>38</v>
      </c>
      <c r="H47" t="s">
        <v>35</v>
      </c>
      <c r="I47" t="s">
        <v>41</v>
      </c>
      <c r="J47" t="s">
        <v>35</v>
      </c>
    </row>
    <row r="48" spans="2:10">
      <c r="B48">
        <v>2</v>
      </c>
      <c r="C48">
        <v>8</v>
      </c>
      <c r="E48" t="s">
        <v>33</v>
      </c>
      <c r="F48" t="s">
        <v>35</v>
      </c>
      <c r="G48" t="s">
        <v>38</v>
      </c>
      <c r="H48" t="s">
        <v>35</v>
      </c>
      <c r="I48" t="s">
        <v>41</v>
      </c>
      <c r="J48" t="s">
        <v>35</v>
      </c>
    </row>
    <row r="49" spans="2:31">
      <c r="B49">
        <v>2</v>
      </c>
      <c r="C49">
        <v>12</v>
      </c>
      <c r="E49" t="s">
        <v>33</v>
      </c>
      <c r="F49" t="s">
        <v>35</v>
      </c>
      <c r="G49" t="s">
        <v>38</v>
      </c>
      <c r="H49" t="s">
        <v>35</v>
      </c>
      <c r="I49" t="s">
        <v>41</v>
      </c>
      <c r="J49" t="s">
        <v>35</v>
      </c>
    </row>
    <row r="50" spans="2:31">
      <c r="B50">
        <v>2</v>
      </c>
      <c r="C50">
        <v>16</v>
      </c>
      <c r="E50" t="s">
        <v>33</v>
      </c>
      <c r="F50" t="s">
        <v>35</v>
      </c>
      <c r="G50" t="s">
        <v>38</v>
      </c>
      <c r="H50" t="s">
        <v>35</v>
      </c>
      <c r="I50" t="s">
        <v>41</v>
      </c>
      <c r="J50" t="s">
        <v>35</v>
      </c>
    </row>
    <row r="51" spans="2:31">
      <c r="B51">
        <v>2</v>
      </c>
      <c r="C51">
        <v>20</v>
      </c>
      <c r="E51" t="s">
        <v>33</v>
      </c>
      <c r="F51" t="s">
        <v>35</v>
      </c>
      <c r="G51" t="s">
        <v>38</v>
      </c>
      <c r="H51" t="s">
        <v>35</v>
      </c>
      <c r="I51" t="s">
        <v>41</v>
      </c>
      <c r="J51" t="s">
        <v>35</v>
      </c>
      <c r="Z51" s="184"/>
      <c r="AA51" s="184"/>
      <c r="AB51" s="184"/>
      <c r="AC51" s="184"/>
      <c r="AD51" s="184"/>
      <c r="AE51" s="184"/>
    </row>
    <row r="52" spans="2:31">
      <c r="B52">
        <v>2</v>
      </c>
      <c r="C52">
        <v>24</v>
      </c>
      <c r="E52" t="s">
        <v>33</v>
      </c>
      <c r="F52" t="s">
        <v>35</v>
      </c>
      <c r="G52" t="s">
        <v>38</v>
      </c>
      <c r="H52" t="s">
        <v>35</v>
      </c>
      <c r="I52" t="s">
        <v>41</v>
      </c>
      <c r="J52" t="s">
        <v>35</v>
      </c>
      <c r="Z52" s="184"/>
      <c r="AA52" s="184"/>
      <c r="AB52" s="184"/>
      <c r="AC52" s="184"/>
      <c r="AD52" s="184"/>
      <c r="AE52" s="184"/>
    </row>
    <row r="53" spans="2:31">
      <c r="B53">
        <v>2</v>
      </c>
      <c r="C53">
        <v>28</v>
      </c>
      <c r="E53" t="s">
        <v>33</v>
      </c>
      <c r="F53" t="s">
        <v>35</v>
      </c>
      <c r="G53" t="s">
        <v>38</v>
      </c>
      <c r="H53" t="s">
        <v>35</v>
      </c>
      <c r="I53" t="s">
        <v>41</v>
      </c>
      <c r="J53" t="s">
        <v>35</v>
      </c>
      <c r="Z53" s="184"/>
      <c r="AA53" s="184"/>
      <c r="AB53" s="184"/>
      <c r="AC53" s="184"/>
      <c r="AD53" s="184"/>
      <c r="AE53" s="184"/>
    </row>
    <row r="54" spans="2:31">
      <c r="B54">
        <v>2</v>
      </c>
      <c r="C54">
        <v>32</v>
      </c>
      <c r="E54" t="s">
        <v>33</v>
      </c>
      <c r="F54" t="s">
        <v>35</v>
      </c>
      <c r="G54" t="s">
        <v>38</v>
      </c>
      <c r="H54" t="s">
        <v>35</v>
      </c>
      <c r="I54" t="s">
        <v>41</v>
      </c>
      <c r="J54" t="s">
        <v>35</v>
      </c>
    </row>
    <row r="55" spans="2:31">
      <c r="B55">
        <v>2</v>
      </c>
      <c r="C55">
        <v>36</v>
      </c>
      <c r="E55" t="s">
        <v>33</v>
      </c>
      <c r="F55" t="s">
        <v>35</v>
      </c>
      <c r="G55" t="s">
        <v>38</v>
      </c>
      <c r="H55" t="s">
        <v>35</v>
      </c>
      <c r="I55" t="s">
        <v>41</v>
      </c>
      <c r="J55" t="s">
        <v>35</v>
      </c>
    </row>
    <row r="56" spans="2:31">
      <c r="B56">
        <v>2</v>
      </c>
      <c r="C56">
        <v>40</v>
      </c>
      <c r="E56" t="s">
        <v>33</v>
      </c>
      <c r="F56" t="s">
        <v>35</v>
      </c>
      <c r="G56" t="s">
        <v>38</v>
      </c>
      <c r="H56" t="s">
        <v>35</v>
      </c>
      <c r="I56" t="s">
        <v>41</v>
      </c>
      <c r="J56" t="s">
        <v>35</v>
      </c>
    </row>
    <row r="57" spans="2:31">
      <c r="B57">
        <v>2</v>
      </c>
      <c r="C57">
        <v>44</v>
      </c>
      <c r="E57" t="s">
        <v>33</v>
      </c>
      <c r="F57" t="s">
        <v>35</v>
      </c>
      <c r="G57" t="s">
        <v>38</v>
      </c>
      <c r="H57" t="s">
        <v>35</v>
      </c>
      <c r="I57" t="s">
        <v>41</v>
      </c>
      <c r="J57" t="s">
        <v>35</v>
      </c>
    </row>
    <row r="58" spans="2:31">
      <c r="B58">
        <v>2</v>
      </c>
      <c r="C58">
        <v>48</v>
      </c>
      <c r="E58" t="s">
        <v>33</v>
      </c>
      <c r="F58" t="s">
        <v>35</v>
      </c>
      <c r="G58" t="s">
        <v>38</v>
      </c>
      <c r="H58" t="s">
        <v>35</v>
      </c>
      <c r="I58" t="s">
        <v>41</v>
      </c>
      <c r="J58" t="s">
        <v>35</v>
      </c>
    </row>
    <row r="59" spans="2:31">
      <c r="B59">
        <v>2</v>
      </c>
      <c r="C59">
        <v>52</v>
      </c>
      <c r="E59" t="s">
        <v>33</v>
      </c>
      <c r="F59" t="s">
        <v>35</v>
      </c>
      <c r="G59" t="s">
        <v>38</v>
      </c>
      <c r="H59" t="s">
        <v>35</v>
      </c>
      <c r="I59" t="s">
        <v>41</v>
      </c>
      <c r="J59" t="s">
        <v>35</v>
      </c>
    </row>
    <row r="60" spans="2:31">
      <c r="B60">
        <v>2</v>
      </c>
      <c r="C60">
        <v>56</v>
      </c>
      <c r="E60" t="s">
        <v>33</v>
      </c>
      <c r="F60" t="s">
        <v>35</v>
      </c>
      <c r="G60" t="s">
        <v>38</v>
      </c>
      <c r="H60" t="s">
        <v>35</v>
      </c>
      <c r="I60" t="s">
        <v>41</v>
      </c>
      <c r="J60" t="s">
        <v>35</v>
      </c>
    </row>
    <row r="61" spans="2:31">
      <c r="B61">
        <v>2</v>
      </c>
      <c r="C61">
        <v>60</v>
      </c>
      <c r="E61" t="s">
        <v>33</v>
      </c>
      <c r="F61" t="s">
        <v>35</v>
      </c>
      <c r="G61" t="s">
        <v>38</v>
      </c>
      <c r="H61" t="s">
        <v>35</v>
      </c>
      <c r="I61" t="s">
        <v>41</v>
      </c>
      <c r="J61" t="s">
        <v>35</v>
      </c>
    </row>
    <row r="62" spans="2:31">
      <c r="B62">
        <v>3</v>
      </c>
      <c r="C62">
        <v>0</v>
      </c>
      <c r="E62" t="s">
        <v>33</v>
      </c>
      <c r="F62" t="s">
        <v>35</v>
      </c>
      <c r="G62" t="s">
        <v>38</v>
      </c>
      <c r="H62" t="s">
        <v>35</v>
      </c>
      <c r="I62" t="s">
        <v>41</v>
      </c>
      <c r="J62" t="s">
        <v>35</v>
      </c>
    </row>
    <row r="63" spans="2:31">
      <c r="B63">
        <v>3</v>
      </c>
      <c r="C63">
        <v>4</v>
      </c>
      <c r="E63" t="s">
        <v>33</v>
      </c>
      <c r="F63" t="s">
        <v>35</v>
      </c>
      <c r="G63" t="s">
        <v>38</v>
      </c>
      <c r="H63" t="s">
        <v>35</v>
      </c>
      <c r="I63" t="s">
        <v>41</v>
      </c>
      <c r="J63" t="s">
        <v>35</v>
      </c>
    </row>
    <row r="64" spans="2:31">
      <c r="B64">
        <v>3</v>
      </c>
      <c r="C64">
        <v>8</v>
      </c>
      <c r="E64" t="s">
        <v>33</v>
      </c>
      <c r="F64" t="s">
        <v>35</v>
      </c>
      <c r="G64" t="s">
        <v>38</v>
      </c>
      <c r="H64" t="s">
        <v>35</v>
      </c>
      <c r="I64" t="s">
        <v>41</v>
      </c>
      <c r="J64" t="s">
        <v>35</v>
      </c>
    </row>
    <row r="65" spans="2:31">
      <c r="B65">
        <v>3</v>
      </c>
      <c r="C65">
        <v>12</v>
      </c>
      <c r="E65" t="s">
        <v>33</v>
      </c>
      <c r="F65" t="s">
        <v>35</v>
      </c>
      <c r="G65" t="s">
        <v>38</v>
      </c>
      <c r="H65" t="s">
        <v>35</v>
      </c>
      <c r="I65" t="s">
        <v>41</v>
      </c>
      <c r="J65" t="s">
        <v>35</v>
      </c>
    </row>
    <row r="66" spans="2:31">
      <c r="B66">
        <v>3</v>
      </c>
      <c r="C66">
        <v>16</v>
      </c>
      <c r="E66" t="s">
        <v>33</v>
      </c>
      <c r="F66" t="s">
        <v>35</v>
      </c>
      <c r="G66" t="s">
        <v>38</v>
      </c>
      <c r="H66" t="s">
        <v>35</v>
      </c>
      <c r="I66" t="s">
        <v>41</v>
      </c>
      <c r="J66" t="s">
        <v>35</v>
      </c>
    </row>
    <row r="67" spans="2:31">
      <c r="B67">
        <v>3</v>
      </c>
      <c r="C67">
        <v>20</v>
      </c>
      <c r="E67" t="s">
        <v>33</v>
      </c>
      <c r="F67" t="s">
        <v>35</v>
      </c>
      <c r="G67" t="s">
        <v>38</v>
      </c>
      <c r="H67" t="s">
        <v>35</v>
      </c>
      <c r="I67" t="s">
        <v>41</v>
      </c>
      <c r="J67" t="s">
        <v>35</v>
      </c>
      <c r="Z67" s="184"/>
      <c r="AA67" s="184"/>
      <c r="AB67" s="184"/>
      <c r="AC67" s="184"/>
      <c r="AD67" s="184"/>
      <c r="AE67" s="184"/>
    </row>
    <row r="68" spans="2:31">
      <c r="B68">
        <v>3</v>
      </c>
      <c r="C68">
        <v>24</v>
      </c>
      <c r="E68" t="s">
        <v>33</v>
      </c>
      <c r="F68" t="s">
        <v>35</v>
      </c>
      <c r="G68" t="s">
        <v>38</v>
      </c>
      <c r="H68" t="s">
        <v>35</v>
      </c>
      <c r="I68" t="s">
        <v>41</v>
      </c>
      <c r="J68" t="s">
        <v>35</v>
      </c>
      <c r="Z68" s="184"/>
      <c r="AA68" s="184"/>
      <c r="AB68" s="184"/>
      <c r="AC68" s="184"/>
      <c r="AD68" s="184"/>
      <c r="AE68" s="184"/>
    </row>
    <row r="69" spans="2:31">
      <c r="B69">
        <v>3</v>
      </c>
      <c r="C69">
        <v>28</v>
      </c>
      <c r="E69" t="s">
        <v>33</v>
      </c>
      <c r="F69" t="s">
        <v>35</v>
      </c>
      <c r="G69" t="s">
        <v>38</v>
      </c>
      <c r="H69" t="s">
        <v>35</v>
      </c>
      <c r="I69" t="s">
        <v>41</v>
      </c>
      <c r="J69" t="s">
        <v>35</v>
      </c>
      <c r="Z69" s="184"/>
      <c r="AA69" s="184"/>
      <c r="AB69" s="184"/>
      <c r="AC69" s="184"/>
      <c r="AD69" s="184"/>
      <c r="AE69" s="184"/>
    </row>
    <row r="70" spans="2:31">
      <c r="B70">
        <v>3</v>
      </c>
      <c r="C70">
        <v>32</v>
      </c>
      <c r="E70" t="s">
        <v>33</v>
      </c>
      <c r="F70" t="s">
        <v>35</v>
      </c>
      <c r="G70" t="s">
        <v>38</v>
      </c>
      <c r="H70" t="s">
        <v>35</v>
      </c>
      <c r="I70" t="s">
        <v>41</v>
      </c>
      <c r="J70" t="s">
        <v>35</v>
      </c>
    </row>
    <row r="71" spans="2:31">
      <c r="B71">
        <v>3</v>
      </c>
      <c r="C71">
        <v>36</v>
      </c>
      <c r="E71" t="s">
        <v>33</v>
      </c>
      <c r="F71" t="s">
        <v>35</v>
      </c>
      <c r="G71" t="s">
        <v>38</v>
      </c>
      <c r="H71" t="s">
        <v>35</v>
      </c>
      <c r="I71" t="s">
        <v>41</v>
      </c>
      <c r="J71" t="s">
        <v>35</v>
      </c>
    </row>
    <row r="72" spans="2:31">
      <c r="B72">
        <v>3</v>
      </c>
      <c r="C72">
        <v>40</v>
      </c>
      <c r="E72" t="s">
        <v>33</v>
      </c>
      <c r="F72" t="s">
        <v>35</v>
      </c>
      <c r="G72" t="s">
        <v>38</v>
      </c>
      <c r="H72" t="s">
        <v>35</v>
      </c>
      <c r="I72" t="s">
        <v>41</v>
      </c>
      <c r="J72" t="s">
        <v>35</v>
      </c>
    </row>
    <row r="73" spans="2:31">
      <c r="B73">
        <v>3</v>
      </c>
      <c r="C73">
        <v>44</v>
      </c>
      <c r="E73" t="s">
        <v>33</v>
      </c>
      <c r="F73" t="s">
        <v>35</v>
      </c>
      <c r="G73" t="s">
        <v>38</v>
      </c>
      <c r="H73" t="s">
        <v>35</v>
      </c>
      <c r="I73" t="s">
        <v>41</v>
      </c>
      <c r="J73" t="s">
        <v>35</v>
      </c>
    </row>
    <row r="74" spans="2:31">
      <c r="B74">
        <v>3</v>
      </c>
      <c r="C74">
        <v>48</v>
      </c>
      <c r="E74" t="s">
        <v>33</v>
      </c>
      <c r="F74" t="s">
        <v>35</v>
      </c>
      <c r="G74" t="s">
        <v>38</v>
      </c>
      <c r="H74" t="s">
        <v>35</v>
      </c>
      <c r="I74" t="s">
        <v>41</v>
      </c>
      <c r="J74" t="s">
        <v>35</v>
      </c>
    </row>
    <row r="75" spans="2:31">
      <c r="B75">
        <v>3</v>
      </c>
      <c r="C75">
        <v>52</v>
      </c>
      <c r="E75" t="s">
        <v>33</v>
      </c>
      <c r="F75" t="s">
        <v>35</v>
      </c>
      <c r="G75" t="s">
        <v>38</v>
      </c>
      <c r="H75" t="s">
        <v>35</v>
      </c>
      <c r="I75" t="s">
        <v>41</v>
      </c>
      <c r="J75" t="s">
        <v>35</v>
      </c>
    </row>
    <row r="76" spans="2:31">
      <c r="B76">
        <v>3</v>
      </c>
      <c r="C76">
        <v>56</v>
      </c>
      <c r="E76" t="s">
        <v>33</v>
      </c>
      <c r="F76" t="s">
        <v>35</v>
      </c>
      <c r="G76" t="s">
        <v>38</v>
      </c>
      <c r="H76" t="s">
        <v>35</v>
      </c>
      <c r="I76" t="s">
        <v>41</v>
      </c>
      <c r="J76" t="s">
        <v>35</v>
      </c>
    </row>
    <row r="77" spans="2:31">
      <c r="B77">
        <v>3</v>
      </c>
      <c r="C77">
        <v>60</v>
      </c>
      <c r="E77" t="s">
        <v>33</v>
      </c>
      <c r="F77" t="s">
        <v>35</v>
      </c>
      <c r="G77" t="s">
        <v>38</v>
      </c>
      <c r="H77" t="s">
        <v>35</v>
      </c>
      <c r="I77" t="s">
        <v>41</v>
      </c>
      <c r="J77" t="s">
        <v>35</v>
      </c>
    </row>
    <row r="78" spans="2:31">
      <c r="B78">
        <v>4</v>
      </c>
      <c r="C78">
        <v>0</v>
      </c>
      <c r="E78" s="184" t="s">
        <v>634</v>
      </c>
      <c r="F78" s="184"/>
      <c r="G78" s="184"/>
      <c r="H78" s="184"/>
      <c r="I78" s="184"/>
      <c r="J78" s="184"/>
    </row>
    <row r="79" spans="2:31">
      <c r="B79">
        <v>4</v>
      </c>
      <c r="C79">
        <v>4</v>
      </c>
      <c r="E79" s="184"/>
      <c r="F79" s="184"/>
      <c r="G79" s="184"/>
      <c r="H79" s="184"/>
      <c r="I79" s="184"/>
      <c r="J79" s="184"/>
    </row>
    <row r="80" spans="2:31">
      <c r="B80">
        <v>4</v>
      </c>
      <c r="C80">
        <v>8</v>
      </c>
      <c r="E80" s="184"/>
      <c r="F80" s="184"/>
      <c r="G80" s="184"/>
      <c r="H80" s="184"/>
      <c r="I80" s="184"/>
      <c r="J80" s="184"/>
    </row>
    <row r="81" spans="2:31">
      <c r="B81">
        <v>4</v>
      </c>
      <c r="C81">
        <v>12</v>
      </c>
      <c r="E81" s="184"/>
      <c r="F81" s="184"/>
      <c r="G81" s="184"/>
      <c r="H81" s="184"/>
      <c r="I81" s="184"/>
      <c r="J81" s="184"/>
    </row>
    <row r="82" spans="2:31">
      <c r="B82">
        <v>4</v>
      </c>
      <c r="C82">
        <v>16</v>
      </c>
      <c r="E82" s="184"/>
      <c r="F82" s="184"/>
      <c r="G82" s="184"/>
      <c r="H82" s="184"/>
      <c r="I82" s="184"/>
      <c r="J82" s="184"/>
    </row>
    <row r="83" spans="2:31">
      <c r="B83">
        <v>4</v>
      </c>
      <c r="C83">
        <v>20</v>
      </c>
      <c r="E83" s="184"/>
      <c r="F83" s="184"/>
      <c r="G83" s="184"/>
      <c r="H83" s="184"/>
      <c r="I83" s="184"/>
      <c r="J83" s="184"/>
      <c r="Z83" s="184"/>
      <c r="AA83" s="184"/>
      <c r="AB83" s="184"/>
      <c r="AC83" s="184"/>
      <c r="AD83" s="184"/>
      <c r="AE83" s="184"/>
    </row>
    <row r="84" spans="2:31">
      <c r="B84">
        <v>4</v>
      </c>
      <c r="C84">
        <v>24</v>
      </c>
      <c r="E84" t="s">
        <v>33</v>
      </c>
      <c r="F84" t="s">
        <v>35</v>
      </c>
      <c r="G84" t="s">
        <v>38</v>
      </c>
      <c r="H84" t="s">
        <v>35</v>
      </c>
      <c r="I84" t="s">
        <v>41</v>
      </c>
      <c r="J84" t="s">
        <v>35</v>
      </c>
      <c r="Z84" s="184"/>
      <c r="AA84" s="184"/>
      <c r="AB84" s="184"/>
      <c r="AC84" s="184"/>
      <c r="AD84" s="184"/>
      <c r="AE84" s="184"/>
    </row>
    <row r="85" spans="2:31">
      <c r="B85">
        <v>4</v>
      </c>
      <c r="C85">
        <v>28</v>
      </c>
      <c r="E85" t="s">
        <v>33</v>
      </c>
      <c r="F85" t="s">
        <v>35</v>
      </c>
      <c r="G85" t="s">
        <v>38</v>
      </c>
      <c r="H85" t="s">
        <v>35</v>
      </c>
      <c r="I85" t="s">
        <v>41</v>
      </c>
      <c r="J85" t="s">
        <v>35</v>
      </c>
      <c r="Z85" s="184"/>
      <c r="AA85" s="184"/>
      <c r="AB85" s="184"/>
      <c r="AC85" s="184"/>
      <c r="AD85" s="184"/>
      <c r="AE85" s="184"/>
    </row>
    <row r="86" spans="2:31">
      <c r="B86">
        <v>4</v>
      </c>
      <c r="C86">
        <v>32</v>
      </c>
      <c r="E86" t="s">
        <v>33</v>
      </c>
      <c r="F86" t="s">
        <v>35</v>
      </c>
      <c r="G86" t="s">
        <v>38</v>
      </c>
      <c r="H86" t="s">
        <v>35</v>
      </c>
      <c r="I86" t="s">
        <v>41</v>
      </c>
      <c r="J86" t="s">
        <v>35</v>
      </c>
    </row>
    <row r="87" spans="2:31">
      <c r="B87">
        <v>4</v>
      </c>
      <c r="C87">
        <v>36</v>
      </c>
      <c r="E87" t="s">
        <v>33</v>
      </c>
      <c r="F87" t="s">
        <v>35</v>
      </c>
      <c r="G87" t="s">
        <v>38</v>
      </c>
      <c r="H87" t="s">
        <v>35</v>
      </c>
      <c r="I87" t="s">
        <v>41</v>
      </c>
      <c r="J87" t="s">
        <v>35</v>
      </c>
    </row>
    <row r="88" spans="2:31">
      <c r="B88">
        <v>4</v>
      </c>
      <c r="C88">
        <v>40</v>
      </c>
      <c r="E88" t="s">
        <v>33</v>
      </c>
      <c r="F88" t="s">
        <v>35</v>
      </c>
      <c r="G88" t="s">
        <v>38</v>
      </c>
      <c r="H88" t="s">
        <v>35</v>
      </c>
      <c r="I88" t="s">
        <v>41</v>
      </c>
      <c r="J88" t="s">
        <v>35</v>
      </c>
    </row>
    <row r="89" spans="2:31">
      <c r="B89">
        <v>4</v>
      </c>
      <c r="C89">
        <v>44</v>
      </c>
      <c r="E89" t="s">
        <v>33</v>
      </c>
      <c r="F89" t="s">
        <v>35</v>
      </c>
      <c r="G89" t="s">
        <v>38</v>
      </c>
      <c r="H89" t="s">
        <v>35</v>
      </c>
      <c r="I89" t="s">
        <v>41</v>
      </c>
      <c r="J89" t="s">
        <v>35</v>
      </c>
    </row>
    <row r="90" spans="2:31">
      <c r="B90">
        <v>4</v>
      </c>
      <c r="C90">
        <v>48</v>
      </c>
      <c r="E90" t="s">
        <v>33</v>
      </c>
      <c r="F90" t="s">
        <v>35</v>
      </c>
      <c r="G90" t="s">
        <v>38</v>
      </c>
      <c r="H90" t="s">
        <v>35</v>
      </c>
      <c r="I90" t="s">
        <v>41</v>
      </c>
      <c r="J90" t="s">
        <v>35</v>
      </c>
    </row>
    <row r="91" spans="2:31">
      <c r="B91">
        <v>4</v>
      </c>
      <c r="C91">
        <v>52</v>
      </c>
      <c r="E91" t="s">
        <v>33</v>
      </c>
      <c r="F91" t="s">
        <v>35</v>
      </c>
      <c r="G91" t="s">
        <v>38</v>
      </c>
      <c r="H91" t="s">
        <v>35</v>
      </c>
      <c r="I91" t="s">
        <v>41</v>
      </c>
      <c r="J91" t="s">
        <v>35</v>
      </c>
    </row>
    <row r="92" spans="2:31">
      <c r="B92">
        <v>4</v>
      </c>
      <c r="C92">
        <v>56</v>
      </c>
      <c r="E92" t="s">
        <v>33</v>
      </c>
      <c r="F92" t="s">
        <v>35</v>
      </c>
      <c r="G92" t="s">
        <v>38</v>
      </c>
      <c r="H92" t="s">
        <v>35</v>
      </c>
      <c r="I92" t="s">
        <v>41</v>
      </c>
      <c r="J92" t="s">
        <v>35</v>
      </c>
    </row>
    <row r="93" spans="2:31">
      <c r="B93">
        <v>4</v>
      </c>
      <c r="C93">
        <v>60</v>
      </c>
      <c r="E93" t="s">
        <v>33</v>
      </c>
      <c r="F93" t="s">
        <v>35</v>
      </c>
      <c r="G93" t="s">
        <v>38</v>
      </c>
      <c r="H93" t="s">
        <v>35</v>
      </c>
      <c r="I93" t="s">
        <v>41</v>
      </c>
      <c r="J93" t="s">
        <v>35</v>
      </c>
    </row>
    <row r="94" spans="2:31">
      <c r="B94">
        <v>5</v>
      </c>
      <c r="C94">
        <v>0</v>
      </c>
      <c r="E94" t="s">
        <v>33</v>
      </c>
      <c r="F94" t="s">
        <v>35</v>
      </c>
      <c r="G94" t="s">
        <v>38</v>
      </c>
      <c r="H94" t="s">
        <v>35</v>
      </c>
      <c r="I94" t="s">
        <v>41</v>
      </c>
      <c r="J94" t="s">
        <v>35</v>
      </c>
    </row>
    <row r="95" spans="2:31">
      <c r="B95">
        <v>5</v>
      </c>
      <c r="C95">
        <v>4</v>
      </c>
      <c r="E95" t="s">
        <v>33</v>
      </c>
      <c r="F95" t="s">
        <v>35</v>
      </c>
      <c r="G95" t="s">
        <v>38</v>
      </c>
      <c r="H95" t="s">
        <v>35</v>
      </c>
      <c r="I95" t="s">
        <v>41</v>
      </c>
      <c r="J95" t="s">
        <v>35</v>
      </c>
    </row>
    <row r="96" spans="2:31">
      <c r="B96">
        <v>5</v>
      </c>
      <c r="C96">
        <v>8</v>
      </c>
      <c r="E96" t="s">
        <v>33</v>
      </c>
      <c r="F96" t="s">
        <v>35</v>
      </c>
      <c r="G96" t="s">
        <v>38</v>
      </c>
      <c r="H96" t="s">
        <v>35</v>
      </c>
      <c r="I96" t="s">
        <v>41</v>
      </c>
      <c r="J96" t="s">
        <v>35</v>
      </c>
    </row>
    <row r="97" spans="2:31">
      <c r="B97">
        <v>5</v>
      </c>
      <c r="C97">
        <v>12</v>
      </c>
      <c r="E97" t="s">
        <v>33</v>
      </c>
      <c r="F97" t="s">
        <v>35</v>
      </c>
      <c r="G97" t="s">
        <v>38</v>
      </c>
      <c r="H97" t="s">
        <v>35</v>
      </c>
      <c r="I97" t="s">
        <v>41</v>
      </c>
      <c r="J97" t="s">
        <v>35</v>
      </c>
    </row>
    <row r="98" spans="2:31">
      <c r="B98">
        <v>5</v>
      </c>
      <c r="C98">
        <v>16</v>
      </c>
      <c r="E98" t="s">
        <v>33</v>
      </c>
      <c r="F98" t="s">
        <v>35</v>
      </c>
      <c r="G98" t="s">
        <v>38</v>
      </c>
      <c r="H98" t="s">
        <v>35</v>
      </c>
      <c r="I98" t="s">
        <v>41</v>
      </c>
      <c r="J98" t="s">
        <v>35</v>
      </c>
    </row>
    <row r="99" spans="2:31">
      <c r="B99">
        <v>5</v>
      </c>
      <c r="C99">
        <v>20</v>
      </c>
      <c r="E99" t="s">
        <v>33</v>
      </c>
      <c r="F99" t="s">
        <v>35</v>
      </c>
      <c r="G99" t="s">
        <v>38</v>
      </c>
      <c r="H99" t="s">
        <v>35</v>
      </c>
      <c r="I99" t="s">
        <v>41</v>
      </c>
      <c r="J99" t="s">
        <v>35</v>
      </c>
      <c r="Z99" s="184"/>
      <c r="AA99" s="184"/>
      <c r="AB99" s="184"/>
      <c r="AC99" s="184"/>
      <c r="AD99" s="184"/>
      <c r="AE99" s="184"/>
    </row>
    <row r="100" spans="2:31">
      <c r="B100">
        <v>5</v>
      </c>
      <c r="C100">
        <v>24</v>
      </c>
      <c r="E100" t="s">
        <v>33</v>
      </c>
      <c r="F100" t="s">
        <v>35</v>
      </c>
      <c r="G100" t="s">
        <v>38</v>
      </c>
      <c r="H100" t="s">
        <v>35</v>
      </c>
      <c r="I100" t="s">
        <v>41</v>
      </c>
      <c r="J100" t="s">
        <v>35</v>
      </c>
      <c r="Z100" s="184"/>
      <c r="AA100" s="184"/>
      <c r="AB100" s="184"/>
      <c r="AC100" s="184"/>
      <c r="AD100" s="184"/>
      <c r="AE100" s="184"/>
    </row>
    <row r="101" spans="2:31">
      <c r="B101">
        <v>5</v>
      </c>
      <c r="C101">
        <v>28</v>
      </c>
      <c r="E101" t="s">
        <v>33</v>
      </c>
      <c r="F101" t="s">
        <v>35</v>
      </c>
      <c r="G101" t="s">
        <v>38</v>
      </c>
      <c r="H101" t="s">
        <v>35</v>
      </c>
      <c r="I101" t="s">
        <v>41</v>
      </c>
      <c r="J101" t="s">
        <v>35</v>
      </c>
      <c r="Z101" s="184"/>
      <c r="AA101" s="184"/>
      <c r="AB101" s="184"/>
      <c r="AC101" s="184"/>
      <c r="AD101" s="184"/>
      <c r="AE101" s="184"/>
    </row>
    <row r="102" spans="2:31">
      <c r="B102">
        <v>5</v>
      </c>
      <c r="C102">
        <v>32</v>
      </c>
      <c r="E102" t="s">
        <v>33</v>
      </c>
      <c r="F102" t="s">
        <v>35</v>
      </c>
      <c r="G102" t="s">
        <v>38</v>
      </c>
      <c r="H102" t="s">
        <v>35</v>
      </c>
      <c r="I102" t="s">
        <v>41</v>
      </c>
      <c r="J102" t="s">
        <v>35</v>
      </c>
    </row>
    <row r="103" spans="2:31">
      <c r="B103">
        <v>5</v>
      </c>
      <c r="C103">
        <v>36</v>
      </c>
      <c r="E103" t="s">
        <v>33</v>
      </c>
      <c r="F103" t="s">
        <v>35</v>
      </c>
      <c r="G103" t="s">
        <v>38</v>
      </c>
      <c r="H103" t="s">
        <v>35</v>
      </c>
      <c r="I103" t="s">
        <v>41</v>
      </c>
      <c r="J103" t="s">
        <v>35</v>
      </c>
    </row>
    <row r="104" spans="2:31">
      <c r="B104">
        <v>5</v>
      </c>
      <c r="C104">
        <v>40</v>
      </c>
      <c r="E104" t="s">
        <v>33</v>
      </c>
      <c r="F104" t="s">
        <v>35</v>
      </c>
      <c r="G104" t="s">
        <v>38</v>
      </c>
      <c r="H104" t="s">
        <v>35</v>
      </c>
      <c r="I104" t="s">
        <v>41</v>
      </c>
      <c r="J104" t="s">
        <v>35</v>
      </c>
    </row>
    <row r="105" spans="2:31">
      <c r="B105">
        <v>5</v>
      </c>
      <c r="C105">
        <v>44</v>
      </c>
      <c r="E105" t="s">
        <v>33</v>
      </c>
      <c r="F105" t="s">
        <v>35</v>
      </c>
      <c r="G105" t="s">
        <v>38</v>
      </c>
      <c r="H105" t="s">
        <v>35</v>
      </c>
      <c r="I105" t="s">
        <v>41</v>
      </c>
      <c r="J105" t="s">
        <v>35</v>
      </c>
    </row>
    <row r="106" spans="2:31">
      <c r="B106">
        <v>5</v>
      </c>
      <c r="C106">
        <v>48</v>
      </c>
      <c r="E106" t="s">
        <v>33</v>
      </c>
      <c r="F106" t="s">
        <v>35</v>
      </c>
      <c r="G106" t="s">
        <v>38</v>
      </c>
      <c r="H106" t="s">
        <v>35</v>
      </c>
      <c r="I106" t="s">
        <v>41</v>
      </c>
      <c r="J106" t="s">
        <v>35</v>
      </c>
    </row>
    <row r="107" spans="2:31">
      <c r="B107">
        <v>5</v>
      </c>
      <c r="C107">
        <v>52</v>
      </c>
      <c r="E107" t="s">
        <v>33</v>
      </c>
      <c r="F107" t="s">
        <v>35</v>
      </c>
      <c r="G107" t="s">
        <v>38</v>
      </c>
      <c r="H107" t="s">
        <v>35</v>
      </c>
      <c r="I107" t="s">
        <v>41</v>
      </c>
      <c r="J107" t="s">
        <v>35</v>
      </c>
    </row>
    <row r="108" spans="2:31">
      <c r="B108">
        <v>5</v>
      </c>
      <c r="C108">
        <v>56</v>
      </c>
      <c r="E108" t="s">
        <v>33</v>
      </c>
      <c r="F108" t="s">
        <v>35</v>
      </c>
      <c r="G108" t="s">
        <v>38</v>
      </c>
      <c r="H108" t="s">
        <v>35</v>
      </c>
      <c r="I108" t="s">
        <v>41</v>
      </c>
      <c r="J108" t="s">
        <v>35</v>
      </c>
    </row>
    <row r="109" spans="2:31">
      <c r="B109">
        <v>5</v>
      </c>
      <c r="C109">
        <v>60</v>
      </c>
      <c r="E109" t="s">
        <v>33</v>
      </c>
      <c r="F109" t="s">
        <v>35</v>
      </c>
      <c r="G109" t="s">
        <v>38</v>
      </c>
      <c r="H109" t="s">
        <v>35</v>
      </c>
      <c r="I109" t="s">
        <v>41</v>
      </c>
      <c r="J109" t="s">
        <v>35</v>
      </c>
    </row>
    <row r="110" spans="2:31">
      <c r="B110">
        <v>6</v>
      </c>
      <c r="C110">
        <v>0</v>
      </c>
      <c r="E110" t="s">
        <v>33</v>
      </c>
      <c r="F110" t="s">
        <v>35</v>
      </c>
      <c r="G110" t="s">
        <v>38</v>
      </c>
      <c r="H110" t="s">
        <v>35</v>
      </c>
      <c r="I110" t="s">
        <v>41</v>
      </c>
      <c r="J110" t="s">
        <v>35</v>
      </c>
    </row>
    <row r="111" spans="2:31">
      <c r="B111">
        <v>6</v>
      </c>
      <c r="C111">
        <v>4</v>
      </c>
      <c r="E111" t="s">
        <v>33</v>
      </c>
      <c r="F111" t="s">
        <v>35</v>
      </c>
      <c r="G111" t="s">
        <v>38</v>
      </c>
      <c r="H111" t="s">
        <v>35</v>
      </c>
      <c r="I111" t="s">
        <v>41</v>
      </c>
      <c r="J111" t="s">
        <v>35</v>
      </c>
    </row>
    <row r="112" spans="2:31">
      <c r="B112">
        <v>6</v>
      </c>
      <c r="C112">
        <v>8</v>
      </c>
      <c r="E112" t="s">
        <v>33</v>
      </c>
      <c r="F112" t="s">
        <v>35</v>
      </c>
      <c r="G112" t="s">
        <v>38</v>
      </c>
      <c r="H112" t="s">
        <v>35</v>
      </c>
      <c r="I112" t="s">
        <v>41</v>
      </c>
      <c r="J112" t="s">
        <v>35</v>
      </c>
    </row>
    <row r="115" spans="3:31">
      <c r="Z115" s="184"/>
      <c r="AA115" s="184"/>
      <c r="AB115" s="184"/>
      <c r="AC115" s="184"/>
      <c r="AD115" s="184"/>
      <c r="AE115" s="184"/>
    </row>
    <row r="116" spans="3:31" ht="24">
      <c r="C116" s="156" t="s">
        <v>698</v>
      </c>
      <c r="Z116" s="184"/>
      <c r="AA116" s="184"/>
      <c r="AB116" s="184"/>
      <c r="AC116" s="184"/>
      <c r="AD116" s="184"/>
      <c r="AE116" s="184"/>
    </row>
    <row r="117" spans="3:31">
      <c r="Z117" s="184"/>
      <c r="AA117" s="184"/>
      <c r="AB117" s="184"/>
      <c r="AC117" s="184"/>
      <c r="AD117" s="184"/>
      <c r="AE117" s="184"/>
    </row>
    <row r="118" spans="3:31">
      <c r="E118" t="s">
        <v>695</v>
      </c>
    </row>
    <row r="120" spans="3:31">
      <c r="E120" s="184" t="s">
        <v>629</v>
      </c>
      <c r="F120" t="s">
        <v>33</v>
      </c>
      <c r="G120">
        <f>((COUNTIF(E30:E77,"A")+COUNTIF(E84:E112,"A"))*4)/60</f>
        <v>5.0666666666666664</v>
      </c>
    </row>
    <row r="121" spans="3:31">
      <c r="E121" s="184"/>
      <c r="F121" t="s">
        <v>38</v>
      </c>
      <c r="G121">
        <f>(COUNTIF(G30:G77,"C")+COUNTIF(G84:G112,"C"))*4/60</f>
        <v>5.0666666666666664</v>
      </c>
    </row>
    <row r="122" spans="3:31">
      <c r="E122" s="184"/>
      <c r="F122" t="s">
        <v>41</v>
      </c>
      <c r="G122">
        <f>(COUNTIF(I30:I77,"D")+COUNTIF(I84:I112,"D"))*4/60</f>
        <v>5.0666666666666664</v>
      </c>
    </row>
    <row r="123" spans="3:31">
      <c r="E123" t="s">
        <v>498</v>
      </c>
      <c r="F123" t="s">
        <v>35</v>
      </c>
      <c r="G123">
        <f>((COUNTIF(F30:F77,"B")+COUNTIF(F84:F112,"B"))*4/60)/2</f>
        <v>2.5666666666666669</v>
      </c>
      <c r="H123" s="23"/>
    </row>
    <row r="124" spans="3:31">
      <c r="E124" t="s">
        <v>694</v>
      </c>
      <c r="F124" t="s">
        <v>696</v>
      </c>
      <c r="G124" s="23">
        <f>(COUNT(C78:C83)*4)/60</f>
        <v>0.4</v>
      </c>
      <c r="H124" s="23"/>
    </row>
    <row r="125" spans="3:31">
      <c r="E125" t="s">
        <v>697</v>
      </c>
      <c r="G125">
        <f>COUNT(C30:C112)*4/60</f>
        <v>5.5333333333333332</v>
      </c>
    </row>
    <row r="127" spans="3:31">
      <c r="D127" t="s">
        <v>493</v>
      </c>
      <c r="G127" s="39"/>
    </row>
    <row r="128" spans="3:31">
      <c r="E128" s="184" t="s">
        <v>629</v>
      </c>
      <c r="F128" t="s">
        <v>33</v>
      </c>
      <c r="G128" s="100">
        <f>(G120/$G$125)</f>
        <v>0.91566265060240959</v>
      </c>
      <c r="H128" s="39"/>
    </row>
    <row r="129" spans="5:25">
      <c r="E129" s="184"/>
      <c r="F129" t="s">
        <v>38</v>
      </c>
      <c r="G129" s="100">
        <f>(G121/$G$125)</f>
        <v>0.91566265060240959</v>
      </c>
      <c r="H129" s="39"/>
    </row>
    <row r="130" spans="5:25">
      <c r="E130" s="184"/>
      <c r="F130" t="s">
        <v>41</v>
      </c>
      <c r="G130" s="100">
        <f>(G122/$G$125)</f>
        <v>0.91566265060240959</v>
      </c>
      <c r="H130" s="39"/>
    </row>
    <row r="131" spans="5:25">
      <c r="E131" t="s">
        <v>498</v>
      </c>
      <c r="F131" t="s">
        <v>35</v>
      </c>
      <c r="G131" s="100">
        <f>(G123/$G$125)</f>
        <v>0.46385542168674704</v>
      </c>
      <c r="T131" s="126"/>
      <c r="U131" s="126"/>
      <c r="V131" s="126"/>
      <c r="W131" s="126"/>
      <c r="X131" s="126"/>
      <c r="Y131" s="126"/>
    </row>
    <row r="132" spans="5:25">
      <c r="E132" t="s">
        <v>694</v>
      </c>
      <c r="F132" t="s">
        <v>696</v>
      </c>
      <c r="G132" s="100">
        <f>(G124/$G$125)</f>
        <v>7.2289156626506035E-2</v>
      </c>
      <c r="T132" s="126"/>
      <c r="U132" s="126"/>
      <c r="V132" s="126"/>
      <c r="W132" s="126"/>
      <c r="X132" s="126"/>
      <c r="Y132" s="126"/>
    </row>
    <row r="133" spans="5:25">
      <c r="T133" s="126"/>
      <c r="U133" s="126"/>
      <c r="V133" s="126"/>
      <c r="W133" s="126"/>
      <c r="X133" s="126"/>
      <c r="Y133" s="126"/>
    </row>
    <row r="134" spans="5:25">
      <c r="G134" s="39"/>
      <c r="H134" s="39"/>
    </row>
    <row r="139" spans="5:25">
      <c r="T139" s="184"/>
      <c r="U139" s="184"/>
      <c r="V139" s="184"/>
      <c r="W139" s="184"/>
      <c r="X139" s="184"/>
      <c r="Y139" s="184"/>
    </row>
    <row r="140" spans="5:25">
      <c r="T140" s="184"/>
      <c r="U140" s="184"/>
      <c r="V140" s="184"/>
      <c r="W140" s="184"/>
      <c r="X140" s="184"/>
      <c r="Y140" s="184"/>
    </row>
    <row r="141" spans="5:25">
      <c r="T141" s="184"/>
      <c r="U141" s="184"/>
      <c r="V141" s="184"/>
      <c r="W141" s="184"/>
      <c r="X141" s="184"/>
      <c r="Y141" s="184"/>
    </row>
    <row r="142" spans="5:25">
      <c r="T142" s="184"/>
      <c r="U142" s="184"/>
      <c r="V142" s="184"/>
      <c r="W142" s="184"/>
      <c r="X142" s="184"/>
      <c r="Y142" s="184"/>
    </row>
  </sheetData>
  <mergeCells count="9">
    <mergeCell ref="E120:E122"/>
    <mergeCell ref="E128:E130"/>
    <mergeCell ref="Z115:AE117"/>
    <mergeCell ref="T139:Y142"/>
    <mergeCell ref="Z51:AE53"/>
    <mergeCell ref="Z67:AE69"/>
    <mergeCell ref="Z83:AE85"/>
    <mergeCell ref="Z99:AE101"/>
    <mergeCell ref="E78:J83"/>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6F5DD-E1E3-2442-89D8-E199396A4DE9}">
  <dimension ref="B1:Q13"/>
  <sheetViews>
    <sheetView workbookViewId="0">
      <selection activeCell="E5" sqref="E5"/>
    </sheetView>
  </sheetViews>
  <sheetFormatPr baseColWidth="10" defaultRowHeight="15"/>
  <cols>
    <col min="2" max="2" width="12.1640625" customWidth="1"/>
    <col min="3" max="3" width="30.5" customWidth="1"/>
    <col min="4" max="4" width="32.5" customWidth="1"/>
    <col min="6" max="6" width="11.33203125" bestFit="1" customWidth="1"/>
    <col min="7" max="7" width="43.33203125" customWidth="1"/>
    <col min="8" max="8" width="34.83203125" customWidth="1"/>
    <col min="9" max="9" width="25.33203125" customWidth="1"/>
    <col min="16" max="16" width="60.6640625" customWidth="1"/>
  </cols>
  <sheetData>
    <row r="1" spans="2:17" ht="17">
      <c r="P1" s="128"/>
      <c r="Q1" s="128"/>
    </row>
    <row r="2" spans="2:17" ht="17">
      <c r="P2" s="128"/>
      <c r="Q2" s="128"/>
    </row>
    <row r="3" spans="2:17" ht="17">
      <c r="B3" s="129" t="s">
        <v>637</v>
      </c>
      <c r="C3" s="129" t="s">
        <v>638</v>
      </c>
      <c r="D3" s="129" t="s">
        <v>639</v>
      </c>
      <c r="F3" s="132" t="s">
        <v>659</v>
      </c>
      <c r="G3" s="133" t="s">
        <v>660</v>
      </c>
      <c r="H3" s="133" t="s">
        <v>661</v>
      </c>
      <c r="I3" s="132" t="s">
        <v>683</v>
      </c>
      <c r="P3" s="128"/>
      <c r="Q3" s="128"/>
    </row>
    <row r="4" spans="2:17" ht="80">
      <c r="B4" s="130">
        <v>1</v>
      </c>
      <c r="C4" s="131" t="s">
        <v>640</v>
      </c>
      <c r="D4" s="131" t="s">
        <v>643</v>
      </c>
      <c r="F4" s="134">
        <v>1</v>
      </c>
      <c r="G4" s="135" t="s">
        <v>662</v>
      </c>
      <c r="H4" s="135" t="s">
        <v>663</v>
      </c>
      <c r="I4" s="135" t="s">
        <v>684</v>
      </c>
      <c r="P4" s="128"/>
      <c r="Q4" s="128"/>
    </row>
    <row r="5" spans="2:17" ht="128">
      <c r="B5" s="130">
        <v>2</v>
      </c>
      <c r="C5" s="131" t="s">
        <v>641</v>
      </c>
      <c r="D5" s="131" t="s">
        <v>642</v>
      </c>
      <c r="F5" s="134">
        <v>2</v>
      </c>
      <c r="G5" s="135" t="s">
        <v>664</v>
      </c>
      <c r="H5" s="135" t="s">
        <v>665</v>
      </c>
      <c r="I5" s="135" t="s">
        <v>685</v>
      </c>
      <c r="P5" s="128"/>
      <c r="Q5" s="128"/>
    </row>
    <row r="6" spans="2:17" ht="80">
      <c r="B6" s="130">
        <v>3</v>
      </c>
      <c r="C6" s="131" t="s">
        <v>644</v>
      </c>
      <c r="D6" s="131" t="s">
        <v>645</v>
      </c>
      <c r="F6" s="135">
        <v>3</v>
      </c>
      <c r="G6" s="135" t="s">
        <v>666</v>
      </c>
      <c r="H6" s="135" t="s">
        <v>667</v>
      </c>
      <c r="I6" s="135" t="s">
        <v>686</v>
      </c>
      <c r="P6" s="128"/>
      <c r="Q6" s="128"/>
    </row>
    <row r="7" spans="2:17" ht="48">
      <c r="B7" s="130">
        <v>4</v>
      </c>
      <c r="C7" s="131" t="s">
        <v>646</v>
      </c>
      <c r="D7" s="131" t="s">
        <v>647</v>
      </c>
      <c r="F7" s="135">
        <v>4</v>
      </c>
      <c r="G7" s="135" t="s">
        <v>668</v>
      </c>
      <c r="H7" s="135" t="s">
        <v>669</v>
      </c>
      <c r="I7" s="135" t="s">
        <v>687</v>
      </c>
      <c r="P7" s="128"/>
      <c r="Q7" s="128"/>
    </row>
    <row r="8" spans="2:17" ht="64">
      <c r="B8" s="130">
        <v>5</v>
      </c>
      <c r="C8" s="131" t="s">
        <v>648</v>
      </c>
      <c r="D8" s="131" t="s">
        <v>649</v>
      </c>
      <c r="F8" s="135">
        <v>5</v>
      </c>
      <c r="G8" s="135" t="s">
        <v>670</v>
      </c>
      <c r="H8" s="135" t="s">
        <v>671</v>
      </c>
      <c r="I8" s="135" t="s">
        <v>688</v>
      </c>
      <c r="P8" s="128"/>
      <c r="Q8" s="128"/>
    </row>
    <row r="9" spans="2:17" ht="64">
      <c r="B9" s="130">
        <v>6</v>
      </c>
      <c r="C9" s="131" t="s">
        <v>650</v>
      </c>
      <c r="D9" s="131" t="s">
        <v>651</v>
      </c>
      <c r="F9" s="135">
        <v>6</v>
      </c>
      <c r="G9" s="135" t="s">
        <v>672</v>
      </c>
      <c r="H9" s="135" t="s">
        <v>673</v>
      </c>
      <c r="I9" s="135" t="s">
        <v>689</v>
      </c>
    </row>
    <row r="10" spans="2:17" ht="80">
      <c r="B10" s="130">
        <v>7</v>
      </c>
      <c r="C10" s="131" t="s">
        <v>652</v>
      </c>
      <c r="D10" s="131" t="s">
        <v>653</v>
      </c>
      <c r="F10" s="135">
        <v>7</v>
      </c>
      <c r="G10" s="135" t="s">
        <v>674</v>
      </c>
      <c r="H10" s="135" t="s">
        <v>675</v>
      </c>
      <c r="I10" s="135" t="s">
        <v>690</v>
      </c>
    </row>
    <row r="11" spans="2:17" ht="64">
      <c r="B11" s="130">
        <v>8</v>
      </c>
      <c r="C11" s="131" t="s">
        <v>654</v>
      </c>
      <c r="D11" s="131" t="s">
        <v>655</v>
      </c>
      <c r="F11" s="135">
        <v>8</v>
      </c>
      <c r="G11" s="135" t="s">
        <v>676</v>
      </c>
      <c r="H11" s="135" t="s">
        <v>677</v>
      </c>
      <c r="I11" s="135" t="s">
        <v>691</v>
      </c>
    </row>
    <row r="12" spans="2:17" ht="64">
      <c r="B12" s="130">
        <v>9</v>
      </c>
      <c r="C12" s="131" t="s">
        <v>656</v>
      </c>
      <c r="D12" s="131" t="s">
        <v>657</v>
      </c>
      <c r="F12" s="135">
        <v>9</v>
      </c>
      <c r="G12" s="135" t="s">
        <v>678</v>
      </c>
      <c r="H12" s="135" t="s">
        <v>679</v>
      </c>
      <c r="I12" s="135" t="s">
        <v>692</v>
      </c>
    </row>
    <row r="13" spans="2:17" ht="64">
      <c r="B13" s="130">
        <v>10</v>
      </c>
      <c r="C13" s="131" t="s">
        <v>680</v>
      </c>
      <c r="D13" s="131" t="s">
        <v>658</v>
      </c>
      <c r="F13" s="135">
        <v>10</v>
      </c>
      <c r="G13" s="135" t="s">
        <v>681</v>
      </c>
      <c r="H13" s="135" t="s">
        <v>682</v>
      </c>
      <c r="I13" s="135" t="s">
        <v>693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8D0FE9831F2844BF674F866E2DC3D6" ma:contentTypeVersion="2" ma:contentTypeDescription="Create a new document." ma:contentTypeScope="" ma:versionID="1bd72696de4cdf0fd08b08233942a57d">
  <xsd:schema xmlns:xsd="http://www.w3.org/2001/XMLSchema" xmlns:xs="http://www.w3.org/2001/XMLSchema" xmlns:p="http://schemas.microsoft.com/office/2006/metadata/properties" xmlns:ns2="845aca13-3aaa-42bc-9ff9-889fa8bbf67e" targetNamespace="http://schemas.microsoft.com/office/2006/metadata/properties" ma:root="true" ma:fieldsID="2092aef82cb1e6af865f6f1de0131d3a" ns2:_="">
    <xsd:import namespace="845aca13-3aaa-42bc-9ff9-889fa8bbf67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5aca13-3aaa-42bc-9ff9-889fa8bbf6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13106B-C8CE-4A9E-8945-71A146D78F6E}">
  <ds:schemaRefs>
    <ds:schemaRef ds:uri="http://schemas.microsoft.com/sharepoint/v3/contenttype/forms"/>
  </ds:schemaRefs>
</ds:datastoreItem>
</file>

<file path=customXml/itemProps2.xml><?xml version="1.0" encoding="utf-8"?>
<ds:datastoreItem xmlns:ds="http://schemas.openxmlformats.org/officeDocument/2006/customXml" ds:itemID="{DFBDCCE3-A286-4692-83F6-D78CAB86968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538AF20-116A-488B-BAC2-E4E21C7887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5aca13-3aaa-42bc-9ff9-889fa8bbf6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ReadMeFirst</vt:lpstr>
      <vt:lpstr>Components</vt:lpstr>
      <vt:lpstr>A Picking</vt:lpstr>
      <vt:lpstr>A P&amp;L</vt:lpstr>
      <vt:lpstr>A Assembly</vt:lpstr>
      <vt:lpstr>A Employees</vt:lpstr>
      <vt:lpstr>A WholeSale</vt:lpstr>
      <vt:lpstr>A Schedule</vt:lpstr>
      <vt:lpstr>A DayProdn</vt:lpstr>
      <vt:lpstr>A VerAvgProdn</vt:lpstr>
      <vt:lpstr>A POs</vt:lpstr>
      <vt:lpstr>T Picking</vt:lpstr>
      <vt:lpstr>T P&amp;L</vt:lpstr>
      <vt:lpstr>To-Be Sunny day P&amp;L</vt:lpstr>
      <vt:lpstr>To-Be Rainy day P&amp;L</vt:lpstr>
      <vt:lpstr>T Assembly</vt:lpstr>
      <vt:lpstr>T Schedule</vt:lpstr>
      <vt:lpstr>Rationale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INFO8440 Phase 3 As-Is</dc:title>
  <dc:subject/>
  <dc:creator>bnixon</dc:creator>
  <cp:keywords/>
  <dc:description/>
  <cp:lastModifiedBy>Mayurkumar Bharatbhai Rafaliya</cp:lastModifiedBy>
  <cp:revision/>
  <dcterms:created xsi:type="dcterms:W3CDTF">2021-04-07T10:18:54Z</dcterms:created>
  <dcterms:modified xsi:type="dcterms:W3CDTF">2022-04-02T01:48:30Z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0x0101000C8D0FE9831F2844BF674F866E2DC3D6</vt:lpwstr>
  </property>
</Properties>
</file>