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space\AR0820\trunk\src\OtpmDrv\doc\"/>
    </mc:Choice>
  </mc:AlternateContent>
  <bookViews>
    <workbookView xWindow="0" yWindow="0" windowWidth="15300" windowHeight="7680" activeTab="1"/>
  </bookViews>
  <sheets>
    <sheet name="Timing" sheetId="3" r:id="rId1"/>
    <sheet name="AnalysisLatest" sheetId="5" r:id="rId2"/>
    <sheet name="Analysi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F17" i="5"/>
  <c r="F16" i="5"/>
  <c r="F15" i="5"/>
  <c r="F14" i="5"/>
  <c r="H18" i="5"/>
  <c r="G18" i="5"/>
  <c r="G17" i="5"/>
  <c r="G16" i="5"/>
  <c r="G15" i="5"/>
  <c r="G14" i="5"/>
  <c r="H14" i="5"/>
  <c r="K13" i="5"/>
  <c r="K14" i="5"/>
  <c r="K15" i="5"/>
  <c r="K16" i="5"/>
  <c r="K17" i="5"/>
  <c r="K18" i="5"/>
  <c r="K19" i="5"/>
  <c r="K20" i="5"/>
  <c r="K21" i="5"/>
  <c r="K22" i="5"/>
  <c r="K23" i="5"/>
  <c r="K12" i="5"/>
  <c r="I18" i="5"/>
  <c r="I17" i="5"/>
  <c r="H17" i="5"/>
  <c r="I16" i="5"/>
  <c r="H16" i="5"/>
  <c r="I15" i="5"/>
  <c r="H15" i="5"/>
  <c r="I14" i="5"/>
  <c r="I17" i="4" l="1"/>
  <c r="I16" i="4"/>
  <c r="I15" i="4"/>
  <c r="I14" i="4"/>
  <c r="I13" i="4"/>
  <c r="J17" i="4"/>
  <c r="J16" i="4"/>
  <c r="J15" i="4"/>
  <c r="H14" i="4"/>
  <c r="J13" i="4"/>
  <c r="J14" i="4"/>
  <c r="H13" i="4"/>
  <c r="H15" i="4"/>
  <c r="H16" i="4"/>
  <c r="H17" i="4"/>
  <c r="B25" i="3" l="1"/>
  <c r="B82" i="3"/>
  <c r="B83" i="3"/>
  <c r="B84" i="3"/>
  <c r="B85" i="3"/>
  <c r="B86" i="3"/>
  <c r="B87" i="3"/>
  <c r="B88" i="3"/>
  <c r="C88" i="3" s="1"/>
  <c r="B89" i="3"/>
  <c r="B90" i="3"/>
  <c r="B91" i="3"/>
  <c r="B81" i="3"/>
  <c r="B68" i="3"/>
  <c r="B69" i="3"/>
  <c r="B70" i="3"/>
  <c r="B71" i="3"/>
  <c r="B72" i="3"/>
  <c r="B73" i="3"/>
  <c r="B74" i="3"/>
  <c r="B75" i="3"/>
  <c r="B76" i="3"/>
  <c r="B77" i="3"/>
  <c r="B67" i="3"/>
  <c r="C91" i="3"/>
  <c r="C90" i="3"/>
  <c r="C86" i="3"/>
  <c r="C84" i="3"/>
  <c r="C83" i="3"/>
  <c r="C82" i="3"/>
  <c r="E79" i="3"/>
  <c r="C79" i="3"/>
  <c r="C71" i="3"/>
  <c r="C70" i="3"/>
  <c r="E65" i="3"/>
  <c r="D65" i="3"/>
  <c r="C65" i="3"/>
  <c r="B54" i="3"/>
  <c r="B55" i="3"/>
  <c r="B56" i="3"/>
  <c r="B57" i="3"/>
  <c r="B58" i="3"/>
  <c r="B59" i="3"/>
  <c r="B60" i="3"/>
  <c r="C60" i="3" s="1"/>
  <c r="B61" i="3"/>
  <c r="B62" i="3"/>
  <c r="B63" i="3"/>
  <c r="B53" i="3"/>
  <c r="C63" i="3"/>
  <c r="C62" i="3"/>
  <c r="C58" i="3"/>
  <c r="C56" i="3"/>
  <c r="C55" i="3"/>
  <c r="C54" i="3"/>
  <c r="C53" i="3"/>
  <c r="E51" i="3"/>
  <c r="D51" i="3"/>
  <c r="C51" i="3"/>
  <c r="B40" i="3"/>
  <c r="B41" i="3"/>
  <c r="B42" i="3"/>
  <c r="C42" i="3" s="1"/>
  <c r="B43" i="3"/>
  <c r="B44" i="3"/>
  <c r="B45" i="3"/>
  <c r="C45" i="3" s="1"/>
  <c r="B46" i="3"/>
  <c r="B47" i="3"/>
  <c r="B48" i="3"/>
  <c r="B49" i="3"/>
  <c r="B39" i="3"/>
  <c r="C49" i="3"/>
  <c r="C48" i="3"/>
  <c r="C43" i="3"/>
  <c r="C41" i="3"/>
  <c r="C40" i="3"/>
  <c r="C39" i="3"/>
  <c r="E37" i="3"/>
  <c r="D37" i="3"/>
  <c r="C37" i="3"/>
  <c r="C19" i="3"/>
  <c r="D25" i="3" s="1"/>
  <c r="C28" i="3"/>
  <c r="C29" i="3"/>
  <c r="C30" i="3"/>
  <c r="C25" i="3"/>
  <c r="B26" i="3"/>
  <c r="C26" i="3" s="1"/>
  <c r="B27" i="3"/>
  <c r="C27" i="3" s="1"/>
  <c r="B28" i="3"/>
  <c r="B29" i="3"/>
  <c r="B30" i="3"/>
  <c r="B31" i="3"/>
  <c r="C31" i="3" s="1"/>
  <c r="B32" i="3"/>
  <c r="C32" i="3" s="1"/>
  <c r="B33" i="3"/>
  <c r="C33" i="3" s="1"/>
  <c r="B34" i="3"/>
  <c r="C34" i="3" s="1"/>
  <c r="B35" i="3"/>
  <c r="C35" i="3" s="1"/>
  <c r="K7" i="3"/>
  <c r="B5" i="3"/>
  <c r="L85" i="3"/>
  <c r="L38" i="3"/>
  <c r="E23" i="3"/>
  <c r="C23" i="3"/>
  <c r="C18" i="3"/>
  <c r="C17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F3" i="3"/>
  <c r="E3" i="3"/>
  <c r="D3" i="3"/>
  <c r="C3" i="3"/>
  <c r="B3" i="3"/>
  <c r="D71" i="3" l="1"/>
  <c r="D44" i="3"/>
  <c r="D72" i="3"/>
  <c r="D90" i="3"/>
  <c r="D41" i="3"/>
  <c r="D49" i="3"/>
  <c r="D53" i="3"/>
  <c r="D58" i="3"/>
  <c r="D61" i="3"/>
  <c r="D73" i="3"/>
  <c r="D83" i="3"/>
  <c r="D89" i="3"/>
  <c r="D42" i="3"/>
  <c r="D76" i="3"/>
  <c r="D91" i="3"/>
  <c r="D54" i="3"/>
  <c r="D62" i="3"/>
  <c r="D59" i="3"/>
  <c r="D84" i="3"/>
  <c r="D67" i="3"/>
  <c r="D87" i="3"/>
  <c r="D43" i="3"/>
  <c r="D77" i="3"/>
  <c r="D69" i="3"/>
  <c r="D39" i="3"/>
  <c r="D45" i="3"/>
  <c r="D47" i="3"/>
  <c r="D55" i="3"/>
  <c r="D63" i="3"/>
  <c r="D57" i="3"/>
  <c r="D70" i="3"/>
  <c r="D86" i="3"/>
  <c r="D68" i="3"/>
  <c r="D85" i="3"/>
  <c r="D46" i="3"/>
  <c r="D82" i="3"/>
  <c r="D88" i="3"/>
  <c r="D75" i="3"/>
  <c r="D81" i="3"/>
  <c r="D40" i="3"/>
  <c r="D48" i="3"/>
  <c r="D56" i="3"/>
  <c r="D74" i="3"/>
  <c r="C89" i="3"/>
  <c r="C85" i="3"/>
  <c r="C87" i="3"/>
  <c r="C81" i="3"/>
  <c r="C74" i="3"/>
  <c r="C75" i="3"/>
  <c r="D79" i="3" s="1"/>
  <c r="C67" i="3"/>
  <c r="C69" i="3"/>
  <c r="C73" i="3"/>
  <c r="C68" i="3"/>
  <c r="C72" i="3"/>
  <c r="C76" i="3"/>
  <c r="C77" i="3"/>
  <c r="C59" i="3"/>
  <c r="C57" i="3"/>
  <c r="D60" i="3"/>
  <c r="C61" i="3"/>
  <c r="C46" i="3"/>
  <c r="C44" i="3"/>
  <c r="C47" i="3"/>
  <c r="D23" i="3"/>
  <c r="D26" i="3"/>
  <c r="D19" i="3"/>
  <c r="D28" i="3"/>
  <c r="D35" i="3"/>
  <c r="D31" i="3"/>
  <c r="D30" i="3"/>
  <c r="D29" i="3"/>
  <c r="D27" i="3"/>
  <c r="D33" i="3"/>
  <c r="D32" i="3"/>
  <c r="D34" i="3"/>
  <c r="B21" i="3" l="1"/>
  <c r="E88" i="3" s="1"/>
  <c r="F88" i="3" s="1"/>
  <c r="G88" i="3" s="1"/>
  <c r="E49" i="3" l="1"/>
  <c r="F49" i="3" s="1"/>
  <c r="G49" i="3" s="1"/>
  <c r="E40" i="3"/>
  <c r="F40" i="3" s="1"/>
  <c r="G40" i="3" s="1"/>
  <c r="E60" i="3"/>
  <c r="F60" i="3" s="1"/>
  <c r="G60" i="3" s="1"/>
  <c r="E86" i="3"/>
  <c r="F86" i="3" s="1"/>
  <c r="G86" i="3" s="1"/>
  <c r="E56" i="3"/>
  <c r="F56" i="3" s="1"/>
  <c r="G56" i="3" s="1"/>
  <c r="E89" i="3"/>
  <c r="F89" i="3" s="1"/>
  <c r="G89" i="3" s="1"/>
  <c r="E35" i="3"/>
  <c r="F35" i="3" s="1"/>
  <c r="G35" i="3" s="1"/>
  <c r="E39" i="3"/>
  <c r="F39" i="3" s="1"/>
  <c r="G39" i="3" s="1"/>
  <c r="E41" i="3"/>
  <c r="F41" i="3" s="1"/>
  <c r="G41" i="3" s="1"/>
  <c r="E57" i="3"/>
  <c r="F57" i="3" s="1"/>
  <c r="G57" i="3" s="1"/>
  <c r="E73" i="3"/>
  <c r="F73" i="3" s="1"/>
  <c r="G73" i="3" s="1"/>
  <c r="E69" i="3"/>
  <c r="F69" i="3" s="1"/>
  <c r="G69" i="3" s="1"/>
  <c r="E25" i="3"/>
  <c r="F25" i="3" s="1"/>
  <c r="G25" i="3" s="1"/>
  <c r="E44" i="3"/>
  <c r="F44" i="3" s="1"/>
  <c r="G44" i="3" s="1"/>
  <c r="E42" i="3"/>
  <c r="F42" i="3" s="1"/>
  <c r="G42" i="3" s="1"/>
  <c r="E58" i="3"/>
  <c r="F58" i="3" s="1"/>
  <c r="G58" i="3" s="1"/>
  <c r="E74" i="3"/>
  <c r="F74" i="3" s="1"/>
  <c r="G74" i="3" s="1"/>
  <c r="E90" i="3"/>
  <c r="F90" i="3" s="1"/>
  <c r="G90" i="3" s="1"/>
  <c r="E33" i="3"/>
  <c r="F33" i="3" s="1"/>
  <c r="G33" i="3" s="1"/>
  <c r="E28" i="3"/>
  <c r="F28" i="3" s="1"/>
  <c r="G28" i="3" s="1"/>
  <c r="E67" i="3"/>
  <c r="F67" i="3" s="1"/>
  <c r="G67" i="3" s="1"/>
  <c r="E59" i="3"/>
  <c r="F59" i="3" s="1"/>
  <c r="G59" i="3" s="1"/>
  <c r="E75" i="3"/>
  <c r="F75" i="3" s="1"/>
  <c r="G75" i="3" s="1"/>
  <c r="E91" i="3"/>
  <c r="F91" i="3" s="1"/>
  <c r="G91" i="3" s="1"/>
  <c r="E82" i="3"/>
  <c r="F82" i="3" s="1"/>
  <c r="G82" i="3" s="1"/>
  <c r="E29" i="3"/>
  <c r="F29" i="3" s="1"/>
  <c r="G29" i="3" s="1"/>
  <c r="E45" i="3"/>
  <c r="F45" i="3" s="1"/>
  <c r="G45" i="3" s="1"/>
  <c r="E87" i="3"/>
  <c r="F87" i="3" s="1"/>
  <c r="G87" i="3" s="1"/>
  <c r="E76" i="3"/>
  <c r="F76" i="3" s="1"/>
  <c r="G76" i="3" s="1"/>
  <c r="E81" i="3"/>
  <c r="F81" i="3" s="1"/>
  <c r="G81" i="3" s="1"/>
  <c r="E83" i="3"/>
  <c r="F83" i="3" s="1"/>
  <c r="G83" i="3" s="1"/>
  <c r="E27" i="3"/>
  <c r="F27" i="3" s="1"/>
  <c r="G27" i="3" s="1"/>
  <c r="E46" i="3"/>
  <c r="F46" i="3" s="1"/>
  <c r="G46" i="3" s="1"/>
  <c r="E62" i="3"/>
  <c r="F62" i="3" s="1"/>
  <c r="G62" i="3" s="1"/>
  <c r="E26" i="3"/>
  <c r="F26" i="3" s="1"/>
  <c r="G26" i="3" s="1"/>
  <c r="E68" i="3"/>
  <c r="F68" i="3" s="1"/>
  <c r="G68" i="3" s="1"/>
  <c r="E84" i="3"/>
  <c r="F84" i="3" s="1"/>
  <c r="G84" i="3" s="1"/>
  <c r="E30" i="3"/>
  <c r="F30" i="3" s="1"/>
  <c r="G30" i="3" s="1"/>
  <c r="E61" i="3"/>
  <c r="F61" i="3" s="1"/>
  <c r="G61" i="3" s="1"/>
  <c r="E63" i="3"/>
  <c r="F63" i="3" s="1"/>
  <c r="G63" i="3" s="1"/>
  <c r="E54" i="3"/>
  <c r="F54" i="3" s="1"/>
  <c r="G54" i="3" s="1"/>
  <c r="E43" i="3"/>
  <c r="F43" i="3" s="1"/>
  <c r="G43" i="3" s="1"/>
  <c r="E85" i="3"/>
  <c r="F85" i="3" s="1"/>
  <c r="G85" i="3" s="1"/>
  <c r="E31" i="3"/>
  <c r="F31" i="3" s="1"/>
  <c r="G31" i="3" s="1"/>
  <c r="E47" i="3"/>
  <c r="F47" i="3" s="1"/>
  <c r="G47" i="3" s="1"/>
  <c r="E70" i="3"/>
  <c r="F70" i="3" s="1"/>
  <c r="G70" i="3" s="1"/>
  <c r="E55" i="3"/>
  <c r="F55" i="3" s="1"/>
  <c r="G55" i="3" s="1"/>
  <c r="E71" i="3"/>
  <c r="F71" i="3" s="1"/>
  <c r="G71" i="3" s="1"/>
  <c r="E77" i="3"/>
  <c r="F77" i="3" s="1"/>
  <c r="G77" i="3" s="1"/>
  <c r="E32" i="3"/>
  <c r="F32" i="3" s="1"/>
  <c r="G32" i="3" s="1"/>
  <c r="E48" i="3"/>
  <c r="F48" i="3" s="1"/>
  <c r="G48" i="3" s="1"/>
  <c r="E53" i="3"/>
  <c r="F53" i="3" s="1"/>
  <c r="G53" i="3" s="1"/>
  <c r="E34" i="3"/>
  <c r="F34" i="3" s="1"/>
  <c r="G34" i="3" s="1"/>
  <c r="E72" i="3"/>
  <c r="F72" i="3" s="1"/>
  <c r="G72" i="3" s="1"/>
</calcChain>
</file>

<file path=xl/sharedStrings.xml><?xml version="1.0" encoding="utf-8"?>
<sst xmlns="http://schemas.openxmlformats.org/spreadsheetml/2006/main" count="251" uniqueCount="106">
  <si>
    <t>Precision time</t>
  </si>
  <si>
    <t>Resolution clock</t>
  </si>
  <si>
    <t>Time (ns)</t>
  </si>
  <si>
    <t>Clock (MHz)</t>
  </si>
  <si>
    <t>Cycle Time (nS)</t>
  </si>
  <si>
    <t>Clock Cycles</t>
  </si>
  <si>
    <t>Result shift</t>
  </si>
  <si>
    <t>Clock (Hz)</t>
  </si>
  <si>
    <t>Fraction bits</t>
  </si>
  <si>
    <t>Reciprocal</t>
  </si>
  <si>
    <t>Address</t>
  </si>
  <si>
    <t>0x1f84</t>
  </si>
  <si>
    <t>0x1f88</t>
  </si>
  <si>
    <t>0x1f90</t>
  </si>
  <si>
    <t>0x1f94</t>
  </si>
  <si>
    <t>0x1f98</t>
  </si>
  <si>
    <t>0x1f8C</t>
  </si>
  <si>
    <t>0x1f9C</t>
  </si>
  <si>
    <t>0x1fA0</t>
  </si>
  <si>
    <t>0x1fA4</t>
  </si>
  <si>
    <t>0x1fA8</t>
  </si>
  <si>
    <t>0x1fAC</t>
  </si>
  <si>
    <t>Lo</t>
  </si>
  <si>
    <t>Hi</t>
  </si>
  <si>
    <t>otpm_core_mr_pgm_soak</t>
  </si>
  <si>
    <t>otpm_core_mr_pgm</t>
  </si>
  <si>
    <t>otpm_core_mr_read</t>
  </si>
  <si>
    <t>otpm_core_mra_pgm</t>
  </si>
  <si>
    <t>otpm_core_mra_pgm_soak</t>
  </si>
  <si>
    <t>otpm_core_mra_read</t>
  </si>
  <si>
    <t>otpm_core_mrb_pgm</t>
  </si>
  <si>
    <t>otpm_core_mrb_pgm_soak</t>
  </si>
  <si>
    <t>otpm_core_mrb_read</t>
  </si>
  <si>
    <t>otpm_core_tds</t>
  </si>
  <si>
    <t>otpm_core_tpp</t>
  </si>
  <si>
    <t>otpm_core_tpas</t>
  </si>
  <si>
    <t>otpm_core_tpr</t>
  </si>
  <si>
    <t>otpm_core_tpsr</t>
  </si>
  <si>
    <t>otpm_core_tspp</t>
  </si>
  <si>
    <t>otpm_core_tvpps</t>
  </si>
  <si>
    <t>Soak_count_max</t>
  </si>
  <si>
    <t>otpm_core_twr</t>
  </si>
  <si>
    <t>otpm_core_twp</t>
  </si>
  <si>
    <t>otpm_core_tras</t>
  </si>
  <si>
    <t>otpm_core_trr</t>
  </si>
  <si>
    <t>ON Semi Name</t>
  </si>
  <si>
    <t>Data Sheet Name</t>
  </si>
  <si>
    <t>MR (PMG-READ_1)</t>
  </si>
  <si>
    <t>MR (PMG-READ_2)</t>
  </si>
  <si>
    <t>MR (READ)</t>
  </si>
  <si>
    <t>MRA (PMG-READ_1)</t>
  </si>
  <si>
    <t>MRA (PMG-READ_2)</t>
  </si>
  <si>
    <t>MRA (READ)</t>
  </si>
  <si>
    <t>MRB (PMG-READ_1)</t>
  </si>
  <si>
    <t>MRB (PMG-READ_2)</t>
  </si>
  <si>
    <t>MRB (READ)</t>
  </si>
  <si>
    <t>0x0000</t>
  </si>
  <si>
    <t>0x1024</t>
  </si>
  <si>
    <t>0x08A4</t>
  </si>
  <si>
    <t>0x1200</t>
  </si>
  <si>
    <t>0x103E</t>
  </si>
  <si>
    <t>0x2034</t>
  </si>
  <si>
    <t>0x2000</t>
  </si>
  <si>
    <t>0x0210</t>
  </si>
  <si>
    <t>0.5 nS</t>
  </si>
  <si>
    <t>Data Setup time</t>
  </si>
  <si>
    <t>PROGRAM Address Setup time</t>
  </si>
  <si>
    <t>0.9 nS</t>
  </si>
  <si>
    <t>Charge Pump Warm-up time (when using Internal Charge Pump)</t>
  </si>
  <si>
    <t>10 uS</t>
  </si>
  <si>
    <t>PROGRAM Recovery time</t>
  </si>
  <si>
    <t>1 uS</t>
  </si>
  <si>
    <t>WRITE Recovery time</t>
  </si>
  <si>
    <t>1.5 nS</t>
  </si>
  <si>
    <t>WRITE Pulse width</t>
  </si>
  <si>
    <t>4.2 nS</t>
  </si>
  <si>
    <t>READ recovery time</t>
  </si>
  <si>
    <t>16.1 nS</t>
  </si>
  <si>
    <t>READ Address Setup time</t>
  </si>
  <si>
    <t>3.8 nS</t>
  </si>
  <si>
    <t>Power Supply Recovery time</t>
  </si>
  <si>
    <t>300 uS</t>
  </si>
  <si>
    <t>Program Pulse width</t>
  </si>
  <si>
    <t>200 uS</t>
  </si>
  <si>
    <t>Soak Pulse width</t>
  </si>
  <si>
    <t>600 uS</t>
  </si>
  <si>
    <t>From Data Sheet</t>
  </si>
  <si>
    <t>Read 156MHz (6.42 nS)
Clocks</t>
  </si>
  <si>
    <t>Program 50MHz (20nS)
Clocks</t>
  </si>
  <si>
    <t>RTL Values</t>
  </si>
  <si>
    <t>0x0124</t>
  </si>
  <si>
    <t>0x1220</t>
  </si>
  <si>
    <t>0x1008</t>
  </si>
  <si>
    <t>0</t>
  </si>
  <si>
    <t>Read 157MHz (6.37 nS)
Clocks</t>
  </si>
  <si>
    <t>Program 167MHz (7.37nS)
Clocks</t>
  </si>
  <si>
    <t>15</t>
  </si>
  <si>
    <t>0x08a4</t>
  </si>
  <si>
    <t>1</t>
  </si>
  <si>
    <t>F</t>
  </si>
  <si>
    <t>7AA8</t>
  </si>
  <si>
    <t>9D</t>
  </si>
  <si>
    <t>B7FC</t>
  </si>
  <si>
    <t>00016FF8</t>
  </si>
  <si>
    <t>RTL Values
(hex)</t>
  </si>
  <si>
    <t>RTL Values
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</si>
</sst>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applyNumberFormat="1"/>
    <xf numFmtId="2" fontId="0" fillId="0" borderId="0" xfId="0" applyNumberFormat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0" xfId="0" applyFont="1" applyFill="1"/>
    <xf numFmtId="11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1" fontId="0" fillId="0" borderId="0" xfId="0" applyNumberFormat="1" applyAlignment="1">
      <alignment horizontal="right" vertical="center"/>
    </xf>
    <xf numFmtId="49" fontId="3" fillId="0" borderId="0" xfId="0" applyNumberFormat="1" applyFont="1" applyAlignment="1">
      <alignment horizontal="right" vertical="center"/>
    </xf>
    <xf numFmtId="49" fontId="3" fillId="3" borderId="0" xfId="0" applyNumberFormat="1" applyFont="1" applyFill="1" applyAlignment="1">
      <alignment horizontal="right" vertical="center"/>
    </xf>
    <xf numFmtId="49" fontId="0" fillId="3" borderId="0" xfId="0" applyNumberFormat="1" applyFill="1" applyAlignment="1">
      <alignment horizontal="right" vertical="center"/>
    </xf>
    <xf numFmtId="1" fontId="0" fillId="3" borderId="0" xfId="0" applyNumberFormat="1" applyFill="1" applyAlignment="1">
      <alignment horizontal="right" vertical="center"/>
    </xf>
    <xf numFmtId="0" fontId="0" fillId="0" borderId="0" xfId="0" applyFill="1"/>
    <xf numFmtId="49" fontId="3" fillId="0" borderId="4" xfId="0" applyNumberFormat="1" applyFont="1" applyFill="1" applyBorder="1" applyAlignment="1">
      <alignment horizontal="right" vertical="center"/>
    </xf>
    <xf numFmtId="49" fontId="0" fillId="0" borderId="4" xfId="0" applyNumberFormat="1" applyFill="1" applyBorder="1" applyAlignment="1">
      <alignment horizontal="right" vertical="center"/>
    </xf>
    <xf numFmtId="1" fontId="0" fillId="0" borderId="4" xfId="0" applyNumberFormat="1" applyFill="1" applyBorder="1" applyAlignment="1">
      <alignment horizontal="right" vertical="center"/>
    </xf>
    <xf numFmtId="1" fontId="0" fillId="0" borderId="6" xfId="0" applyNumberFormat="1" applyFill="1" applyBorder="1" applyAlignment="1">
      <alignment horizontal="right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7" xfId="0" applyFont="1" applyBorder="1" applyAlignment="1">
      <alignment vertical="center"/>
    </xf>
    <xf numFmtId="49" fontId="0" fillId="0" borderId="7" xfId="0" applyNumberForma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A16" zoomScale="90" zoomScaleNormal="90" workbookViewId="0">
      <selection activeCell="E23" sqref="E23"/>
    </sheetView>
  </sheetViews>
  <sheetFormatPr defaultRowHeight="15" x14ac:dyDescent="0.25"/>
  <cols>
    <col min="1" max="1" width="17.28515625" customWidth="1"/>
    <col min="2" max="2" width="19.5703125" customWidth="1"/>
    <col min="3" max="3" width="21.5703125" customWidth="1"/>
    <col min="4" max="4" width="20" customWidth="1"/>
    <col min="5" max="5" width="25.28515625" customWidth="1"/>
    <col min="6" max="6" width="15.42578125" customWidth="1"/>
    <col min="7" max="8" width="16.42578125" customWidth="1"/>
    <col min="9" max="9" width="32.85546875" customWidth="1"/>
    <col min="10" max="10" width="65.7109375" customWidth="1"/>
    <col min="11" max="11" width="20.140625" customWidth="1"/>
    <col min="12" max="12" width="28.7109375" customWidth="1"/>
    <col min="14" max="14" width="15" customWidth="1"/>
  </cols>
  <sheetData>
    <row r="1" spans="1:11" x14ac:dyDescent="0.25">
      <c r="A1" s="15" t="s">
        <v>5</v>
      </c>
    </row>
    <row r="2" spans="1:11" x14ac:dyDescent="0.25">
      <c r="A2" t="s">
        <v>3</v>
      </c>
      <c r="B2">
        <v>156</v>
      </c>
      <c r="C2">
        <v>50</v>
      </c>
      <c r="D2">
        <v>39</v>
      </c>
      <c r="E2">
        <v>27</v>
      </c>
      <c r="F2">
        <v>6</v>
      </c>
    </row>
    <row r="3" spans="1:11" x14ac:dyDescent="0.25">
      <c r="A3" t="s">
        <v>4</v>
      </c>
      <c r="B3" s="1">
        <f>1000/B2</f>
        <v>6.4102564102564106</v>
      </c>
      <c r="C3" s="1">
        <f t="shared" ref="C3:F3" si="0">1000/C2</f>
        <v>20</v>
      </c>
      <c r="D3" s="1">
        <f t="shared" si="0"/>
        <v>25.641025641025642</v>
      </c>
      <c r="E3" s="1">
        <f t="shared" si="0"/>
        <v>37.037037037037038</v>
      </c>
      <c r="F3" s="1">
        <f t="shared" si="0"/>
        <v>166.66666666666666</v>
      </c>
    </row>
    <row r="4" spans="1:11" ht="15.75" thickBot="1" x14ac:dyDescent="0.3">
      <c r="A4" t="s">
        <v>2</v>
      </c>
    </row>
    <row r="5" spans="1:11" x14ac:dyDescent="0.25">
      <c r="A5">
        <v>600000</v>
      </c>
      <c r="B5" s="6">
        <f>$A5*0.000000001*B$2*1000000</f>
        <v>93600</v>
      </c>
      <c r="C5" s="7">
        <f t="shared" ref="C5:F15" si="1">$A5*C$2/1000</f>
        <v>30000</v>
      </c>
      <c r="D5" s="7">
        <f t="shared" si="1"/>
        <v>23400</v>
      </c>
      <c r="E5" s="7">
        <f t="shared" si="1"/>
        <v>16200</v>
      </c>
      <c r="F5" s="8">
        <f t="shared" si="1"/>
        <v>3600</v>
      </c>
    </row>
    <row r="6" spans="1:11" x14ac:dyDescent="0.25">
      <c r="A6">
        <v>300000</v>
      </c>
      <c r="B6" s="9">
        <f t="shared" ref="B6:B15" si="2">$A6*B$2/1000</f>
        <v>46800</v>
      </c>
      <c r="C6" s="10">
        <f t="shared" si="1"/>
        <v>15000</v>
      </c>
      <c r="D6" s="10">
        <f t="shared" si="1"/>
        <v>11700</v>
      </c>
      <c r="E6" s="10">
        <f t="shared" si="1"/>
        <v>8100</v>
      </c>
      <c r="F6" s="11">
        <f t="shared" si="1"/>
        <v>1800</v>
      </c>
    </row>
    <row r="7" spans="1:11" x14ac:dyDescent="0.25">
      <c r="A7">
        <v>200000</v>
      </c>
      <c r="B7" s="9">
        <f t="shared" si="2"/>
        <v>31200</v>
      </c>
      <c r="C7" s="10">
        <f t="shared" si="1"/>
        <v>10000</v>
      </c>
      <c r="D7" s="10">
        <f t="shared" si="1"/>
        <v>7800</v>
      </c>
      <c r="E7" s="10">
        <f t="shared" si="1"/>
        <v>5400</v>
      </c>
      <c r="F7" s="11">
        <f t="shared" si="1"/>
        <v>1200</v>
      </c>
      <c r="K7">
        <f>1000000*0.000001</f>
        <v>1</v>
      </c>
    </row>
    <row r="8" spans="1:11" x14ac:dyDescent="0.25">
      <c r="A8">
        <v>10000</v>
      </c>
      <c r="B8" s="9">
        <f t="shared" si="2"/>
        <v>1560</v>
      </c>
      <c r="C8" s="10">
        <f t="shared" si="1"/>
        <v>500</v>
      </c>
      <c r="D8" s="10">
        <f t="shared" si="1"/>
        <v>390</v>
      </c>
      <c r="E8" s="10">
        <f t="shared" si="1"/>
        <v>270</v>
      </c>
      <c r="F8" s="11">
        <f t="shared" si="1"/>
        <v>60</v>
      </c>
    </row>
    <row r="9" spans="1:11" x14ac:dyDescent="0.25">
      <c r="A9">
        <v>1000</v>
      </c>
      <c r="B9" s="9">
        <f t="shared" si="2"/>
        <v>156</v>
      </c>
      <c r="C9" s="10">
        <f t="shared" si="1"/>
        <v>50</v>
      </c>
      <c r="D9" s="10">
        <f t="shared" si="1"/>
        <v>39</v>
      </c>
      <c r="E9" s="10">
        <f t="shared" si="1"/>
        <v>27</v>
      </c>
      <c r="F9" s="11">
        <f t="shared" si="1"/>
        <v>6</v>
      </c>
      <c r="I9" s="4"/>
    </row>
    <row r="10" spans="1:11" x14ac:dyDescent="0.25">
      <c r="A10">
        <v>0.9</v>
      </c>
      <c r="B10" s="9">
        <f t="shared" si="2"/>
        <v>0.1404</v>
      </c>
      <c r="C10" s="10">
        <f t="shared" si="1"/>
        <v>4.4999999999999998E-2</v>
      </c>
      <c r="D10" s="10">
        <f t="shared" si="1"/>
        <v>3.5099999999999999E-2</v>
      </c>
      <c r="E10" s="10">
        <f t="shared" si="1"/>
        <v>2.4300000000000002E-2</v>
      </c>
      <c r="F10" s="11">
        <f t="shared" si="1"/>
        <v>5.4000000000000003E-3</v>
      </c>
      <c r="I10" s="4"/>
    </row>
    <row r="11" spans="1:11" x14ac:dyDescent="0.25">
      <c r="A11">
        <v>16.100000000000001</v>
      </c>
      <c r="B11" s="9">
        <v>3</v>
      </c>
      <c r="C11" s="10">
        <f t="shared" si="1"/>
        <v>0.80500000000000016</v>
      </c>
      <c r="D11" s="10">
        <f t="shared" si="1"/>
        <v>0.62790000000000012</v>
      </c>
      <c r="E11" s="10">
        <f t="shared" si="1"/>
        <v>0.43470000000000003</v>
      </c>
      <c r="F11" s="11">
        <f t="shared" si="1"/>
        <v>9.6600000000000005E-2</v>
      </c>
    </row>
    <row r="12" spans="1:11" x14ac:dyDescent="0.25">
      <c r="A12">
        <v>4.2</v>
      </c>
      <c r="B12" s="9">
        <f t="shared" si="2"/>
        <v>0.6552</v>
      </c>
      <c r="C12" s="10">
        <f t="shared" si="1"/>
        <v>0.21</v>
      </c>
      <c r="D12" s="10">
        <f t="shared" si="1"/>
        <v>0.1638</v>
      </c>
      <c r="E12" s="10">
        <f t="shared" si="1"/>
        <v>0.1134</v>
      </c>
      <c r="F12" s="11">
        <f t="shared" si="1"/>
        <v>2.5200000000000004E-2</v>
      </c>
    </row>
    <row r="13" spans="1:11" x14ac:dyDescent="0.25">
      <c r="A13">
        <v>3.8</v>
      </c>
      <c r="B13" s="9">
        <f t="shared" si="2"/>
        <v>0.59279999999999999</v>
      </c>
      <c r="C13" s="10">
        <f t="shared" si="1"/>
        <v>0.19</v>
      </c>
      <c r="D13" s="10">
        <f t="shared" si="1"/>
        <v>0.1482</v>
      </c>
      <c r="E13" s="10">
        <f t="shared" si="1"/>
        <v>0.1026</v>
      </c>
      <c r="F13" s="11">
        <f t="shared" si="1"/>
        <v>2.2799999999999997E-2</v>
      </c>
    </row>
    <row r="14" spans="1:11" x14ac:dyDescent="0.25">
      <c r="A14">
        <v>1.5</v>
      </c>
      <c r="B14" s="9">
        <f t="shared" si="2"/>
        <v>0.23400000000000001</v>
      </c>
      <c r="C14" s="10">
        <f t="shared" si="1"/>
        <v>7.4999999999999997E-2</v>
      </c>
      <c r="D14" s="10">
        <f t="shared" si="1"/>
        <v>5.8500000000000003E-2</v>
      </c>
      <c r="E14" s="10">
        <f t="shared" si="1"/>
        <v>4.0500000000000001E-2</v>
      </c>
      <c r="F14" s="11">
        <f t="shared" si="1"/>
        <v>8.9999999999999993E-3</v>
      </c>
    </row>
    <row r="15" spans="1:11" ht="15.75" thickBot="1" x14ac:dyDescent="0.3">
      <c r="A15">
        <v>0.5</v>
      </c>
      <c r="B15" s="12">
        <f t="shared" si="2"/>
        <v>7.8E-2</v>
      </c>
      <c r="C15" s="13">
        <f t="shared" si="1"/>
        <v>2.5000000000000001E-2</v>
      </c>
      <c r="D15" s="13">
        <f t="shared" si="1"/>
        <v>1.95E-2</v>
      </c>
      <c r="E15" s="13">
        <f t="shared" si="1"/>
        <v>1.35E-2</v>
      </c>
      <c r="F15" s="14">
        <f t="shared" si="1"/>
        <v>3.0000000000000001E-3</v>
      </c>
    </row>
    <row r="17" spans="1:13" x14ac:dyDescent="0.25">
      <c r="A17" t="s">
        <v>1</v>
      </c>
      <c r="B17">
        <v>0</v>
      </c>
      <c r="C17">
        <f>POWER(2,B17)</f>
        <v>1</v>
      </c>
      <c r="D17" s="1"/>
      <c r="F17" s="4"/>
    </row>
    <row r="18" spans="1:13" x14ac:dyDescent="0.25">
      <c r="A18" t="s">
        <v>0</v>
      </c>
      <c r="B18">
        <v>0</v>
      </c>
      <c r="C18">
        <f>POWER(2,B18)</f>
        <v>1</v>
      </c>
      <c r="F18" s="4"/>
    </row>
    <row r="19" spans="1:13" x14ac:dyDescent="0.25">
      <c r="A19" t="s">
        <v>6</v>
      </c>
      <c r="B19">
        <v>9</v>
      </c>
      <c r="C19">
        <f>POWER(2,B19)</f>
        <v>512</v>
      </c>
      <c r="D19">
        <f>INT(1000000000/C19)</f>
        <v>1953125</v>
      </c>
      <c r="F19" s="4"/>
    </row>
    <row r="20" spans="1:13" x14ac:dyDescent="0.25">
      <c r="A20" t="s">
        <v>8</v>
      </c>
      <c r="B20" s="3">
        <v>32</v>
      </c>
      <c r="F20" s="4"/>
    </row>
    <row r="21" spans="1:13" x14ac:dyDescent="0.25">
      <c r="A21" t="s">
        <v>9</v>
      </c>
      <c r="B21" s="3">
        <f>POWER(2,$B$20)/$D$19</f>
        <v>2199.0232555520001</v>
      </c>
      <c r="F21" s="4"/>
    </row>
    <row r="22" spans="1:13" x14ac:dyDescent="0.25">
      <c r="B22" s="16"/>
      <c r="F22" s="4"/>
    </row>
    <row r="23" spans="1:13" x14ac:dyDescent="0.25">
      <c r="A23" t="s">
        <v>7</v>
      </c>
      <c r="B23">
        <v>156000000</v>
      </c>
      <c r="C23" s="2" t="str">
        <f>DEC2HEX(B23)</f>
        <v>94C5F00</v>
      </c>
      <c r="D23">
        <f>INT(B23/C17)</f>
        <v>156000000</v>
      </c>
      <c r="E23" s="5">
        <f>1000000000/B23</f>
        <v>6.4102564102564106</v>
      </c>
      <c r="F23" s="4"/>
    </row>
    <row r="24" spans="1:13" x14ac:dyDescent="0.25">
      <c r="A24" t="s">
        <v>2</v>
      </c>
      <c r="B24" s="2"/>
    </row>
    <row r="25" spans="1:13" x14ac:dyDescent="0.25">
      <c r="A25">
        <v>600000</v>
      </c>
      <c r="B25" s="3">
        <f>A25*$B$23</f>
        <v>93600000000000</v>
      </c>
      <c r="C25" s="1">
        <f>B25/1000000000</f>
        <v>93600</v>
      </c>
      <c r="D25" s="3">
        <f>B25/$C$19</f>
        <v>182812500000</v>
      </c>
      <c r="E25" s="17">
        <f>INT($B$21)*D25</f>
        <v>402004687500000</v>
      </c>
      <c r="F25" s="1">
        <f>INT(E25/POWER(2,$B$20))+1</f>
        <v>93600</v>
      </c>
      <c r="G25" s="1">
        <f>F25-C25</f>
        <v>0</v>
      </c>
      <c r="H25" s="3"/>
      <c r="I25" s="1"/>
      <c r="J25" s="1"/>
      <c r="L25" s="1"/>
      <c r="M25" s="1"/>
    </row>
    <row r="26" spans="1:13" x14ac:dyDescent="0.25">
      <c r="A26">
        <v>300000</v>
      </c>
      <c r="B26" s="3">
        <f t="shared" ref="B26:B35" si="3">A26*$B$23</f>
        <v>46800000000000</v>
      </c>
      <c r="C26" s="1">
        <f t="shared" ref="C26:C35" si="4">B26/1000000000</f>
        <v>46800</v>
      </c>
      <c r="D26" s="3">
        <f t="shared" ref="D26:D35" si="5">B26/$C$19</f>
        <v>91406250000</v>
      </c>
      <c r="E26" s="17">
        <f t="shared" ref="E26:E35" si="6">INT($B$21)*D26</f>
        <v>201002343750000</v>
      </c>
      <c r="F26" s="1">
        <f t="shared" ref="F26:F35" si="7">INT(E26/POWER(2,$B$20))+1</f>
        <v>46800</v>
      </c>
      <c r="G26" s="1">
        <f t="shared" ref="G26:G35" si="8">F26-C26</f>
        <v>0</v>
      </c>
      <c r="H26" s="3"/>
      <c r="I26" s="1"/>
      <c r="L26" s="1"/>
      <c r="M26" s="1"/>
    </row>
    <row r="27" spans="1:13" x14ac:dyDescent="0.25">
      <c r="A27">
        <v>200000</v>
      </c>
      <c r="B27" s="16">
        <f t="shared" si="3"/>
        <v>31200000000000</v>
      </c>
      <c r="C27" s="1">
        <f t="shared" si="4"/>
        <v>31200</v>
      </c>
      <c r="D27" s="3">
        <f t="shared" si="5"/>
        <v>60937500000</v>
      </c>
      <c r="E27" s="17">
        <f t="shared" si="6"/>
        <v>134001562500000</v>
      </c>
      <c r="F27" s="1">
        <f t="shared" si="7"/>
        <v>31200</v>
      </c>
      <c r="G27" s="1">
        <f t="shared" si="8"/>
        <v>0</v>
      </c>
      <c r="H27" s="3"/>
      <c r="I27" s="1"/>
      <c r="L27" s="1"/>
      <c r="M27" s="1"/>
    </row>
    <row r="28" spans="1:13" x14ac:dyDescent="0.25">
      <c r="A28">
        <v>10000</v>
      </c>
      <c r="B28" s="3">
        <f t="shared" si="3"/>
        <v>1560000000000</v>
      </c>
      <c r="C28" s="1">
        <f t="shared" si="4"/>
        <v>1560</v>
      </c>
      <c r="D28" s="3">
        <f t="shared" si="5"/>
        <v>3046875000</v>
      </c>
      <c r="E28" s="17">
        <f t="shared" si="6"/>
        <v>6700078125000</v>
      </c>
      <c r="F28" s="1">
        <f t="shared" si="7"/>
        <v>1560</v>
      </c>
      <c r="G28" s="1">
        <f t="shared" si="8"/>
        <v>0</v>
      </c>
      <c r="H28" s="3"/>
      <c r="I28" s="1"/>
      <c r="L28" s="1"/>
      <c r="M28" s="1"/>
    </row>
    <row r="29" spans="1:13" x14ac:dyDescent="0.25">
      <c r="A29">
        <v>1000</v>
      </c>
      <c r="B29" s="3">
        <f t="shared" si="3"/>
        <v>156000000000</v>
      </c>
      <c r="C29" s="1">
        <f t="shared" si="4"/>
        <v>156</v>
      </c>
      <c r="D29" s="3">
        <f t="shared" si="5"/>
        <v>304687500</v>
      </c>
      <c r="E29" s="17">
        <f t="shared" si="6"/>
        <v>670007812500</v>
      </c>
      <c r="F29" s="1">
        <f t="shared" si="7"/>
        <v>156</v>
      </c>
      <c r="G29" s="1">
        <f t="shared" si="8"/>
        <v>0</v>
      </c>
      <c r="H29" s="3"/>
      <c r="I29" s="1"/>
      <c r="L29" s="1"/>
      <c r="M29" s="1"/>
    </row>
    <row r="30" spans="1:13" x14ac:dyDescent="0.25">
      <c r="A30">
        <v>0.9</v>
      </c>
      <c r="B30" s="3">
        <f t="shared" si="3"/>
        <v>140400000</v>
      </c>
      <c r="C30" s="1">
        <f t="shared" si="4"/>
        <v>0.1404</v>
      </c>
      <c r="D30" s="3">
        <f t="shared" si="5"/>
        <v>274218.75</v>
      </c>
      <c r="E30" s="17">
        <f t="shared" si="6"/>
        <v>603007031.25</v>
      </c>
      <c r="F30" s="1">
        <f t="shared" si="7"/>
        <v>1</v>
      </c>
      <c r="G30" s="1">
        <f t="shared" si="8"/>
        <v>0.85960000000000003</v>
      </c>
      <c r="H30" s="3"/>
      <c r="I30" s="1"/>
      <c r="L30" s="1"/>
      <c r="M30" s="1"/>
    </row>
    <row r="31" spans="1:13" x14ac:dyDescent="0.25">
      <c r="A31">
        <v>16.100000000000001</v>
      </c>
      <c r="B31" s="3">
        <f t="shared" si="3"/>
        <v>2511600000</v>
      </c>
      <c r="C31" s="1">
        <f t="shared" si="4"/>
        <v>2.5116000000000001</v>
      </c>
      <c r="D31" s="3">
        <f t="shared" si="5"/>
        <v>4905468.75</v>
      </c>
      <c r="E31" s="17">
        <f t="shared" si="6"/>
        <v>10787125781.25</v>
      </c>
      <c r="F31" s="1">
        <f t="shared" si="7"/>
        <v>3</v>
      </c>
      <c r="G31" s="1">
        <f t="shared" si="8"/>
        <v>0.48839999999999995</v>
      </c>
      <c r="H31" s="3"/>
      <c r="I31" s="1"/>
      <c r="L31" s="1"/>
      <c r="M31" s="1"/>
    </row>
    <row r="32" spans="1:13" x14ac:dyDescent="0.25">
      <c r="A32">
        <v>4.2</v>
      </c>
      <c r="B32" s="3">
        <f t="shared" si="3"/>
        <v>655200000</v>
      </c>
      <c r="C32" s="1">
        <f t="shared" si="4"/>
        <v>0.6552</v>
      </c>
      <c r="D32" s="3">
        <f t="shared" si="5"/>
        <v>1279687.5</v>
      </c>
      <c r="E32" s="17">
        <f t="shared" si="6"/>
        <v>2814032812.5</v>
      </c>
      <c r="F32" s="1">
        <f t="shared" si="7"/>
        <v>1</v>
      </c>
      <c r="G32" s="1">
        <f t="shared" si="8"/>
        <v>0.3448</v>
      </c>
      <c r="H32" s="3"/>
      <c r="I32" s="1"/>
      <c r="L32" s="1"/>
      <c r="M32" s="1"/>
    </row>
    <row r="33" spans="1:14" x14ac:dyDescent="0.25">
      <c r="A33">
        <v>3.8</v>
      </c>
      <c r="B33" s="3">
        <f t="shared" si="3"/>
        <v>592800000</v>
      </c>
      <c r="C33" s="1">
        <f t="shared" si="4"/>
        <v>0.59279999999999999</v>
      </c>
      <c r="D33" s="3">
        <f t="shared" si="5"/>
        <v>1157812.5</v>
      </c>
      <c r="E33" s="17">
        <f t="shared" si="6"/>
        <v>2546029687.5</v>
      </c>
      <c r="F33" s="1">
        <f t="shared" si="7"/>
        <v>1</v>
      </c>
      <c r="G33" s="1">
        <f t="shared" si="8"/>
        <v>0.40720000000000001</v>
      </c>
      <c r="H33" s="3"/>
      <c r="I33" s="1"/>
      <c r="L33" s="1"/>
      <c r="M33" s="1"/>
    </row>
    <row r="34" spans="1:14" x14ac:dyDescent="0.25">
      <c r="A34">
        <v>1.5</v>
      </c>
      <c r="B34" s="3">
        <f t="shared" si="3"/>
        <v>234000000</v>
      </c>
      <c r="C34" s="1">
        <f t="shared" si="4"/>
        <v>0.23400000000000001</v>
      </c>
      <c r="D34" s="3">
        <f t="shared" si="5"/>
        <v>457031.25</v>
      </c>
      <c r="E34" s="17">
        <f t="shared" si="6"/>
        <v>1005011718.75</v>
      </c>
      <c r="F34" s="1">
        <f t="shared" si="7"/>
        <v>1</v>
      </c>
      <c r="G34" s="1">
        <f t="shared" si="8"/>
        <v>0.76600000000000001</v>
      </c>
      <c r="H34" s="3"/>
      <c r="I34" s="1"/>
      <c r="L34" s="1"/>
      <c r="M34" s="1"/>
    </row>
    <row r="35" spans="1:14" x14ac:dyDescent="0.25">
      <c r="A35">
        <v>0.5</v>
      </c>
      <c r="B35" s="3">
        <f t="shared" si="3"/>
        <v>78000000</v>
      </c>
      <c r="C35" s="1">
        <f t="shared" si="4"/>
        <v>7.8E-2</v>
      </c>
      <c r="D35" s="3">
        <f t="shared" si="5"/>
        <v>152343.75</v>
      </c>
      <c r="E35" s="17">
        <f t="shared" si="6"/>
        <v>335003906.25</v>
      </c>
      <c r="F35" s="1">
        <f t="shared" si="7"/>
        <v>1</v>
      </c>
      <c r="G35" s="1">
        <f t="shared" si="8"/>
        <v>0.92200000000000004</v>
      </c>
      <c r="H35" s="3"/>
      <c r="I35" s="1"/>
    </row>
    <row r="36" spans="1:14" x14ac:dyDescent="0.25">
      <c r="A36" s="1"/>
    </row>
    <row r="37" spans="1:14" x14ac:dyDescent="0.25">
      <c r="A37" t="s">
        <v>7</v>
      </c>
      <c r="B37">
        <v>50000000</v>
      </c>
      <c r="C37" s="2" t="str">
        <f>DEC2HEX(B37)</f>
        <v>2FAF080</v>
      </c>
      <c r="D37">
        <f>INT(B37/C33)</f>
        <v>84345479</v>
      </c>
      <c r="E37" s="5">
        <f>1000000000/B37</f>
        <v>20</v>
      </c>
      <c r="F37" s="4"/>
    </row>
    <row r="38" spans="1:14" x14ac:dyDescent="0.25">
      <c r="A38" t="s">
        <v>2</v>
      </c>
      <c r="B38" s="2"/>
      <c r="L38">
        <f>H15*POWER(2,9)</f>
        <v>0</v>
      </c>
    </row>
    <row r="39" spans="1:14" x14ac:dyDescent="0.25">
      <c r="A39">
        <v>600000</v>
      </c>
      <c r="B39" s="3">
        <f>A39*$B$37</f>
        <v>30000000000000</v>
      </c>
      <c r="C39" s="1">
        <f>B39/1000000000</f>
        <v>30000</v>
      </c>
      <c r="D39" s="3">
        <f>B39/$C$19</f>
        <v>58593750000</v>
      </c>
      <c r="E39" s="17">
        <f>INT($B$21)*D39</f>
        <v>128847656250000</v>
      </c>
      <c r="F39" s="1">
        <f>INT(E39/POWER(2,$B$20))+1</f>
        <v>30000</v>
      </c>
      <c r="G39" s="1">
        <f>F39-C39</f>
        <v>0</v>
      </c>
      <c r="H39" s="3"/>
      <c r="I39" s="1"/>
    </row>
    <row r="40" spans="1:14" x14ac:dyDescent="0.25">
      <c r="A40">
        <v>300000</v>
      </c>
      <c r="B40" s="3">
        <f t="shared" ref="B40:B49" si="9">A40*$B$37</f>
        <v>15000000000000</v>
      </c>
      <c r="C40" s="1">
        <f t="shared" ref="C40:C49" si="10">B40/1000000000</f>
        <v>15000</v>
      </c>
      <c r="D40" s="3">
        <f t="shared" ref="D40:D49" si="11">B40/$C$19</f>
        <v>29296875000</v>
      </c>
      <c r="E40" s="17">
        <f t="shared" ref="E40:E49" si="12">INT($B$21)*D40</f>
        <v>64423828125000</v>
      </c>
      <c r="F40" s="1">
        <f t="shared" ref="F40:F49" si="13">INT(E40/POWER(2,$B$20))+1</f>
        <v>15000</v>
      </c>
      <c r="G40" s="1">
        <f t="shared" ref="G40:G49" si="14">F40-C40</f>
        <v>0</v>
      </c>
      <c r="H40" s="3"/>
      <c r="I40" s="1"/>
    </row>
    <row r="41" spans="1:14" x14ac:dyDescent="0.25">
      <c r="A41">
        <v>200000</v>
      </c>
      <c r="B41" s="3">
        <f t="shared" si="9"/>
        <v>10000000000000</v>
      </c>
      <c r="C41" s="1">
        <f t="shared" si="10"/>
        <v>10000</v>
      </c>
      <c r="D41" s="3">
        <f t="shared" si="11"/>
        <v>19531250000</v>
      </c>
      <c r="E41" s="17">
        <f t="shared" si="12"/>
        <v>42949218750000</v>
      </c>
      <c r="F41" s="1">
        <f t="shared" si="13"/>
        <v>10000</v>
      </c>
      <c r="G41" s="1">
        <f t="shared" si="14"/>
        <v>0</v>
      </c>
      <c r="H41" s="3"/>
      <c r="I41" s="1"/>
    </row>
    <row r="42" spans="1:14" x14ac:dyDescent="0.25">
      <c r="A42">
        <v>10000</v>
      </c>
      <c r="B42" s="3">
        <f t="shared" si="9"/>
        <v>500000000000</v>
      </c>
      <c r="C42" s="1">
        <f t="shared" si="10"/>
        <v>500</v>
      </c>
      <c r="D42" s="3">
        <f t="shared" si="11"/>
        <v>976562500</v>
      </c>
      <c r="E42" s="17">
        <f t="shared" si="12"/>
        <v>2147460937500</v>
      </c>
      <c r="F42" s="1">
        <f t="shared" si="13"/>
        <v>500</v>
      </c>
      <c r="G42" s="1">
        <f t="shared" si="14"/>
        <v>0</v>
      </c>
      <c r="H42" s="3"/>
      <c r="I42" s="1"/>
    </row>
    <row r="43" spans="1:14" x14ac:dyDescent="0.25">
      <c r="A43">
        <v>1000</v>
      </c>
      <c r="B43" s="3">
        <f t="shared" si="9"/>
        <v>50000000000</v>
      </c>
      <c r="C43" s="1">
        <f t="shared" si="10"/>
        <v>50</v>
      </c>
      <c r="D43" s="3">
        <f t="shared" si="11"/>
        <v>97656250</v>
      </c>
      <c r="E43" s="17">
        <f t="shared" si="12"/>
        <v>214746093750</v>
      </c>
      <c r="F43" s="1">
        <f t="shared" si="13"/>
        <v>50</v>
      </c>
      <c r="G43" s="1">
        <f t="shared" si="14"/>
        <v>0</v>
      </c>
      <c r="H43" s="3"/>
      <c r="I43" s="1"/>
      <c r="N43" s="1"/>
    </row>
    <row r="44" spans="1:14" x14ac:dyDescent="0.25">
      <c r="A44">
        <v>0.9</v>
      </c>
      <c r="B44" s="3">
        <f t="shared" si="9"/>
        <v>45000000</v>
      </c>
      <c r="C44" s="1">
        <f t="shared" si="10"/>
        <v>4.4999999999999998E-2</v>
      </c>
      <c r="D44" s="3">
        <f t="shared" si="11"/>
        <v>87890.625</v>
      </c>
      <c r="E44" s="17">
        <f t="shared" si="12"/>
        <v>193271484.375</v>
      </c>
      <c r="F44" s="1">
        <f t="shared" si="13"/>
        <v>1</v>
      </c>
      <c r="G44" s="1">
        <f t="shared" si="14"/>
        <v>0.95499999999999996</v>
      </c>
      <c r="H44" s="3"/>
      <c r="I44" s="1"/>
      <c r="N44" s="1"/>
    </row>
    <row r="45" spans="1:14" x14ac:dyDescent="0.25">
      <c r="A45">
        <v>16.100000000000001</v>
      </c>
      <c r="B45" s="3">
        <f t="shared" si="9"/>
        <v>805000000.00000012</v>
      </c>
      <c r="C45" s="1">
        <f t="shared" si="10"/>
        <v>0.80500000000000016</v>
      </c>
      <c r="D45" s="3">
        <f t="shared" si="11"/>
        <v>1572265.6250000002</v>
      </c>
      <c r="E45" s="17">
        <f t="shared" si="12"/>
        <v>3457412109.3750005</v>
      </c>
      <c r="F45" s="1">
        <f t="shared" si="13"/>
        <v>1</v>
      </c>
      <c r="G45" s="1">
        <f t="shared" si="14"/>
        <v>0.19499999999999984</v>
      </c>
      <c r="H45" s="3"/>
      <c r="I45" s="1"/>
      <c r="N45" s="1"/>
    </row>
    <row r="46" spans="1:14" x14ac:dyDescent="0.25">
      <c r="A46">
        <v>4.2</v>
      </c>
      <c r="B46" s="3">
        <f t="shared" si="9"/>
        <v>210000000</v>
      </c>
      <c r="C46" s="1">
        <f t="shared" si="10"/>
        <v>0.21</v>
      </c>
      <c r="D46" s="3">
        <f t="shared" si="11"/>
        <v>410156.25</v>
      </c>
      <c r="E46" s="17">
        <f t="shared" si="12"/>
        <v>901933593.75</v>
      </c>
      <c r="F46" s="1">
        <f t="shared" si="13"/>
        <v>1</v>
      </c>
      <c r="G46" s="1">
        <f t="shared" si="14"/>
        <v>0.79</v>
      </c>
      <c r="H46" s="3"/>
      <c r="I46" s="1"/>
      <c r="N46" s="1"/>
    </row>
    <row r="47" spans="1:14" x14ac:dyDescent="0.25">
      <c r="A47">
        <v>3.8</v>
      </c>
      <c r="B47" s="3">
        <f t="shared" si="9"/>
        <v>190000000</v>
      </c>
      <c r="C47" s="1">
        <f t="shared" si="10"/>
        <v>0.19</v>
      </c>
      <c r="D47" s="3">
        <f t="shared" si="11"/>
        <v>371093.75</v>
      </c>
      <c r="E47" s="17">
        <f t="shared" si="12"/>
        <v>816035156.25</v>
      </c>
      <c r="F47" s="1">
        <f t="shared" si="13"/>
        <v>1</v>
      </c>
      <c r="G47" s="1">
        <f t="shared" si="14"/>
        <v>0.81</v>
      </c>
      <c r="H47" s="3"/>
      <c r="I47" s="1"/>
      <c r="N47" s="1"/>
    </row>
    <row r="48" spans="1:14" x14ac:dyDescent="0.25">
      <c r="A48">
        <v>1.5</v>
      </c>
      <c r="B48" s="3">
        <f t="shared" si="9"/>
        <v>75000000</v>
      </c>
      <c r="C48" s="1">
        <f t="shared" si="10"/>
        <v>7.4999999999999997E-2</v>
      </c>
      <c r="D48" s="3">
        <f t="shared" si="11"/>
        <v>146484.375</v>
      </c>
      <c r="E48" s="17">
        <f t="shared" si="12"/>
        <v>322119140.625</v>
      </c>
      <c r="F48" s="1">
        <f t="shared" si="13"/>
        <v>1</v>
      </c>
      <c r="G48" s="1">
        <f t="shared" si="14"/>
        <v>0.92500000000000004</v>
      </c>
      <c r="H48" s="3"/>
      <c r="I48" s="1"/>
      <c r="N48" s="1"/>
    </row>
    <row r="49" spans="1:14" x14ac:dyDescent="0.25">
      <c r="A49">
        <v>0.5</v>
      </c>
      <c r="B49" s="3">
        <f t="shared" si="9"/>
        <v>25000000</v>
      </c>
      <c r="C49" s="1">
        <f t="shared" si="10"/>
        <v>2.5000000000000001E-2</v>
      </c>
      <c r="D49" s="3">
        <f t="shared" si="11"/>
        <v>48828.125</v>
      </c>
      <c r="E49" s="17">
        <f t="shared" si="12"/>
        <v>107373046.875</v>
      </c>
      <c r="F49" s="1">
        <f t="shared" si="13"/>
        <v>1</v>
      </c>
      <c r="G49" s="1">
        <f t="shared" si="14"/>
        <v>0.97499999999999998</v>
      </c>
      <c r="H49" s="3"/>
      <c r="I49" s="1"/>
      <c r="N49" s="1"/>
    </row>
    <row r="50" spans="1:14" x14ac:dyDescent="0.25">
      <c r="N50" s="1"/>
    </row>
    <row r="51" spans="1:14" x14ac:dyDescent="0.25">
      <c r="A51" t="s">
        <v>7</v>
      </c>
      <c r="B51">
        <v>39000000</v>
      </c>
      <c r="C51" s="2" t="str">
        <f>DEC2HEX(B51)</f>
        <v>25317C0</v>
      </c>
      <c r="D51">
        <f>INT(B51/C47)</f>
        <v>205263157</v>
      </c>
      <c r="E51" s="5">
        <f>1000000000/B51</f>
        <v>25.641025641025642</v>
      </c>
      <c r="F51" s="4"/>
      <c r="N51" s="1"/>
    </row>
    <row r="52" spans="1:14" x14ac:dyDescent="0.25">
      <c r="A52" t="s">
        <v>2</v>
      </c>
      <c r="B52" s="2"/>
      <c r="N52" s="1"/>
    </row>
    <row r="53" spans="1:14" x14ac:dyDescent="0.25">
      <c r="A53">
        <v>600000</v>
      </c>
      <c r="B53" s="3">
        <f>A53*$B$51</f>
        <v>23400000000000</v>
      </c>
      <c r="C53" s="1">
        <f>B53/1000000000</f>
        <v>23400</v>
      </c>
      <c r="D53" s="3">
        <f>B53/$C$19</f>
        <v>45703125000</v>
      </c>
      <c r="E53" s="17">
        <f>INT($B$21)*D53</f>
        <v>100501171875000</v>
      </c>
      <c r="F53" s="1">
        <f>INT(E53/POWER(2,$B$20))+1</f>
        <v>23400</v>
      </c>
      <c r="G53" s="1">
        <f>F53-C53</f>
        <v>0</v>
      </c>
      <c r="H53" s="3"/>
      <c r="I53" s="1"/>
      <c r="N53" s="1"/>
    </row>
    <row r="54" spans="1:14" x14ac:dyDescent="0.25">
      <c r="A54">
        <v>300000</v>
      </c>
      <c r="B54" s="3">
        <f t="shared" ref="B54:B63" si="15">A54*$B$51</f>
        <v>11700000000000</v>
      </c>
      <c r="C54" s="1">
        <f t="shared" ref="C54:C63" si="16">B54/1000000000</f>
        <v>11700</v>
      </c>
      <c r="D54" s="3">
        <f t="shared" ref="D54:D63" si="17">B54/$C$19</f>
        <v>22851562500</v>
      </c>
      <c r="E54" s="17">
        <f t="shared" ref="E54:E63" si="18">INT($B$21)*D54</f>
        <v>50250585937500</v>
      </c>
      <c r="F54" s="1">
        <f t="shared" ref="F54:F63" si="19">INT(E54/POWER(2,$B$20))+1</f>
        <v>11700</v>
      </c>
      <c r="G54" s="1">
        <f t="shared" ref="G54:G63" si="20">F54-C54</f>
        <v>0</v>
      </c>
      <c r="H54" s="3"/>
      <c r="I54" s="1"/>
      <c r="N54" s="1"/>
    </row>
    <row r="55" spans="1:14" x14ac:dyDescent="0.25">
      <c r="A55">
        <v>200000</v>
      </c>
      <c r="B55" s="3">
        <f t="shared" si="15"/>
        <v>7800000000000</v>
      </c>
      <c r="C55" s="1">
        <f t="shared" si="16"/>
        <v>7800</v>
      </c>
      <c r="D55" s="3">
        <f t="shared" si="17"/>
        <v>15234375000</v>
      </c>
      <c r="E55" s="17">
        <f t="shared" si="18"/>
        <v>33500390625000</v>
      </c>
      <c r="F55" s="1">
        <f t="shared" si="19"/>
        <v>7800</v>
      </c>
      <c r="G55" s="1">
        <f t="shared" si="20"/>
        <v>0</v>
      </c>
      <c r="H55" s="3"/>
      <c r="I55" s="1"/>
      <c r="N55" s="1"/>
    </row>
    <row r="56" spans="1:14" x14ac:dyDescent="0.25">
      <c r="A56">
        <v>10000</v>
      </c>
      <c r="B56" s="3">
        <f t="shared" si="15"/>
        <v>390000000000</v>
      </c>
      <c r="C56" s="1">
        <f t="shared" si="16"/>
        <v>390</v>
      </c>
      <c r="D56" s="3">
        <f t="shared" si="17"/>
        <v>761718750</v>
      </c>
      <c r="E56" s="17">
        <f t="shared" si="18"/>
        <v>1675019531250</v>
      </c>
      <c r="F56" s="1">
        <f t="shared" si="19"/>
        <v>390</v>
      </c>
      <c r="G56" s="1">
        <f t="shared" si="20"/>
        <v>0</v>
      </c>
      <c r="H56" s="3"/>
      <c r="I56" s="1"/>
      <c r="N56" s="1"/>
    </row>
    <row r="57" spans="1:14" x14ac:dyDescent="0.25">
      <c r="A57">
        <v>1000</v>
      </c>
      <c r="B57" s="3">
        <f t="shared" si="15"/>
        <v>39000000000</v>
      </c>
      <c r="C57" s="1">
        <f t="shared" si="16"/>
        <v>39</v>
      </c>
      <c r="D57" s="3">
        <f t="shared" si="17"/>
        <v>76171875</v>
      </c>
      <c r="E57" s="17">
        <f t="shared" si="18"/>
        <v>167501953125</v>
      </c>
      <c r="F57" s="1">
        <f t="shared" si="19"/>
        <v>39</v>
      </c>
      <c r="G57" s="1">
        <f t="shared" si="20"/>
        <v>0</v>
      </c>
      <c r="H57" s="3"/>
      <c r="I57" s="1"/>
      <c r="N57" s="1"/>
    </row>
    <row r="58" spans="1:14" x14ac:dyDescent="0.25">
      <c r="A58">
        <v>0.9</v>
      </c>
      <c r="B58" s="3">
        <f t="shared" si="15"/>
        <v>35100000</v>
      </c>
      <c r="C58" s="1">
        <f t="shared" si="16"/>
        <v>3.5099999999999999E-2</v>
      </c>
      <c r="D58" s="3">
        <f t="shared" si="17"/>
        <v>68554.6875</v>
      </c>
      <c r="E58" s="17">
        <f t="shared" si="18"/>
        <v>150751757.8125</v>
      </c>
      <c r="F58" s="1">
        <f t="shared" si="19"/>
        <v>1</v>
      </c>
      <c r="G58" s="1">
        <f t="shared" si="20"/>
        <v>0.96489999999999998</v>
      </c>
      <c r="H58" s="3"/>
      <c r="I58" s="1"/>
      <c r="N58" s="1"/>
    </row>
    <row r="59" spans="1:14" x14ac:dyDescent="0.25">
      <c r="A59">
        <v>16.100000000000001</v>
      </c>
      <c r="B59" s="3">
        <f t="shared" si="15"/>
        <v>627900000</v>
      </c>
      <c r="C59" s="1">
        <f t="shared" si="16"/>
        <v>0.62790000000000001</v>
      </c>
      <c r="D59" s="3">
        <f t="shared" si="17"/>
        <v>1226367.1875</v>
      </c>
      <c r="E59" s="17">
        <f t="shared" si="18"/>
        <v>2696781445.3125</v>
      </c>
      <c r="F59" s="1">
        <f t="shared" si="19"/>
        <v>1</v>
      </c>
      <c r="G59" s="1">
        <f t="shared" si="20"/>
        <v>0.37209999999999999</v>
      </c>
      <c r="H59" s="3"/>
      <c r="I59" s="1"/>
    </row>
    <row r="60" spans="1:14" x14ac:dyDescent="0.25">
      <c r="A60">
        <v>4.2</v>
      </c>
      <c r="B60" s="3">
        <f t="shared" si="15"/>
        <v>163800000</v>
      </c>
      <c r="C60" s="1">
        <f t="shared" si="16"/>
        <v>0.1638</v>
      </c>
      <c r="D60" s="3">
        <f t="shared" si="17"/>
        <v>319921.875</v>
      </c>
      <c r="E60" s="17">
        <f t="shared" si="18"/>
        <v>703508203.125</v>
      </c>
      <c r="F60" s="1">
        <f t="shared" si="19"/>
        <v>1</v>
      </c>
      <c r="G60" s="1">
        <f t="shared" si="20"/>
        <v>0.83620000000000005</v>
      </c>
      <c r="H60" s="3"/>
      <c r="I60" s="1"/>
    </row>
    <row r="61" spans="1:14" x14ac:dyDescent="0.25">
      <c r="A61">
        <v>3.8</v>
      </c>
      <c r="B61" s="3">
        <f t="shared" si="15"/>
        <v>148200000</v>
      </c>
      <c r="C61" s="1">
        <f t="shared" si="16"/>
        <v>0.1482</v>
      </c>
      <c r="D61" s="3">
        <f t="shared" si="17"/>
        <v>289453.125</v>
      </c>
      <c r="E61" s="17">
        <f t="shared" si="18"/>
        <v>636507421.875</v>
      </c>
      <c r="F61" s="1">
        <f t="shared" si="19"/>
        <v>1</v>
      </c>
      <c r="G61" s="1">
        <f t="shared" si="20"/>
        <v>0.8518</v>
      </c>
      <c r="H61" s="3"/>
      <c r="I61" s="1"/>
    </row>
    <row r="62" spans="1:14" x14ac:dyDescent="0.25">
      <c r="A62">
        <v>1.5</v>
      </c>
      <c r="B62" s="3">
        <f t="shared" si="15"/>
        <v>58500000</v>
      </c>
      <c r="C62" s="1">
        <f t="shared" si="16"/>
        <v>5.8500000000000003E-2</v>
      </c>
      <c r="D62" s="3">
        <f t="shared" si="17"/>
        <v>114257.8125</v>
      </c>
      <c r="E62" s="17">
        <f t="shared" si="18"/>
        <v>251252929.6875</v>
      </c>
      <c r="F62" s="1">
        <f t="shared" si="19"/>
        <v>1</v>
      </c>
      <c r="G62" s="1">
        <f t="shared" si="20"/>
        <v>0.9415</v>
      </c>
      <c r="H62" s="3"/>
      <c r="I62" s="1"/>
    </row>
    <row r="63" spans="1:14" x14ac:dyDescent="0.25">
      <c r="A63">
        <v>0.5</v>
      </c>
      <c r="B63" s="3">
        <f t="shared" si="15"/>
        <v>19500000</v>
      </c>
      <c r="C63" s="1">
        <f t="shared" si="16"/>
        <v>1.95E-2</v>
      </c>
      <c r="D63" s="3">
        <f t="shared" si="17"/>
        <v>38085.9375</v>
      </c>
      <c r="E63" s="17">
        <f t="shared" si="18"/>
        <v>83750976.5625</v>
      </c>
      <c r="F63" s="1">
        <f t="shared" si="19"/>
        <v>1</v>
      </c>
      <c r="G63" s="1">
        <f t="shared" si="20"/>
        <v>0.98050000000000004</v>
      </c>
      <c r="H63" s="3"/>
      <c r="I63" s="1"/>
    </row>
    <row r="65" spans="1:9" x14ac:dyDescent="0.25">
      <c r="A65" t="s">
        <v>7</v>
      </c>
      <c r="B65">
        <v>27000000</v>
      </c>
      <c r="C65" s="2" t="str">
        <f>DEC2HEX(B65)</f>
        <v>19BFCC0</v>
      </c>
      <c r="D65">
        <f>INT(B65/C61)</f>
        <v>182186234</v>
      </c>
      <c r="E65" s="5">
        <f>1000000000/B65</f>
        <v>37.037037037037038</v>
      </c>
      <c r="F65" s="4"/>
    </row>
    <row r="66" spans="1:9" x14ac:dyDescent="0.25">
      <c r="A66" t="s">
        <v>2</v>
      </c>
      <c r="B66" s="2"/>
    </row>
    <row r="67" spans="1:9" x14ac:dyDescent="0.25">
      <c r="A67">
        <v>600000</v>
      </c>
      <c r="B67" s="3">
        <f>A67*$B$65</f>
        <v>16200000000000</v>
      </c>
      <c r="C67" s="1">
        <f>B67/1000000000</f>
        <v>16200</v>
      </c>
      <c r="D67" s="3">
        <f>B67/$C$19</f>
        <v>31640625000</v>
      </c>
      <c r="E67" s="17">
        <f t="shared" ref="E67:E77" si="21">INT($B$21)*D67</f>
        <v>69577734375000</v>
      </c>
      <c r="F67" s="1">
        <f>INT(E67/POWER(2,$B$20))+1</f>
        <v>16200</v>
      </c>
      <c r="G67" s="1">
        <f>F67-C67</f>
        <v>0</v>
      </c>
      <c r="H67" s="3"/>
      <c r="I67" s="1"/>
    </row>
    <row r="68" spans="1:9" x14ac:dyDescent="0.25">
      <c r="A68">
        <v>300000</v>
      </c>
      <c r="B68" s="3">
        <f t="shared" ref="B68:B77" si="22">A68*$B$65</f>
        <v>8100000000000</v>
      </c>
      <c r="C68" s="1">
        <f t="shared" ref="C68:C77" si="23">B68/1000000000</f>
        <v>8100</v>
      </c>
      <c r="D68" s="3">
        <f t="shared" ref="D68:D77" si="24">B68/$C$19</f>
        <v>15820312500</v>
      </c>
      <c r="E68" s="17">
        <f t="shared" si="21"/>
        <v>34788867187500</v>
      </c>
      <c r="F68" s="1">
        <f t="shared" ref="F68:F77" si="25">INT(E68/POWER(2,$B$20))+1</f>
        <v>8100</v>
      </c>
      <c r="G68" s="1">
        <f t="shared" ref="G68:G77" si="26">F68-C68</f>
        <v>0</v>
      </c>
      <c r="H68" s="3"/>
      <c r="I68" s="1"/>
    </row>
    <row r="69" spans="1:9" x14ac:dyDescent="0.25">
      <c r="A69">
        <v>200000</v>
      </c>
      <c r="B69" s="3">
        <f t="shared" si="22"/>
        <v>5400000000000</v>
      </c>
      <c r="C69" s="1">
        <f t="shared" si="23"/>
        <v>5400</v>
      </c>
      <c r="D69" s="3">
        <f t="shared" si="24"/>
        <v>10546875000</v>
      </c>
      <c r="E69" s="17">
        <f t="shared" si="21"/>
        <v>23192578125000</v>
      </c>
      <c r="F69" s="1">
        <f t="shared" si="25"/>
        <v>5400</v>
      </c>
      <c r="G69" s="1">
        <f t="shared" si="26"/>
        <v>0</v>
      </c>
      <c r="H69" s="3"/>
      <c r="I69" s="1"/>
    </row>
    <row r="70" spans="1:9" x14ac:dyDescent="0.25">
      <c r="A70">
        <v>10000</v>
      </c>
      <c r="B70" s="3">
        <f t="shared" si="22"/>
        <v>270000000000</v>
      </c>
      <c r="C70" s="1">
        <f t="shared" si="23"/>
        <v>270</v>
      </c>
      <c r="D70" s="3">
        <f t="shared" si="24"/>
        <v>527343750</v>
      </c>
      <c r="E70" s="17">
        <f t="shared" si="21"/>
        <v>1159628906250</v>
      </c>
      <c r="F70" s="1">
        <f t="shared" si="25"/>
        <v>270</v>
      </c>
      <c r="G70" s="1">
        <f t="shared" si="26"/>
        <v>0</v>
      </c>
      <c r="H70" s="3"/>
      <c r="I70" s="1"/>
    </row>
    <row r="71" spans="1:9" x14ac:dyDescent="0.25">
      <c r="A71">
        <v>1000</v>
      </c>
      <c r="B71" s="3">
        <f t="shared" si="22"/>
        <v>27000000000</v>
      </c>
      <c r="C71" s="1">
        <f t="shared" si="23"/>
        <v>27</v>
      </c>
      <c r="D71" s="3">
        <f t="shared" si="24"/>
        <v>52734375</v>
      </c>
      <c r="E71" s="17">
        <f t="shared" si="21"/>
        <v>115962890625</v>
      </c>
      <c r="F71" s="1">
        <f t="shared" si="25"/>
        <v>27</v>
      </c>
      <c r="G71" s="1">
        <f t="shared" si="26"/>
        <v>0</v>
      </c>
      <c r="H71" s="3"/>
      <c r="I71" s="1"/>
    </row>
    <row r="72" spans="1:9" x14ac:dyDescent="0.25">
      <c r="A72">
        <v>0.9</v>
      </c>
      <c r="B72" s="3">
        <f t="shared" si="22"/>
        <v>24300000</v>
      </c>
      <c r="C72" s="1">
        <f t="shared" si="23"/>
        <v>2.4299999999999999E-2</v>
      </c>
      <c r="D72" s="3">
        <f t="shared" si="24"/>
        <v>47460.9375</v>
      </c>
      <c r="E72" s="17">
        <f t="shared" si="21"/>
        <v>104366601.5625</v>
      </c>
      <c r="F72" s="1">
        <f t="shared" si="25"/>
        <v>1</v>
      </c>
      <c r="G72" s="1">
        <f t="shared" si="26"/>
        <v>0.97570000000000001</v>
      </c>
      <c r="H72" s="3"/>
      <c r="I72" s="1"/>
    </row>
    <row r="73" spans="1:9" x14ac:dyDescent="0.25">
      <c r="A73">
        <v>16.100000000000001</v>
      </c>
      <c r="B73" s="3">
        <f t="shared" si="22"/>
        <v>434700000.00000006</v>
      </c>
      <c r="C73" s="1">
        <f t="shared" si="23"/>
        <v>0.43470000000000009</v>
      </c>
      <c r="D73" s="3">
        <f t="shared" si="24"/>
        <v>849023.43750000012</v>
      </c>
      <c r="E73" s="17">
        <f t="shared" si="21"/>
        <v>1867002539.0625002</v>
      </c>
      <c r="F73" s="1">
        <f t="shared" si="25"/>
        <v>1</v>
      </c>
      <c r="G73" s="1">
        <f t="shared" si="26"/>
        <v>0.56529999999999991</v>
      </c>
      <c r="H73" s="3"/>
      <c r="I73" s="1"/>
    </row>
    <row r="74" spans="1:9" x14ac:dyDescent="0.25">
      <c r="A74">
        <v>4.2</v>
      </c>
      <c r="B74" s="3">
        <f t="shared" si="22"/>
        <v>113400000</v>
      </c>
      <c r="C74" s="1">
        <f t="shared" si="23"/>
        <v>0.1134</v>
      </c>
      <c r="D74" s="3">
        <f t="shared" si="24"/>
        <v>221484.375</v>
      </c>
      <c r="E74" s="17">
        <f t="shared" si="21"/>
        <v>487044140.625</v>
      </c>
      <c r="F74" s="1">
        <f t="shared" si="25"/>
        <v>1</v>
      </c>
      <c r="G74" s="1">
        <f t="shared" si="26"/>
        <v>0.88660000000000005</v>
      </c>
      <c r="H74" s="3"/>
      <c r="I74" s="1"/>
    </row>
    <row r="75" spans="1:9" x14ac:dyDescent="0.25">
      <c r="A75">
        <v>3.8</v>
      </c>
      <c r="B75" s="3">
        <f t="shared" si="22"/>
        <v>102600000</v>
      </c>
      <c r="C75" s="1">
        <f t="shared" si="23"/>
        <v>0.1026</v>
      </c>
      <c r="D75" s="3">
        <f t="shared" si="24"/>
        <v>200390.625</v>
      </c>
      <c r="E75" s="17">
        <f t="shared" si="21"/>
        <v>440658984.375</v>
      </c>
      <c r="F75" s="1">
        <f t="shared" si="25"/>
        <v>1</v>
      </c>
      <c r="G75" s="1">
        <f t="shared" si="26"/>
        <v>0.89739999999999998</v>
      </c>
      <c r="H75" s="3"/>
      <c r="I75" s="1"/>
    </row>
    <row r="76" spans="1:9" x14ac:dyDescent="0.25">
      <c r="A76">
        <v>1.5</v>
      </c>
      <c r="B76" s="3">
        <f t="shared" si="22"/>
        <v>40500000</v>
      </c>
      <c r="C76" s="1">
        <f t="shared" si="23"/>
        <v>4.0500000000000001E-2</v>
      </c>
      <c r="D76" s="3">
        <f t="shared" si="24"/>
        <v>79101.5625</v>
      </c>
      <c r="E76" s="17">
        <f t="shared" si="21"/>
        <v>173944335.9375</v>
      </c>
      <c r="F76" s="1">
        <f t="shared" si="25"/>
        <v>1</v>
      </c>
      <c r="G76" s="1">
        <f t="shared" si="26"/>
        <v>0.95950000000000002</v>
      </c>
      <c r="H76" s="3"/>
      <c r="I76" s="1"/>
    </row>
    <row r="77" spans="1:9" x14ac:dyDescent="0.25">
      <c r="A77">
        <v>0.5</v>
      </c>
      <c r="B77" s="3">
        <f t="shared" si="22"/>
        <v>13500000</v>
      </c>
      <c r="C77" s="1">
        <f t="shared" si="23"/>
        <v>1.35E-2</v>
      </c>
      <c r="D77" s="3">
        <f t="shared" si="24"/>
        <v>26367.1875</v>
      </c>
      <c r="E77" s="17">
        <f t="shared" si="21"/>
        <v>57981445.3125</v>
      </c>
      <c r="F77" s="1">
        <f t="shared" si="25"/>
        <v>1</v>
      </c>
      <c r="G77" s="1">
        <f t="shared" si="26"/>
        <v>0.98650000000000004</v>
      </c>
      <c r="H77" s="3"/>
      <c r="I77" s="1"/>
    </row>
    <row r="79" spans="1:9" x14ac:dyDescent="0.25">
      <c r="A79" t="s">
        <v>7</v>
      </c>
      <c r="B79">
        <v>6000000</v>
      </c>
      <c r="C79" s="2" t="str">
        <f>DEC2HEX(B79)</f>
        <v>5B8D80</v>
      </c>
      <c r="D79">
        <f>INT(B79/C75)</f>
        <v>58479532</v>
      </c>
      <c r="E79" s="5">
        <f>1000000000/B79</f>
        <v>166.66666666666666</v>
      </c>
      <c r="F79" s="4"/>
    </row>
    <row r="80" spans="1:9" x14ac:dyDescent="0.25">
      <c r="A80" t="s">
        <v>2</v>
      </c>
      <c r="B80" s="2"/>
    </row>
    <row r="81" spans="1:12" x14ac:dyDescent="0.25">
      <c r="A81">
        <v>600000</v>
      </c>
      <c r="B81" s="3">
        <f>A81*$B$79</f>
        <v>3600000000000</v>
      </c>
      <c r="C81" s="1">
        <f>B81/1000000000</f>
        <v>3600</v>
      </c>
      <c r="D81" s="3">
        <f>B81/$C$19</f>
        <v>7031250000</v>
      </c>
      <c r="E81" s="17">
        <f t="shared" ref="E81:E91" si="27">INT($B$21)*D81</f>
        <v>15461718750000</v>
      </c>
      <c r="F81" s="1">
        <f>INT(E81/POWER(2,$B$20))+1</f>
        <v>3600</v>
      </c>
      <c r="G81" s="1">
        <f>F81-C81</f>
        <v>0</v>
      </c>
      <c r="H81" s="3"/>
      <c r="I81" s="1"/>
    </row>
    <row r="82" spans="1:12" x14ac:dyDescent="0.25">
      <c r="A82">
        <v>300000</v>
      </c>
      <c r="B82" s="3">
        <f t="shared" ref="B82:B91" si="28">A82*$B$79</f>
        <v>1800000000000</v>
      </c>
      <c r="C82" s="1">
        <f t="shared" ref="C82:C91" si="29">B82/1000000000</f>
        <v>1800</v>
      </c>
      <c r="D82" s="3">
        <f t="shared" ref="D82:D91" si="30">B82/$C$19</f>
        <v>3515625000</v>
      </c>
      <c r="E82" s="17">
        <f t="shared" si="27"/>
        <v>7730859375000</v>
      </c>
      <c r="F82" s="1">
        <f t="shared" ref="F82:F91" si="31">INT(E82/POWER(2,$B$20))+1</f>
        <v>1800</v>
      </c>
      <c r="G82" s="1">
        <f t="shared" ref="G82:G91" si="32">F82-C82</f>
        <v>0</v>
      </c>
      <c r="H82" s="3"/>
      <c r="I82" s="1"/>
    </row>
    <row r="83" spans="1:12" x14ac:dyDescent="0.25">
      <c r="A83">
        <v>200000</v>
      </c>
      <c r="B83" s="3">
        <f t="shared" si="28"/>
        <v>1200000000000</v>
      </c>
      <c r="C83" s="1">
        <f t="shared" si="29"/>
        <v>1200</v>
      </c>
      <c r="D83" s="3">
        <f t="shared" si="30"/>
        <v>2343750000</v>
      </c>
      <c r="E83" s="17">
        <f t="shared" si="27"/>
        <v>5153906250000</v>
      </c>
      <c r="F83" s="1">
        <f t="shared" si="31"/>
        <v>1200</v>
      </c>
      <c r="G83" s="1">
        <f t="shared" si="32"/>
        <v>0</v>
      </c>
      <c r="H83" s="3"/>
      <c r="I83" s="1"/>
    </row>
    <row r="84" spans="1:12" x14ac:dyDescent="0.25">
      <c r="A84">
        <v>10000</v>
      </c>
      <c r="B84" s="3">
        <f t="shared" si="28"/>
        <v>60000000000</v>
      </c>
      <c r="C84" s="1">
        <f t="shared" si="29"/>
        <v>60</v>
      </c>
      <c r="D84" s="3">
        <f t="shared" si="30"/>
        <v>117187500</v>
      </c>
      <c r="E84" s="17">
        <f t="shared" si="27"/>
        <v>257695312500</v>
      </c>
      <c r="F84" s="1">
        <f t="shared" si="31"/>
        <v>60</v>
      </c>
      <c r="G84" s="1">
        <f t="shared" si="32"/>
        <v>0</v>
      </c>
      <c r="H84" s="3"/>
      <c r="I84" s="1"/>
    </row>
    <row r="85" spans="1:12" x14ac:dyDescent="0.25">
      <c r="A85">
        <v>1000</v>
      </c>
      <c r="B85" s="3">
        <f t="shared" si="28"/>
        <v>6000000000</v>
      </c>
      <c r="C85" s="1">
        <f t="shared" si="29"/>
        <v>6</v>
      </c>
      <c r="D85" s="3">
        <f t="shared" si="30"/>
        <v>11718750</v>
      </c>
      <c r="E85" s="17">
        <f t="shared" si="27"/>
        <v>25769531250</v>
      </c>
      <c r="F85" s="1">
        <f t="shared" si="31"/>
        <v>6</v>
      </c>
      <c r="G85" s="1">
        <f t="shared" si="32"/>
        <v>0</v>
      </c>
      <c r="H85" s="3"/>
      <c r="I85" s="1"/>
      <c r="L85">
        <f>CEILING(1*6000000/1000000000,1)</f>
        <v>1</v>
      </c>
    </row>
    <row r="86" spans="1:12" x14ac:dyDescent="0.25">
      <c r="A86">
        <v>0.9</v>
      </c>
      <c r="B86" s="3">
        <f t="shared" si="28"/>
        <v>5400000</v>
      </c>
      <c r="C86" s="1">
        <f t="shared" si="29"/>
        <v>5.4000000000000003E-3</v>
      </c>
      <c r="D86" s="3">
        <f t="shared" si="30"/>
        <v>10546.875</v>
      </c>
      <c r="E86" s="17">
        <f t="shared" si="27"/>
        <v>23192578.125</v>
      </c>
      <c r="F86" s="1">
        <f t="shared" si="31"/>
        <v>1</v>
      </c>
      <c r="G86" s="1">
        <f t="shared" si="32"/>
        <v>0.99460000000000004</v>
      </c>
      <c r="H86" s="3"/>
      <c r="I86" s="1"/>
    </row>
    <row r="87" spans="1:12" x14ac:dyDescent="0.25">
      <c r="A87">
        <v>16.100000000000001</v>
      </c>
      <c r="B87" s="3">
        <f t="shared" si="28"/>
        <v>96600000.000000015</v>
      </c>
      <c r="C87" s="1">
        <f t="shared" si="29"/>
        <v>9.6600000000000019E-2</v>
      </c>
      <c r="D87" s="3">
        <f t="shared" si="30"/>
        <v>188671.87500000003</v>
      </c>
      <c r="E87" s="17">
        <f t="shared" si="27"/>
        <v>414889453.12500006</v>
      </c>
      <c r="F87" s="1">
        <f t="shared" si="31"/>
        <v>1</v>
      </c>
      <c r="G87" s="1">
        <f t="shared" si="32"/>
        <v>0.90339999999999998</v>
      </c>
      <c r="H87" s="3"/>
      <c r="I87" s="1"/>
    </row>
    <row r="88" spans="1:12" x14ac:dyDescent="0.25">
      <c r="A88">
        <v>4.2</v>
      </c>
      <c r="B88" s="3">
        <f t="shared" si="28"/>
        <v>25200000</v>
      </c>
      <c r="C88" s="1">
        <f t="shared" si="29"/>
        <v>2.52E-2</v>
      </c>
      <c r="D88" s="3">
        <f t="shared" si="30"/>
        <v>49218.75</v>
      </c>
      <c r="E88" s="17">
        <f t="shared" si="27"/>
        <v>108232031.25</v>
      </c>
      <c r="F88" s="1">
        <f t="shared" si="31"/>
        <v>1</v>
      </c>
      <c r="G88" s="1">
        <f t="shared" si="32"/>
        <v>0.9748</v>
      </c>
      <c r="H88" s="3"/>
      <c r="I88" s="1"/>
    </row>
    <row r="89" spans="1:12" x14ac:dyDescent="0.25">
      <c r="A89">
        <v>3.8</v>
      </c>
      <c r="B89" s="3">
        <f t="shared" si="28"/>
        <v>22800000</v>
      </c>
      <c r="C89" s="1">
        <f t="shared" si="29"/>
        <v>2.2800000000000001E-2</v>
      </c>
      <c r="D89" s="3">
        <f t="shared" si="30"/>
        <v>44531.25</v>
      </c>
      <c r="E89" s="17">
        <f t="shared" si="27"/>
        <v>97924218.75</v>
      </c>
      <c r="F89" s="1">
        <f t="shared" si="31"/>
        <v>1</v>
      </c>
      <c r="G89" s="1">
        <f t="shared" si="32"/>
        <v>0.97719999999999996</v>
      </c>
      <c r="H89" s="3"/>
      <c r="I89" s="1"/>
    </row>
    <row r="90" spans="1:12" x14ac:dyDescent="0.25">
      <c r="A90">
        <v>1.5</v>
      </c>
      <c r="B90" s="3">
        <f t="shared" si="28"/>
        <v>9000000</v>
      </c>
      <c r="C90" s="1">
        <f t="shared" si="29"/>
        <v>8.9999999999999993E-3</v>
      </c>
      <c r="D90" s="3">
        <f t="shared" si="30"/>
        <v>17578.125</v>
      </c>
      <c r="E90" s="17">
        <f t="shared" si="27"/>
        <v>38654296.875</v>
      </c>
      <c r="F90" s="1">
        <f t="shared" si="31"/>
        <v>1</v>
      </c>
      <c r="G90" s="1">
        <f t="shared" si="32"/>
        <v>0.99099999999999999</v>
      </c>
      <c r="H90" s="3"/>
      <c r="I90" s="1"/>
    </row>
    <row r="91" spans="1:12" x14ac:dyDescent="0.25">
      <c r="A91">
        <v>0.5</v>
      </c>
      <c r="B91" s="3">
        <f t="shared" si="28"/>
        <v>3000000</v>
      </c>
      <c r="C91" s="1">
        <f t="shared" si="29"/>
        <v>3.0000000000000001E-3</v>
      </c>
      <c r="D91" s="3">
        <f t="shared" si="30"/>
        <v>5859.375</v>
      </c>
      <c r="E91" s="17">
        <f t="shared" si="27"/>
        <v>12884765.625</v>
      </c>
      <c r="F91" s="1">
        <f t="shared" si="31"/>
        <v>1</v>
      </c>
      <c r="G91" s="1">
        <f t="shared" si="32"/>
        <v>0.997</v>
      </c>
      <c r="H91" s="3"/>
      <c r="I91" s="1"/>
    </row>
  </sheetData>
  <conditionalFormatting sqref="G25:G91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workbookViewId="0">
      <selection activeCell="H24" sqref="H24"/>
    </sheetView>
  </sheetViews>
  <sheetFormatPr defaultRowHeight="15" x14ac:dyDescent="0.25"/>
  <cols>
    <col min="1" max="1" width="11.140625" customWidth="1"/>
    <col min="3" max="3" width="29.28515625" customWidth="1"/>
    <col min="4" max="4" width="39.5703125" customWidth="1"/>
    <col min="5" max="5" width="16.28515625" customWidth="1"/>
    <col min="6" max="6" width="17.28515625" customWidth="1"/>
    <col min="7" max="7" width="15" customWidth="1"/>
    <col min="8" max="8" width="13.5703125" customWidth="1"/>
    <col min="9" max="9" width="17.140625" hidden="1" customWidth="1"/>
    <col min="10" max="10" width="14.140625" customWidth="1"/>
    <col min="11" max="11" width="13.42578125" customWidth="1"/>
  </cols>
  <sheetData>
    <row r="1" spans="1:13" ht="45.75" thickBot="1" x14ac:dyDescent="0.3">
      <c r="A1" s="35" t="s">
        <v>10</v>
      </c>
      <c r="B1" s="36"/>
      <c r="C1" s="36" t="s">
        <v>45</v>
      </c>
      <c r="D1" s="36" t="s">
        <v>46</v>
      </c>
      <c r="E1" s="36" t="s">
        <v>86</v>
      </c>
      <c r="F1" s="37" t="s">
        <v>87</v>
      </c>
      <c r="G1" s="37" t="s">
        <v>94</v>
      </c>
      <c r="H1" s="37" t="s">
        <v>88</v>
      </c>
      <c r="I1" s="37" t="s">
        <v>95</v>
      </c>
      <c r="J1" s="38" t="s">
        <v>104</v>
      </c>
      <c r="K1" s="39" t="s">
        <v>105</v>
      </c>
    </row>
    <row r="2" spans="1:13" s="30" customFormat="1" hidden="1" x14ac:dyDescent="0.25">
      <c r="A2" s="40"/>
      <c r="B2" s="41"/>
      <c r="C2" s="41"/>
      <c r="D2" s="41"/>
      <c r="E2" s="41"/>
      <c r="F2" s="42"/>
      <c r="G2" s="42">
        <v>157000000</v>
      </c>
      <c r="H2" s="42">
        <v>50000000</v>
      </c>
      <c r="I2" s="42"/>
      <c r="J2" s="43"/>
      <c r="K2" s="55"/>
    </row>
    <row r="3" spans="1:13" x14ac:dyDescent="0.25">
      <c r="A3" s="44" t="s">
        <v>11</v>
      </c>
      <c r="B3" s="45" t="s">
        <v>22</v>
      </c>
      <c r="C3" s="46" t="s">
        <v>25</v>
      </c>
      <c r="D3" s="45" t="s">
        <v>47</v>
      </c>
      <c r="E3" s="47" t="s">
        <v>57</v>
      </c>
      <c r="F3" s="48"/>
      <c r="G3" s="48"/>
      <c r="H3" s="48"/>
      <c r="I3" s="48"/>
      <c r="J3" s="31" t="s">
        <v>57</v>
      </c>
      <c r="K3" s="56"/>
    </row>
    <row r="4" spans="1:13" x14ac:dyDescent="0.25">
      <c r="A4" s="44"/>
      <c r="B4" s="45" t="s">
        <v>23</v>
      </c>
      <c r="C4" s="46" t="s">
        <v>24</v>
      </c>
      <c r="D4" s="45" t="s">
        <v>48</v>
      </c>
      <c r="E4" s="47" t="s">
        <v>58</v>
      </c>
      <c r="F4" s="48"/>
      <c r="G4" s="48"/>
      <c r="H4" s="48"/>
      <c r="I4" s="48"/>
      <c r="J4" s="31" t="s">
        <v>97</v>
      </c>
      <c r="K4" s="56"/>
    </row>
    <row r="5" spans="1:13" x14ac:dyDescent="0.25">
      <c r="A5" s="44" t="s">
        <v>12</v>
      </c>
      <c r="B5" s="45" t="s">
        <v>22</v>
      </c>
      <c r="C5" s="46" t="s">
        <v>26</v>
      </c>
      <c r="D5" s="45" t="s">
        <v>49</v>
      </c>
      <c r="E5" s="47" t="s">
        <v>56</v>
      </c>
      <c r="F5" s="48"/>
      <c r="G5" s="48"/>
      <c r="H5" s="48"/>
      <c r="I5" s="48"/>
      <c r="J5" s="31" t="s">
        <v>56</v>
      </c>
      <c r="K5" s="56"/>
    </row>
    <row r="6" spans="1:13" x14ac:dyDescent="0.25">
      <c r="A6" s="44"/>
      <c r="B6" s="45" t="s">
        <v>23</v>
      </c>
      <c r="C6" s="46" t="s">
        <v>27</v>
      </c>
      <c r="D6" s="45" t="s">
        <v>50</v>
      </c>
      <c r="E6" s="47" t="s">
        <v>59</v>
      </c>
      <c r="F6" s="48"/>
      <c r="G6" s="48"/>
      <c r="H6" s="48"/>
      <c r="I6" s="48"/>
      <c r="J6" s="31" t="s">
        <v>59</v>
      </c>
      <c r="K6" s="56"/>
    </row>
    <row r="7" spans="1:13" x14ac:dyDescent="0.25">
      <c r="A7" s="44" t="s">
        <v>16</v>
      </c>
      <c r="B7" s="45" t="s">
        <v>22</v>
      </c>
      <c r="C7" s="46" t="s">
        <v>28</v>
      </c>
      <c r="D7" s="45" t="s">
        <v>51</v>
      </c>
      <c r="E7" s="47" t="s">
        <v>59</v>
      </c>
      <c r="F7" s="48"/>
      <c r="G7" s="48"/>
      <c r="H7" s="48"/>
      <c r="I7" s="48"/>
      <c r="J7" s="31" t="s">
        <v>59</v>
      </c>
      <c r="K7" s="56"/>
    </row>
    <row r="8" spans="1:13" x14ac:dyDescent="0.25">
      <c r="A8" s="44"/>
      <c r="B8" s="45" t="s">
        <v>23</v>
      </c>
      <c r="C8" s="46" t="s">
        <v>29</v>
      </c>
      <c r="D8" s="45" t="s">
        <v>52</v>
      </c>
      <c r="E8" s="47" t="s">
        <v>63</v>
      </c>
      <c r="F8" s="48"/>
      <c r="G8" s="48"/>
      <c r="H8" s="48"/>
      <c r="I8" s="48"/>
      <c r="J8" s="31" t="s">
        <v>63</v>
      </c>
      <c r="K8" s="56"/>
    </row>
    <row r="9" spans="1:13" x14ac:dyDescent="0.25">
      <c r="A9" s="44" t="s">
        <v>13</v>
      </c>
      <c r="B9" s="45" t="s">
        <v>22</v>
      </c>
      <c r="C9" s="46" t="s">
        <v>30</v>
      </c>
      <c r="D9" s="45" t="s">
        <v>53</v>
      </c>
      <c r="E9" s="47" t="s">
        <v>60</v>
      </c>
      <c r="F9" s="48"/>
      <c r="G9" s="48"/>
      <c r="H9" s="48"/>
      <c r="I9" s="48"/>
      <c r="J9" s="31" t="s">
        <v>60</v>
      </c>
      <c r="K9" s="56"/>
    </row>
    <row r="10" spans="1:13" x14ac:dyDescent="0.25">
      <c r="A10" s="44"/>
      <c r="B10" s="45" t="s">
        <v>23</v>
      </c>
      <c r="C10" s="46" t="s">
        <v>31</v>
      </c>
      <c r="D10" s="45" t="s">
        <v>54</v>
      </c>
      <c r="E10" s="47" t="s">
        <v>61</v>
      </c>
      <c r="F10" s="48"/>
      <c r="G10" s="48"/>
      <c r="H10" s="48"/>
      <c r="I10" s="48"/>
      <c r="J10" s="31" t="s">
        <v>61</v>
      </c>
      <c r="K10" s="56"/>
    </row>
    <row r="11" spans="1:13" x14ac:dyDescent="0.25">
      <c r="A11" s="44" t="s">
        <v>14</v>
      </c>
      <c r="B11" s="45" t="s">
        <v>22</v>
      </c>
      <c r="C11" s="46" t="s">
        <v>32</v>
      </c>
      <c r="D11" s="45" t="s">
        <v>55</v>
      </c>
      <c r="E11" s="47" t="s">
        <v>62</v>
      </c>
      <c r="F11" s="48"/>
      <c r="G11" s="48"/>
      <c r="H11" s="48"/>
      <c r="I11" s="48"/>
      <c r="J11" s="31" t="s">
        <v>62</v>
      </c>
      <c r="K11" s="56"/>
    </row>
    <row r="12" spans="1:13" x14ac:dyDescent="0.25">
      <c r="A12" s="44"/>
      <c r="B12" s="45" t="s">
        <v>23</v>
      </c>
      <c r="C12" s="46" t="s">
        <v>33</v>
      </c>
      <c r="D12" s="45" t="s">
        <v>65</v>
      </c>
      <c r="E12" s="47" t="s">
        <v>64</v>
      </c>
      <c r="F12" s="48">
        <v>1</v>
      </c>
      <c r="G12" s="48">
        <v>1</v>
      </c>
      <c r="H12" s="48">
        <v>1</v>
      </c>
      <c r="I12" s="48"/>
      <c r="J12" s="31" t="s">
        <v>98</v>
      </c>
      <c r="K12" s="56">
        <f>HEX2DEC(J12)</f>
        <v>1</v>
      </c>
      <c r="M12" s="26"/>
    </row>
    <row r="13" spans="1:13" x14ac:dyDescent="0.25">
      <c r="A13" s="44" t="s">
        <v>15</v>
      </c>
      <c r="B13" s="45" t="s">
        <v>22</v>
      </c>
      <c r="C13" s="46" t="s">
        <v>35</v>
      </c>
      <c r="D13" s="45" t="s">
        <v>66</v>
      </c>
      <c r="E13" s="47" t="s">
        <v>67</v>
      </c>
      <c r="F13" s="48">
        <v>1</v>
      </c>
      <c r="G13" s="48">
        <v>1</v>
      </c>
      <c r="H13" s="48">
        <v>1</v>
      </c>
      <c r="I13" s="48">
        <v>1</v>
      </c>
      <c r="J13" s="32" t="s">
        <v>98</v>
      </c>
      <c r="K13" s="56">
        <f t="shared" ref="K13:K23" si="0">HEX2DEC(J13)</f>
        <v>1</v>
      </c>
    </row>
    <row r="14" spans="1:13" x14ac:dyDescent="0.25">
      <c r="A14" s="44"/>
      <c r="B14" s="45" t="s">
        <v>23</v>
      </c>
      <c r="C14" s="46" t="s">
        <v>34</v>
      </c>
      <c r="D14" s="45" t="s">
        <v>82</v>
      </c>
      <c r="E14" s="47" t="s">
        <v>83</v>
      </c>
      <c r="F14" s="48">
        <f>0.0002*156000000</f>
        <v>31200</v>
      </c>
      <c r="G14" s="48">
        <f>0.0002*$G$2</f>
        <v>31400</v>
      </c>
      <c r="H14" s="48">
        <f>0.0002*$H$2</f>
        <v>10000</v>
      </c>
      <c r="I14" s="48">
        <f>167000000*0.0002</f>
        <v>33400</v>
      </c>
      <c r="J14" s="33" t="s">
        <v>100</v>
      </c>
      <c r="K14" s="56">
        <f t="shared" si="0"/>
        <v>31400</v>
      </c>
    </row>
    <row r="15" spans="1:13" x14ac:dyDescent="0.25">
      <c r="A15" s="44" t="s">
        <v>17</v>
      </c>
      <c r="B15" s="45" t="s">
        <v>22</v>
      </c>
      <c r="C15" s="46" t="s">
        <v>36</v>
      </c>
      <c r="D15" s="45" t="s">
        <v>70</v>
      </c>
      <c r="E15" s="47" t="s">
        <v>71</v>
      </c>
      <c r="F15" s="48">
        <f>156000000*0.000001</f>
        <v>156</v>
      </c>
      <c r="G15" s="48">
        <f>157000000*0.000001</f>
        <v>157</v>
      </c>
      <c r="H15" s="48">
        <f>50000000*0.000001</f>
        <v>50</v>
      </c>
      <c r="I15" s="48">
        <f>167000000*0.000001</f>
        <v>167</v>
      </c>
      <c r="J15" s="33" t="s">
        <v>101</v>
      </c>
      <c r="K15" s="56">
        <f t="shared" si="0"/>
        <v>157</v>
      </c>
    </row>
    <row r="16" spans="1:13" x14ac:dyDescent="0.25">
      <c r="A16" s="44"/>
      <c r="B16" s="45" t="s">
        <v>23</v>
      </c>
      <c r="C16" s="46" t="s">
        <v>37</v>
      </c>
      <c r="D16" s="45" t="s">
        <v>80</v>
      </c>
      <c r="E16" s="47" t="s">
        <v>81</v>
      </c>
      <c r="F16" s="48">
        <f>156000000*0.0003</f>
        <v>46799.999999999993</v>
      </c>
      <c r="G16" s="48">
        <f>157000000*0.0003</f>
        <v>47099.999999999993</v>
      </c>
      <c r="H16" s="48">
        <f>50000000*0.0003</f>
        <v>14999.999999999998</v>
      </c>
      <c r="I16" s="48">
        <f>167000000*0.0003</f>
        <v>50099.999999999993</v>
      </c>
      <c r="J16" s="33" t="s">
        <v>102</v>
      </c>
      <c r="K16" s="56">
        <f t="shared" si="0"/>
        <v>47100</v>
      </c>
    </row>
    <row r="17" spans="1:11" x14ac:dyDescent="0.25">
      <c r="A17" s="44" t="s">
        <v>18</v>
      </c>
      <c r="B17" s="45"/>
      <c r="C17" s="45" t="s">
        <v>38</v>
      </c>
      <c r="D17" s="45" t="s">
        <v>84</v>
      </c>
      <c r="E17" s="47" t="s">
        <v>85</v>
      </c>
      <c r="F17" s="48">
        <f>156000000*0.0006</f>
        <v>93599.999999999985</v>
      </c>
      <c r="G17" s="48">
        <f>157000000*0.0006</f>
        <v>94199.999999999985</v>
      </c>
      <c r="H17" s="48">
        <f>50000000*0.0006</f>
        <v>29999.999999999996</v>
      </c>
      <c r="I17" s="48">
        <f>167000000*0.0006</f>
        <v>100199.99999999999</v>
      </c>
      <c r="J17" s="33" t="s">
        <v>103</v>
      </c>
      <c r="K17" s="56">
        <f t="shared" si="0"/>
        <v>94200</v>
      </c>
    </row>
    <row r="18" spans="1:11" ht="30" x14ac:dyDescent="0.25">
      <c r="A18" s="44" t="s">
        <v>19</v>
      </c>
      <c r="B18" s="45" t="s">
        <v>22</v>
      </c>
      <c r="C18" s="46" t="s">
        <v>39</v>
      </c>
      <c r="D18" s="49" t="s">
        <v>68</v>
      </c>
      <c r="E18" s="47" t="s">
        <v>69</v>
      </c>
      <c r="F18" s="48">
        <f>156000000*0.00001</f>
        <v>1560.0000000000002</v>
      </c>
      <c r="G18" s="48">
        <f>157000000*0.00001</f>
        <v>1570.0000000000002</v>
      </c>
      <c r="H18" s="48">
        <f>50000000*0.00001</f>
        <v>500.00000000000006</v>
      </c>
      <c r="I18" s="48">
        <f>167000000*0.00001</f>
        <v>1670.0000000000002</v>
      </c>
      <c r="J18" s="33">
        <v>622</v>
      </c>
      <c r="K18" s="56">
        <f t="shared" si="0"/>
        <v>1570</v>
      </c>
    </row>
    <row r="19" spans="1:11" x14ac:dyDescent="0.25">
      <c r="A19" s="44"/>
      <c r="B19" s="45" t="s">
        <v>23</v>
      </c>
      <c r="C19" s="46" t="s">
        <v>40</v>
      </c>
      <c r="D19" s="45"/>
      <c r="E19" s="47" t="s">
        <v>96</v>
      </c>
      <c r="F19" s="48">
        <v>15</v>
      </c>
      <c r="G19" s="48">
        <v>15</v>
      </c>
      <c r="H19" s="48">
        <v>15</v>
      </c>
      <c r="I19" s="48"/>
      <c r="J19" s="33" t="s">
        <v>99</v>
      </c>
      <c r="K19" s="56">
        <f t="shared" si="0"/>
        <v>15</v>
      </c>
    </row>
    <row r="20" spans="1:11" x14ac:dyDescent="0.25">
      <c r="A20" s="44" t="s">
        <v>20</v>
      </c>
      <c r="B20" s="45" t="s">
        <v>22</v>
      </c>
      <c r="C20" s="46" t="s">
        <v>41</v>
      </c>
      <c r="D20" s="45" t="s">
        <v>72</v>
      </c>
      <c r="E20" s="47" t="s">
        <v>73</v>
      </c>
      <c r="F20" s="48">
        <v>1</v>
      </c>
      <c r="G20" s="48">
        <v>1</v>
      </c>
      <c r="H20" s="48">
        <v>1</v>
      </c>
      <c r="I20" s="48"/>
      <c r="J20" s="33">
        <v>1</v>
      </c>
      <c r="K20" s="56">
        <f t="shared" si="0"/>
        <v>1</v>
      </c>
    </row>
    <row r="21" spans="1:11" x14ac:dyDescent="0.25">
      <c r="A21" s="44"/>
      <c r="B21" s="45" t="s">
        <v>23</v>
      </c>
      <c r="C21" s="46" t="s">
        <v>42</v>
      </c>
      <c r="D21" s="45" t="s">
        <v>74</v>
      </c>
      <c r="E21" s="47" t="s">
        <v>75</v>
      </c>
      <c r="F21" s="48">
        <v>1</v>
      </c>
      <c r="G21" s="48">
        <v>1</v>
      </c>
      <c r="H21" s="48">
        <v>1</v>
      </c>
      <c r="I21" s="48"/>
      <c r="J21" s="33">
        <v>1</v>
      </c>
      <c r="K21" s="56">
        <f t="shared" si="0"/>
        <v>1</v>
      </c>
    </row>
    <row r="22" spans="1:11" x14ac:dyDescent="0.25">
      <c r="A22" s="44" t="s">
        <v>21</v>
      </c>
      <c r="B22" s="45" t="s">
        <v>22</v>
      </c>
      <c r="C22" s="46" t="s">
        <v>43</v>
      </c>
      <c r="D22" s="45" t="s">
        <v>78</v>
      </c>
      <c r="E22" s="47" t="s">
        <v>79</v>
      </c>
      <c r="F22" s="48">
        <v>1</v>
      </c>
      <c r="G22" s="48">
        <v>1</v>
      </c>
      <c r="H22" s="48">
        <v>1</v>
      </c>
      <c r="I22" s="48"/>
      <c r="J22" s="33">
        <v>1</v>
      </c>
      <c r="K22" s="56">
        <f t="shared" si="0"/>
        <v>1</v>
      </c>
    </row>
    <row r="23" spans="1:11" ht="15.75" thickBot="1" x14ac:dyDescent="0.3">
      <c r="A23" s="50"/>
      <c r="B23" s="51" t="s">
        <v>23</v>
      </c>
      <c r="C23" s="52" t="s">
        <v>44</v>
      </c>
      <c r="D23" s="51" t="s">
        <v>76</v>
      </c>
      <c r="E23" s="53" t="s">
        <v>77</v>
      </c>
      <c r="F23" s="54">
        <v>3</v>
      </c>
      <c r="G23" s="54">
        <v>3</v>
      </c>
      <c r="H23" s="54">
        <v>1</v>
      </c>
      <c r="I23" s="54"/>
      <c r="J23" s="34">
        <v>3</v>
      </c>
      <c r="K23" s="57">
        <f t="shared" si="0"/>
        <v>3</v>
      </c>
    </row>
    <row r="24" spans="1:11" x14ac:dyDescent="0.25">
      <c r="J24" s="20"/>
    </row>
    <row r="25" spans="1:11" x14ac:dyDescent="0.25">
      <c r="J25" s="20"/>
    </row>
  </sheetData>
  <pageMargins left="0.7" right="0.7" top="0.75" bottom="0.75" header="0.3" footer="0.3"/>
  <pageSetup paperSize="8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H28" sqref="H28"/>
    </sheetView>
  </sheetViews>
  <sheetFormatPr defaultRowHeight="15" x14ac:dyDescent="0.25"/>
  <cols>
    <col min="1" max="1" width="11.140625" customWidth="1"/>
    <col min="3" max="3" width="29.28515625" customWidth="1"/>
    <col min="4" max="4" width="41.140625" customWidth="1"/>
    <col min="5" max="5" width="17.7109375" customWidth="1"/>
    <col min="6" max="7" width="21.28515625" customWidth="1"/>
    <col min="8" max="9" width="17.140625" customWidth="1"/>
    <col min="10" max="10" width="17.85546875" customWidth="1"/>
    <col min="11" max="11" width="13.42578125" customWidth="1"/>
  </cols>
  <sheetData>
    <row r="1" spans="1:14" ht="45" x14ac:dyDescent="0.25">
      <c r="A1" s="22" t="s">
        <v>10</v>
      </c>
      <c r="B1" s="22"/>
      <c r="C1" s="22" t="s">
        <v>45</v>
      </c>
      <c r="D1" s="22" t="s">
        <v>46</v>
      </c>
      <c r="E1" s="22" t="s">
        <v>86</v>
      </c>
      <c r="F1" s="23" t="s">
        <v>87</v>
      </c>
      <c r="G1" s="23" t="s">
        <v>94</v>
      </c>
      <c r="H1" s="23" t="s">
        <v>88</v>
      </c>
      <c r="I1" s="23" t="s">
        <v>95</v>
      </c>
      <c r="J1" s="23" t="s">
        <v>89</v>
      </c>
    </row>
    <row r="2" spans="1:14" x14ac:dyDescent="0.25">
      <c r="A2" s="18" t="s">
        <v>11</v>
      </c>
      <c r="B2" s="18" t="s">
        <v>22</v>
      </c>
      <c r="C2" s="19" t="s">
        <v>25</v>
      </c>
      <c r="D2" s="18" t="s">
        <v>47</v>
      </c>
      <c r="E2" s="20" t="s">
        <v>57</v>
      </c>
      <c r="F2" s="24"/>
      <c r="G2" s="24"/>
      <c r="H2" s="24"/>
      <c r="I2" s="24"/>
      <c r="J2" s="27" t="s">
        <v>56</v>
      </c>
    </row>
    <row r="3" spans="1:14" x14ac:dyDescent="0.25">
      <c r="A3" s="18"/>
      <c r="B3" s="18" t="s">
        <v>23</v>
      </c>
      <c r="C3" s="19" t="s">
        <v>24</v>
      </c>
      <c r="D3" s="18" t="s">
        <v>48</v>
      </c>
      <c r="E3" s="20" t="s">
        <v>58</v>
      </c>
      <c r="F3" s="24"/>
      <c r="G3" s="24"/>
      <c r="H3" s="24"/>
      <c r="I3" s="24"/>
      <c r="J3" s="27" t="s">
        <v>56</v>
      </c>
    </row>
    <row r="4" spans="1:14" x14ac:dyDescent="0.25">
      <c r="A4" s="18" t="s">
        <v>12</v>
      </c>
      <c r="B4" s="18" t="s">
        <v>22</v>
      </c>
      <c r="C4" s="19" t="s">
        <v>26</v>
      </c>
      <c r="D4" s="18" t="s">
        <v>49</v>
      </c>
      <c r="E4" s="20" t="s">
        <v>56</v>
      </c>
      <c r="F4" s="24"/>
      <c r="G4" s="24"/>
      <c r="H4" s="24"/>
      <c r="I4" s="24"/>
      <c r="J4" s="27" t="s">
        <v>90</v>
      </c>
    </row>
    <row r="5" spans="1:14" x14ac:dyDescent="0.25">
      <c r="A5" s="18"/>
      <c r="B5" s="18" t="s">
        <v>23</v>
      </c>
      <c r="C5" s="19" t="s">
        <v>27</v>
      </c>
      <c r="D5" s="18" t="s">
        <v>50</v>
      </c>
      <c r="E5" s="20" t="s">
        <v>59</v>
      </c>
      <c r="F5" s="24"/>
      <c r="G5" s="24"/>
      <c r="H5" s="24"/>
      <c r="I5" s="24"/>
      <c r="J5" s="27" t="s">
        <v>56</v>
      </c>
    </row>
    <row r="6" spans="1:14" x14ac:dyDescent="0.25">
      <c r="A6" s="18" t="s">
        <v>16</v>
      </c>
      <c r="B6" s="18" t="s">
        <v>22</v>
      </c>
      <c r="C6" s="19" t="s">
        <v>28</v>
      </c>
      <c r="D6" s="18" t="s">
        <v>51</v>
      </c>
      <c r="E6" s="20" t="s">
        <v>59</v>
      </c>
      <c r="F6" s="24"/>
      <c r="G6" s="24"/>
      <c r="H6" s="24"/>
      <c r="I6" s="24"/>
      <c r="J6" s="27" t="s">
        <v>56</v>
      </c>
    </row>
    <row r="7" spans="1:14" x14ac:dyDescent="0.25">
      <c r="A7" s="18"/>
      <c r="B7" s="18" t="s">
        <v>23</v>
      </c>
      <c r="C7" s="19" t="s">
        <v>29</v>
      </c>
      <c r="D7" s="18" t="s">
        <v>52</v>
      </c>
      <c r="E7" s="20" t="s">
        <v>63</v>
      </c>
      <c r="F7" s="24"/>
      <c r="G7" s="24"/>
      <c r="H7" s="24"/>
      <c r="I7" s="24"/>
      <c r="J7" s="27" t="s">
        <v>91</v>
      </c>
    </row>
    <row r="8" spans="1:14" x14ac:dyDescent="0.25">
      <c r="A8" s="18" t="s">
        <v>13</v>
      </c>
      <c r="B8" s="18" t="s">
        <v>22</v>
      </c>
      <c r="C8" s="19" t="s">
        <v>30</v>
      </c>
      <c r="D8" s="18" t="s">
        <v>53</v>
      </c>
      <c r="E8" s="20" t="s">
        <v>60</v>
      </c>
      <c r="F8" s="24"/>
      <c r="G8" s="24"/>
      <c r="H8" s="24"/>
      <c r="I8" s="24"/>
      <c r="J8" s="27" t="s">
        <v>56</v>
      </c>
    </row>
    <row r="9" spans="1:14" x14ac:dyDescent="0.25">
      <c r="A9" s="18"/>
      <c r="B9" s="18" t="s">
        <v>23</v>
      </c>
      <c r="C9" s="19" t="s">
        <v>31</v>
      </c>
      <c r="D9" s="18" t="s">
        <v>54</v>
      </c>
      <c r="E9" s="20" t="s">
        <v>61</v>
      </c>
      <c r="F9" s="24"/>
      <c r="G9" s="24"/>
      <c r="H9" s="24"/>
      <c r="I9" s="24"/>
      <c r="J9" s="27" t="s">
        <v>56</v>
      </c>
    </row>
    <row r="10" spans="1:14" x14ac:dyDescent="0.25">
      <c r="A10" s="18" t="s">
        <v>14</v>
      </c>
      <c r="B10" s="18" t="s">
        <v>22</v>
      </c>
      <c r="C10" s="19" t="s">
        <v>32</v>
      </c>
      <c r="D10" s="18" t="s">
        <v>55</v>
      </c>
      <c r="E10" s="20" t="s">
        <v>62</v>
      </c>
      <c r="F10" s="24"/>
      <c r="G10" s="24"/>
      <c r="H10" s="24"/>
      <c r="I10" s="24"/>
      <c r="J10" s="27" t="s">
        <v>92</v>
      </c>
    </row>
    <row r="11" spans="1:14" x14ac:dyDescent="0.25">
      <c r="A11" s="18"/>
      <c r="B11" s="18" t="s">
        <v>23</v>
      </c>
      <c r="C11" s="19" t="s">
        <v>33</v>
      </c>
      <c r="D11" s="18" t="s">
        <v>65</v>
      </c>
      <c r="E11" s="20" t="s">
        <v>64</v>
      </c>
      <c r="F11" s="24">
        <v>1</v>
      </c>
      <c r="G11" s="24">
        <v>1</v>
      </c>
      <c r="H11" s="24"/>
      <c r="I11" s="24"/>
      <c r="J11" s="27" t="s">
        <v>93</v>
      </c>
      <c r="N11" s="26"/>
    </row>
    <row r="12" spans="1:14" x14ac:dyDescent="0.25">
      <c r="A12" s="18" t="s">
        <v>15</v>
      </c>
      <c r="B12" s="18" t="s">
        <v>22</v>
      </c>
      <c r="C12" s="19" t="s">
        <v>35</v>
      </c>
      <c r="D12" s="18" t="s">
        <v>66</v>
      </c>
      <c r="E12" s="20" t="s">
        <v>67</v>
      </c>
      <c r="F12" s="24"/>
      <c r="G12" s="24"/>
      <c r="H12" s="24">
        <v>1</v>
      </c>
      <c r="I12" s="24">
        <v>1</v>
      </c>
      <c r="J12" s="28" t="s">
        <v>93</v>
      </c>
    </row>
    <row r="13" spans="1:14" x14ac:dyDescent="0.25">
      <c r="A13" s="18"/>
      <c r="B13" s="18" t="s">
        <v>23</v>
      </c>
      <c r="C13" s="19" t="s">
        <v>34</v>
      </c>
      <c r="D13" s="18" t="s">
        <v>82</v>
      </c>
      <c r="E13" s="20" t="s">
        <v>83</v>
      </c>
      <c r="F13" s="24"/>
      <c r="G13" s="24"/>
      <c r="H13" s="24">
        <f>50000000*0.0002</f>
        <v>10000</v>
      </c>
      <c r="I13" s="24">
        <f>167000000*0.0002</f>
        <v>33400</v>
      </c>
      <c r="J13" s="29">
        <f>HEX2DEC("8235")</f>
        <v>33333</v>
      </c>
      <c r="K13" s="24"/>
    </row>
    <row r="14" spans="1:14" x14ac:dyDescent="0.25">
      <c r="A14" s="18" t="s">
        <v>17</v>
      </c>
      <c r="B14" s="18" t="s">
        <v>22</v>
      </c>
      <c r="C14" s="19" t="s">
        <v>36</v>
      </c>
      <c r="D14" s="18" t="s">
        <v>70</v>
      </c>
      <c r="E14" s="20" t="s">
        <v>71</v>
      </c>
      <c r="F14" s="24"/>
      <c r="G14" s="24"/>
      <c r="H14" s="24">
        <f>50000000*0.000001</f>
        <v>50</v>
      </c>
      <c r="I14" s="24">
        <f>167000000*0.000001</f>
        <v>167</v>
      </c>
      <c r="J14" s="29">
        <f>HEX2DEC("A7")</f>
        <v>167</v>
      </c>
    </row>
    <row r="15" spans="1:14" x14ac:dyDescent="0.25">
      <c r="A15" s="18"/>
      <c r="B15" s="18" t="s">
        <v>23</v>
      </c>
      <c r="C15" s="19" t="s">
        <v>37</v>
      </c>
      <c r="D15" s="18" t="s">
        <v>80</v>
      </c>
      <c r="E15" s="20" t="s">
        <v>81</v>
      </c>
      <c r="F15" s="24"/>
      <c r="G15" s="24"/>
      <c r="H15" s="24">
        <f>50000000*0.0003</f>
        <v>14999.999999999998</v>
      </c>
      <c r="I15" s="24">
        <f>167000000*0.0003</f>
        <v>50099.999999999993</v>
      </c>
      <c r="J15" s="29">
        <f>HEX2DEC("c350")</f>
        <v>50000</v>
      </c>
    </row>
    <row r="16" spans="1:14" x14ac:dyDescent="0.25">
      <c r="A16" s="18" t="s">
        <v>18</v>
      </c>
      <c r="B16" s="18"/>
      <c r="C16" s="18" t="s">
        <v>38</v>
      </c>
      <c r="D16" s="18" t="s">
        <v>84</v>
      </c>
      <c r="E16" s="20" t="s">
        <v>85</v>
      </c>
      <c r="F16" s="24"/>
      <c r="G16" s="24"/>
      <c r="H16" s="24">
        <f>50000000*0.0006</f>
        <v>29999.999999999996</v>
      </c>
      <c r="I16" s="24">
        <f>167000000*0.0006</f>
        <v>100199.99999999999</v>
      </c>
      <c r="J16" s="29">
        <f>HEX2DEC("86a00000")</f>
        <v>2258632704</v>
      </c>
    </row>
    <row r="17" spans="1:10" ht="30" x14ac:dyDescent="0.25">
      <c r="A17" s="18" t="s">
        <v>19</v>
      </c>
      <c r="B17" s="18" t="s">
        <v>22</v>
      </c>
      <c r="C17" s="19" t="s">
        <v>39</v>
      </c>
      <c r="D17" s="21" t="s">
        <v>68</v>
      </c>
      <c r="E17" s="20" t="s">
        <v>69</v>
      </c>
      <c r="F17" s="24"/>
      <c r="G17" s="24"/>
      <c r="H17" s="24">
        <f>50000000*0.00001</f>
        <v>500.00000000000006</v>
      </c>
      <c r="I17" s="24">
        <f>167000000*0.00001</f>
        <v>1670.0000000000002</v>
      </c>
      <c r="J17" s="29">
        <f>HEX2DEC("683")</f>
        <v>1667</v>
      </c>
    </row>
    <row r="18" spans="1:10" x14ac:dyDescent="0.25">
      <c r="A18" s="18"/>
      <c r="B18" s="18" t="s">
        <v>23</v>
      </c>
      <c r="C18" s="19" t="s">
        <v>40</v>
      </c>
      <c r="D18" s="18"/>
      <c r="E18" s="20" t="s">
        <v>96</v>
      </c>
      <c r="F18" s="24"/>
      <c r="G18" s="24"/>
      <c r="H18" s="24"/>
      <c r="I18" s="24"/>
      <c r="J18" s="29">
        <v>0</v>
      </c>
    </row>
    <row r="19" spans="1:10" x14ac:dyDescent="0.25">
      <c r="A19" s="18" t="s">
        <v>20</v>
      </c>
      <c r="B19" s="18" t="s">
        <v>22</v>
      </c>
      <c r="C19" s="19" t="s">
        <v>41</v>
      </c>
      <c r="D19" s="18" t="s">
        <v>72</v>
      </c>
      <c r="E19" s="20" t="s">
        <v>73</v>
      </c>
      <c r="F19" s="24">
        <v>1</v>
      </c>
      <c r="G19" s="24">
        <v>1</v>
      </c>
      <c r="H19" s="24"/>
      <c r="I19" s="24"/>
      <c r="J19" s="29">
        <v>0</v>
      </c>
    </row>
    <row r="20" spans="1:10" x14ac:dyDescent="0.25">
      <c r="A20" s="18"/>
      <c r="B20" s="18" t="s">
        <v>23</v>
      </c>
      <c r="C20" s="19" t="s">
        <v>42</v>
      </c>
      <c r="D20" s="18" t="s">
        <v>74</v>
      </c>
      <c r="E20" s="20" t="s">
        <v>75</v>
      </c>
      <c r="F20" s="24">
        <v>1</v>
      </c>
      <c r="G20" s="24">
        <v>1</v>
      </c>
      <c r="H20" s="24"/>
      <c r="I20" s="24"/>
      <c r="J20" s="25">
        <v>1</v>
      </c>
    </row>
    <row r="21" spans="1:10" x14ac:dyDescent="0.25">
      <c r="A21" s="18" t="s">
        <v>21</v>
      </c>
      <c r="B21" s="18" t="s">
        <v>22</v>
      </c>
      <c r="C21" s="19" t="s">
        <v>43</v>
      </c>
      <c r="D21" s="18" t="s">
        <v>78</v>
      </c>
      <c r="E21" s="20" t="s">
        <v>79</v>
      </c>
      <c r="F21" s="24">
        <v>1</v>
      </c>
      <c r="G21" s="24">
        <v>1</v>
      </c>
      <c r="H21" s="24"/>
      <c r="I21" s="24"/>
      <c r="J21" s="25">
        <v>1</v>
      </c>
    </row>
    <row r="22" spans="1:10" x14ac:dyDescent="0.25">
      <c r="A22" s="18"/>
      <c r="B22" s="18" t="s">
        <v>23</v>
      </c>
      <c r="C22" s="19" t="s">
        <v>44</v>
      </c>
      <c r="D22" s="18" t="s">
        <v>76</v>
      </c>
      <c r="E22" s="20" t="s">
        <v>77</v>
      </c>
      <c r="F22" s="24">
        <v>3</v>
      </c>
      <c r="G22" s="24">
        <v>3</v>
      </c>
      <c r="H22" s="24"/>
      <c r="I22" s="24"/>
      <c r="J22" s="25">
        <v>3</v>
      </c>
    </row>
    <row r="23" spans="1:10" x14ac:dyDescent="0.25">
      <c r="J23" s="20"/>
    </row>
    <row r="24" spans="1:10" x14ac:dyDescent="0.25">
      <c r="J24" s="20"/>
    </row>
  </sheetData>
  <pageMargins left="0.7" right="0.7" top="0.75" bottom="0.75" header="0.3" footer="0.3"/>
  <pageSetup paperSize="8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Timing</vt:lpstr>
      <vt:lpstr>AnalysisLatest</vt:lpstr>
      <vt:lpstr>Analysis</vt:lpstr>
    </vt:vector>
  </TitlesOfParts>
  <Company>ON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Wrobel</dc:creator>
  <cp:lastModifiedBy>Richard Wrobel</cp:lastModifiedBy>
  <cp:lastPrinted>2018-07-12T12:34:29Z</cp:lastPrinted>
  <dcterms:created xsi:type="dcterms:W3CDTF">2018-05-02T16:53:26Z</dcterms:created>
  <dcterms:modified xsi:type="dcterms:W3CDTF">2018-07-23T14:44:59Z</dcterms:modified>
</cp:coreProperties>
</file>