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D:\dataset\"/>
    </mc:Choice>
  </mc:AlternateContent>
  <xr:revisionPtr revIDLastSave="0" documentId="13_ncr:1_{CC55EBD6-0169-4D94-B0F4-80CA3C171A96}" xr6:coauthVersionLast="47" xr6:coauthVersionMax="47" xr10:uidLastSave="{00000000-0000-0000-0000-000000000000}"/>
  <bookViews>
    <workbookView xWindow="-120" yWindow="-120" windowWidth="20730" windowHeight="11160" firstSheet="6" activeTab="8" xr2:uid="{26D4546B-D2A1-4444-8EAF-A6228F96F0C1}"/>
  </bookViews>
  <sheets>
    <sheet name="Data" sheetId="1" r:id="rId1"/>
    <sheet name="India Staff" sheetId="2" r:id="rId2"/>
    <sheet name="All Staff" sheetId="6" r:id="rId3"/>
    <sheet name="Info finder 2.0" sheetId="7" r:id="rId4"/>
    <sheet name="Male Vs Female" sheetId="8" r:id="rId5"/>
    <sheet name="Salary Spread" sheetId="9" r:id="rId6"/>
    <sheet name="Salary Vs Rating " sheetId="10" r:id="rId7"/>
    <sheet name="Employee Trend" sheetId="12" r:id="rId8"/>
    <sheet name="Report" sheetId="13" r:id="rId9"/>
    <sheet name="Work" sheetId="11" r:id="rId10"/>
  </sheets>
  <definedNames>
    <definedName name="_xlnm._FilterDatabase" localSheetId="0" hidden="1">Data!$C$5:$I$105</definedName>
    <definedName name="_xlnm._FilterDatabase" localSheetId="1" hidden="1">'India Staff'!$B$2:$H$114</definedName>
    <definedName name="_xlchart.v1.0" hidden="1">'All Staff'!$G$4:$G$186</definedName>
    <definedName name="_xlchart.v1.1" hidden="1">'All Staff'!$G$4:$G$186</definedName>
    <definedName name="_xlcn.WorksheetConnection_SirChandoProject.xlsxStaff" hidden="1">Staff[]</definedName>
    <definedName name="ExternalData_1" localSheetId="2" hidden="1">'All Staff'!$B$3:$I$186</definedName>
    <definedName name="Slicer_Country">#N/A</definedName>
  </definedNames>
  <calcPr calcId="191029"/>
  <pivotCaches>
    <pivotCache cacheId="0" r:id="rId11"/>
    <pivotCache cacheId="1" r:id="rId12"/>
    <pivotCache cacheId="2" r:id="rId13"/>
    <pivotCache cacheId="3" r:id="rId14"/>
    <pivotCache cacheId="4" r:id="rId15"/>
  </pivotCaches>
  <extLst>
    <ext xmlns:x14="http://schemas.microsoft.com/office/spreadsheetml/2009/9/main" uri="{876F7934-8845-4945-9796-88D515C7AA90}">
      <x14:pivotCaches>
        <pivotCache cacheId="5"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Sir Chando Project.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3" l="1"/>
  <c r="J4" i="13"/>
  <c r="L4" i="13" s="1"/>
  <c r="G4" i="13"/>
  <c r="C4" i="13"/>
  <c r="E4" i="13" s="1"/>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J167" i="6"/>
  <c r="K167" i="6" s="1"/>
  <c r="J88" i="6"/>
  <c r="K88" i="6" s="1"/>
  <c r="J38" i="6"/>
  <c r="K38" i="6" s="1"/>
  <c r="J177" i="6"/>
  <c r="K177" i="6" s="1"/>
  <c r="J40" i="6"/>
  <c r="K40" i="6" s="1"/>
  <c r="J162" i="6"/>
  <c r="K162" i="6" s="1"/>
  <c r="J28" i="6"/>
  <c r="K28" i="6" s="1"/>
  <c r="J64" i="6"/>
  <c r="K64" i="6" s="1"/>
  <c r="J44" i="6"/>
  <c r="K44" i="6" s="1"/>
  <c r="J185" i="6"/>
  <c r="K185" i="6" s="1"/>
  <c r="J160" i="6"/>
  <c r="K160" i="6" s="1"/>
  <c r="J70" i="6"/>
  <c r="K70" i="6" s="1"/>
  <c r="J80" i="6"/>
  <c r="K80" i="6" s="1"/>
  <c r="J154" i="6"/>
  <c r="K154" i="6" s="1"/>
  <c r="J20" i="6"/>
  <c r="K20" i="6" s="1"/>
  <c r="J138" i="6"/>
  <c r="K138" i="6" s="1"/>
  <c r="J10" i="6"/>
  <c r="K10" i="6" s="1"/>
  <c r="J50" i="6"/>
  <c r="K50" i="6" s="1"/>
  <c r="J16" i="6"/>
  <c r="K16" i="6" s="1"/>
  <c r="J100" i="6"/>
  <c r="K100" i="6" s="1"/>
  <c r="J54" i="6"/>
  <c r="K54" i="6" s="1"/>
  <c r="J74" i="6"/>
  <c r="K74" i="6" s="1"/>
  <c r="J52" i="6"/>
  <c r="K52" i="6" s="1"/>
  <c r="J32" i="6"/>
  <c r="K32" i="6" s="1"/>
  <c r="J67" i="6"/>
  <c r="K67" i="6" s="1"/>
  <c r="J94" i="6"/>
  <c r="K94" i="6" s="1"/>
  <c r="J120" i="6"/>
  <c r="K120" i="6" s="1"/>
  <c r="J6" i="6"/>
  <c r="K6" i="6" s="1"/>
  <c r="J102" i="6"/>
  <c r="K102" i="6" s="1"/>
  <c r="J61" i="6"/>
  <c r="K61" i="6" s="1"/>
  <c r="J98" i="6"/>
  <c r="K98" i="6" s="1"/>
  <c r="J179" i="6"/>
  <c r="K179" i="6" s="1"/>
  <c r="J108" i="6"/>
  <c r="K108" i="6" s="1"/>
  <c r="J158" i="6"/>
  <c r="K158" i="6" s="1"/>
  <c r="J34" i="6"/>
  <c r="K34" i="6" s="1"/>
  <c r="J140" i="6"/>
  <c r="K140" i="6" s="1"/>
  <c r="J134" i="6"/>
  <c r="K134" i="6" s="1"/>
  <c r="J144" i="6"/>
  <c r="K144" i="6" s="1"/>
  <c r="J30" i="6"/>
  <c r="K30" i="6" s="1"/>
  <c r="J36" i="6"/>
  <c r="K36" i="6" s="1"/>
  <c r="J106" i="6"/>
  <c r="K106" i="6" s="1"/>
  <c r="J118" i="6"/>
  <c r="K118" i="6" s="1"/>
  <c r="J114" i="6"/>
  <c r="K114" i="6" s="1"/>
  <c r="J130" i="6"/>
  <c r="K130" i="6" s="1"/>
  <c r="J164" i="6"/>
  <c r="K164" i="6" s="1"/>
  <c r="J110" i="6"/>
  <c r="K110" i="6" s="1"/>
  <c r="J78" i="6"/>
  <c r="K78" i="6" s="1"/>
  <c r="J112" i="6"/>
  <c r="K112" i="6" s="1"/>
  <c r="J56" i="6"/>
  <c r="K56" i="6" s="1"/>
  <c r="J183" i="6"/>
  <c r="K183" i="6" s="1"/>
  <c r="J26" i="6"/>
  <c r="K26" i="6" s="1"/>
  <c r="J22" i="6"/>
  <c r="K22" i="6" s="1"/>
  <c r="J175" i="6"/>
  <c r="K175" i="6" s="1"/>
  <c r="J84" i="6"/>
  <c r="K84" i="6" s="1"/>
  <c r="J90" i="6"/>
  <c r="K90" i="6" s="1"/>
  <c r="J156" i="6"/>
  <c r="K156" i="6" s="1"/>
  <c r="J170" i="6"/>
  <c r="K170" i="6" s="1"/>
  <c r="J82" i="6"/>
  <c r="K82" i="6" s="1"/>
  <c r="J181" i="6"/>
  <c r="K181" i="6" s="1"/>
  <c r="J104" i="6"/>
  <c r="K104" i="6" s="1"/>
  <c r="J173" i="6"/>
  <c r="K173" i="6" s="1"/>
  <c r="J126" i="6"/>
  <c r="K126" i="6" s="1"/>
  <c r="J150" i="6"/>
  <c r="K150" i="6" s="1"/>
  <c r="J46" i="6"/>
  <c r="K46" i="6" s="1"/>
  <c r="J124" i="6"/>
  <c r="K124" i="6" s="1"/>
  <c r="J48" i="6"/>
  <c r="K48" i="6" s="1"/>
  <c r="J132" i="6"/>
  <c r="K132" i="6" s="1"/>
  <c r="J72" i="6"/>
  <c r="K72" i="6" s="1"/>
  <c r="J24" i="6"/>
  <c r="K24" i="6" s="1"/>
  <c r="J62" i="6"/>
  <c r="K62" i="6" s="1"/>
  <c r="J146" i="6"/>
  <c r="K146" i="6" s="1"/>
  <c r="J122" i="6"/>
  <c r="K122" i="6" s="1"/>
  <c r="J142" i="6"/>
  <c r="K142" i="6" s="1"/>
  <c r="J171" i="6"/>
  <c r="K171" i="6" s="1"/>
  <c r="J4" i="6"/>
  <c r="K4" i="6" s="1"/>
  <c r="J152" i="6"/>
  <c r="K152" i="6" s="1"/>
  <c r="J12" i="6"/>
  <c r="K12" i="6" s="1"/>
  <c r="J128" i="6"/>
  <c r="K128" i="6" s="1"/>
  <c r="J9" i="6"/>
  <c r="K9" i="6" s="1"/>
  <c r="J148" i="6"/>
  <c r="K148" i="6" s="1"/>
  <c r="J137" i="6"/>
  <c r="K137" i="6" s="1"/>
  <c r="J116" i="6"/>
  <c r="K116" i="6" s="1"/>
  <c r="J18" i="6"/>
  <c r="K18" i="6" s="1"/>
  <c r="J58" i="6"/>
  <c r="K58" i="6" s="1"/>
  <c r="J68" i="6"/>
  <c r="K68" i="6" s="1"/>
  <c r="J15" i="6"/>
  <c r="K15" i="6" s="1"/>
  <c r="J96" i="6"/>
  <c r="K96" i="6" s="1"/>
  <c r="J92" i="6"/>
  <c r="K92" i="6" s="1"/>
  <c r="J76" i="6"/>
  <c r="K76" i="6" s="1"/>
  <c r="J86" i="6"/>
  <c r="K86" i="6" s="1"/>
  <c r="J41" i="6"/>
  <c r="K41" i="6" s="1"/>
  <c r="J165" i="6"/>
  <c r="K165" i="6" s="1"/>
  <c r="J21" i="6"/>
  <c r="K21" i="6" s="1"/>
  <c r="J145" i="6"/>
  <c r="K145" i="6" s="1"/>
  <c r="J23" i="6"/>
  <c r="K23" i="6" s="1"/>
  <c r="J178" i="6"/>
  <c r="K178" i="6" s="1"/>
  <c r="J49" i="6"/>
  <c r="K49" i="6" s="1"/>
  <c r="J133" i="6"/>
  <c r="K133" i="6" s="1"/>
  <c r="J127" i="6"/>
  <c r="K127" i="6" s="1"/>
  <c r="J93" i="6"/>
  <c r="K93" i="6" s="1"/>
  <c r="J159" i="6"/>
  <c r="K159" i="6" s="1"/>
  <c r="J149" i="6"/>
  <c r="K149" i="6" s="1"/>
  <c r="J136" i="6"/>
  <c r="K136" i="6" s="1"/>
  <c r="J27" i="6"/>
  <c r="K27" i="6" s="1"/>
  <c r="J11" i="6"/>
  <c r="K11" i="6" s="1"/>
  <c r="J166" i="6"/>
  <c r="K166" i="6" s="1"/>
  <c r="J35" i="6"/>
  <c r="K35" i="6" s="1"/>
  <c r="J184" i="6"/>
  <c r="K184" i="6" s="1"/>
  <c r="J85" i="6"/>
  <c r="K85" i="6" s="1"/>
  <c r="J111" i="6"/>
  <c r="K111" i="6" s="1"/>
  <c r="J105" i="6"/>
  <c r="K105" i="6" s="1"/>
  <c r="J47" i="6"/>
  <c r="K47" i="6" s="1"/>
  <c r="J123" i="6"/>
  <c r="K123" i="6" s="1"/>
  <c r="J8" i="6"/>
  <c r="K8" i="6" s="1"/>
  <c r="J95" i="6"/>
  <c r="K95" i="6" s="1"/>
  <c r="J13" i="6"/>
  <c r="K13" i="6" s="1"/>
  <c r="J143" i="6"/>
  <c r="K143" i="6" s="1"/>
  <c r="J53" i="6"/>
  <c r="K53" i="6" s="1"/>
  <c r="J174" i="6"/>
  <c r="K174" i="6" s="1"/>
  <c r="J14" i="6"/>
  <c r="K14" i="6" s="1"/>
  <c r="J163" i="6"/>
  <c r="K163" i="6" s="1"/>
  <c r="J25" i="6"/>
  <c r="K25" i="6" s="1"/>
  <c r="J73" i="6"/>
  <c r="K73" i="6" s="1"/>
  <c r="J141" i="6"/>
  <c r="K141" i="6" s="1"/>
  <c r="J113" i="6"/>
  <c r="K113" i="6" s="1"/>
  <c r="J37" i="6"/>
  <c r="K37" i="6" s="1"/>
  <c r="J161" i="6"/>
  <c r="K161" i="6" s="1"/>
  <c r="J186" i="6"/>
  <c r="K186" i="6" s="1"/>
  <c r="J168" i="6"/>
  <c r="K168" i="6" s="1"/>
  <c r="J176" i="6"/>
  <c r="K176" i="6" s="1"/>
  <c r="J33" i="6"/>
  <c r="K33" i="6" s="1"/>
  <c r="J101" i="6"/>
  <c r="K101" i="6" s="1"/>
  <c r="J39" i="6"/>
  <c r="K39" i="6" s="1"/>
  <c r="J117" i="6"/>
  <c r="K117" i="6" s="1"/>
  <c r="J5" i="6"/>
  <c r="K5" i="6" s="1"/>
  <c r="J97" i="6"/>
  <c r="K97" i="6" s="1"/>
  <c r="J55" i="6"/>
  <c r="K55" i="6" s="1"/>
  <c r="J151" i="6"/>
  <c r="K151" i="6" s="1"/>
  <c r="J51" i="6"/>
  <c r="K51" i="6" s="1"/>
  <c r="J129" i="6"/>
  <c r="K129" i="6" s="1"/>
  <c r="J87" i="6"/>
  <c r="K87" i="6" s="1"/>
  <c r="J103" i="6"/>
  <c r="K103" i="6" s="1"/>
  <c r="J125" i="6"/>
  <c r="K125" i="6" s="1"/>
  <c r="J63" i="6"/>
  <c r="K63" i="6" s="1"/>
  <c r="J180" i="6"/>
  <c r="K180" i="6" s="1"/>
  <c r="J69" i="6"/>
  <c r="K69" i="6" s="1"/>
  <c r="J66" i="6"/>
  <c r="K66" i="6" s="1"/>
  <c r="J131" i="6"/>
  <c r="K131" i="6" s="1"/>
  <c r="J31" i="6"/>
  <c r="K31" i="6" s="1"/>
  <c r="J115" i="6"/>
  <c r="K115" i="6" s="1"/>
  <c r="J121" i="6"/>
  <c r="K121" i="6" s="1"/>
  <c r="J79" i="6"/>
  <c r="K79" i="6" s="1"/>
  <c r="J42" i="6"/>
  <c r="K42" i="6" s="1"/>
  <c r="J19" i="6"/>
  <c r="K19" i="6" s="1"/>
  <c r="J157" i="6"/>
  <c r="K157" i="6" s="1"/>
  <c r="J139" i="6"/>
  <c r="K139" i="6" s="1"/>
  <c r="J17" i="6"/>
  <c r="K17" i="6" s="1"/>
  <c r="J91" i="6"/>
  <c r="K91" i="6" s="1"/>
  <c r="J169" i="6"/>
  <c r="K169" i="6" s="1"/>
  <c r="J119" i="6"/>
  <c r="K119" i="6" s="1"/>
  <c r="J43" i="6"/>
  <c r="K43" i="6" s="1"/>
  <c r="J81" i="6"/>
  <c r="K81" i="6" s="1"/>
  <c r="J75" i="6"/>
  <c r="K75" i="6" s="1"/>
  <c r="J83" i="6"/>
  <c r="K83" i="6" s="1"/>
  <c r="J60" i="6"/>
  <c r="K60" i="6" s="1"/>
  <c r="J153" i="6"/>
  <c r="K153" i="6" s="1"/>
  <c r="J182" i="6"/>
  <c r="K182" i="6" s="1"/>
  <c r="J107" i="6"/>
  <c r="K107" i="6" s="1"/>
  <c r="J172" i="6"/>
  <c r="K172" i="6" s="1"/>
  <c r="J147" i="6"/>
  <c r="K147" i="6" s="1"/>
  <c r="J77" i="6"/>
  <c r="K77" i="6" s="1"/>
  <c r="J7" i="6"/>
  <c r="K7" i="6" s="1"/>
  <c r="J65" i="6"/>
  <c r="K65" i="6" s="1"/>
  <c r="J155" i="6"/>
  <c r="K155" i="6" s="1"/>
  <c r="J71" i="6"/>
  <c r="K71" i="6" s="1"/>
  <c r="J99" i="6"/>
  <c r="K99" i="6" s="1"/>
  <c r="J45" i="6"/>
  <c r="K45" i="6" s="1"/>
  <c r="J109" i="6"/>
  <c r="K109" i="6" s="1"/>
  <c r="J57" i="6"/>
  <c r="K57" i="6" s="1"/>
  <c r="J89" i="6"/>
  <c r="K89" i="6" s="1"/>
  <c r="J59" i="6"/>
  <c r="K59" i="6" s="1"/>
  <c r="J29" i="6"/>
  <c r="K29" i="6" s="1"/>
  <c r="J135" i="6"/>
  <c r="K135" i="6" s="1"/>
  <c r="D5" i="7"/>
  <c r="R9" i="6"/>
  <c r="R7" i="6"/>
  <c r="R5" i="6"/>
  <c r="R4" i="6"/>
  <c r="Q14" i="6" l="1" a="1"/>
  <c r="Q14" i="6" s="1"/>
  <c r="C8" i="7" a="1"/>
  <c r="C8" i="7" s="1"/>
  <c r="R10" i="6"/>
  <c r="R8" i="6"/>
  <c r="R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435B81-A85B-4DFE-8F25-9601CA2B52A4}" keepAlive="1" name="Query - Indian_Staff" description="Connection to the 'Indian_Staff' query in the workbook." type="5" refreshedVersion="0" background="1">
    <dbPr connection="Provider=Microsoft.Mashup.OleDb.1;Data Source=$Workbook$;Location=Indian_Staff;Extended Properties=&quot;&quot;" command="SELECT * FROM [Indian_Staff]"/>
  </connection>
  <connection id="2" xr16:uid="{02AE1DCF-D64E-4CFB-B5C5-FF1BFBFDA350}" keepAlive="1" name="Query - Nzz_Staff" description="Connection to the 'Nzz_Staff' query in the workbook." type="5" refreshedVersion="8" background="1" saveData="1">
    <dbPr connection="Provider=Microsoft.Mashup.OleDb.1;Data Source=$Workbook$;Location=Nzz_Staff;Extended Properties=&quot;&quot;" command="SELECT * FROM [Nzz_Staff]"/>
  </connection>
  <connection id="3" xr16:uid="{CFD4AF66-3B4B-42FB-B5A5-6D24CA8B77D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EDBDEBCD-67E2-4F58-AA21-2B4108DC0E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510C208C-1436-4D78-A130-5BBC7962630B}" name="WorksheetConnection_Sir Chando Project.xlsx!Staff" type="102" refreshedVersion="8" minRefreshableVersion="5">
    <extLst>
      <ext xmlns:x15="http://schemas.microsoft.com/office/spreadsheetml/2010/11/main" uri="{DE250136-89BD-433C-8126-D09CA5730AF9}">
        <x15:connection id="Staff" autoDelete="1">
          <x15:rangePr sourceName="_xlcn.WorksheetConnection_SirChandoProject.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<sst xmlns="http://schemas.openxmlformats.org/spreadsheetml/2006/main" count="1893" uniqueCount="249">
  <si>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</si>
  <si>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</si>
  <si>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</si>
  <si>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</si>
  <si>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</si>
  <si>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</si>
  <si>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</si>
  <si>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</si>
  <si>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</si>
  <si>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</si>
  <si>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</si>
  <si>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</si>
  <si>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</si>
  <si>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</si>
  <si>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</si>
  <si>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</si>
  <si>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</si>
  <si>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</si>
  <si>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</si>
  <si>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</si>
  <si>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</si>
  <si>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</si>
  <si>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</si>
  <si>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</si>
  <si>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</si>
  <si>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</si>
  <si>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</si>
  <si>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</si>
  <si>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</si>
  <si>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</si>
  <si>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</si>
  <si>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</si>
  <si>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</si>
  <si>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</si>
  <si>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</si>
  <si>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</si>
  <si>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</si>
  <si>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</si>
  <si>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</si>
  <si>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</si>
  <si>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</si>
  <si>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</si>
  <si>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</si>
  <si>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</si>
  <si>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</si>
  <si>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</si>
  <si>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</si>
  <si>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</si>
  <si>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</si>
  <si>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</si>
  <si>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</si>
  <si>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</si>
  <si>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</si>
  <si>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</si>
  <si>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</si>
  <si>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</si>
  <si>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</si>
  <si>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</si>
  <si>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</si>
  <si>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</si>
  <si>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</si>
  <si>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</si>
  <si>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</si>
  <si>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</si>
  <si>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</si>
  <si>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</si>
  <si>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</si>
  <si>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</si>
  <si>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</si>
  <si>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</si>
  <si>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</si>
  <si>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</si>
  <si>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</si>
  <si>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</si>
  <si>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</si>
  <si>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</si>
  <si>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</si>
  <si>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</si>
  <si>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</si>
  <si>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</si>
  <si>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</si>
  <si>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</si>
  <si>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</si>
  <si>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</si>
  <si>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</si>
  <si>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</si>
  <si>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</si>
  <si>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</si>
  <si>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</si>
  <si>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</si>
  <si>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</si>
  <si>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</si>
  <si>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</si>
  <si>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</si>
  <si>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</si>
  <si>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</si>
  <si>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</si>
  <si>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</si>
  <si>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</si>
  <si>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</si>
  <si>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</si>
  <si>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</si>
  <si>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</si>
  <si>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</si>
  <si>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</si>
  <si>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</si>
  <si>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</si>
  <si>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</si>
  <si>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</si>
  <si>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</si>
  <si>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</si>
  <si>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</si>
  <si>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</si>
  <si>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</si>
  <si>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</si>
  <si>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</si>
  <si>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</si>
  <si>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</si>
  <si>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</si>
  <si>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</si>
  <si>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</si>
  <si>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</si>
  <si>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</si>
  <si>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</si>
  <si>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</si>
  <si>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</si>
  <si>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</si>
  <si>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</si>
  <si>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</si>
  <si>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</si>
  <si>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</si>
  <si>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</si>
  <si>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</si>
  <si>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</si>
  <si>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</si>
  <si>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</si>
  <si>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</si>
  <si>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</si>
  <si>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</si>
  <si>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</si>
  <si>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</si>
  <si>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</si>
  <si>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</si>
  <si>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</si>
  <si>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</si>
  <si>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</si>
  <si>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</si>
  <si>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</si>
  <si>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</si>
  <si>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</si>
  <si>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</si>
  <si>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</si>
  <si>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</si>
  <si>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</si>
  <si>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</si>
  <si>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</si>
  <si>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</si>
  <si>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</si>
  <si>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</si>
  <si>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</si>
  <si>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</si>
  <si>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</si>
  <si>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</si>
  <si>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</si>
  <si>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</si>
  <si>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</si>
  <si>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</si>
  <si>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</si>
  <si>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</si>
  <si>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</si>
  <si>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</si>
  <si>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</si>
  <si>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</si>
  <si>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</si>
  <si>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</si>
  <si>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</si>
  <si>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</si>
  <si>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</si>
  <si>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</si>
  <si>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</si>
  <si>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</si>
  <si>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</si>
  <si>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</si>
  <si>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</si>
  <si>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</si>
  <si>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</si>
  <si>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</si>
  <si>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</si>
  <si>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</si>
  <si>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</si>
  <si>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</si>
  <si>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</si>
  <si>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</si>
  <si>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</si>
  <si>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</si>
  <si>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</si>
  <si>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</si>
  <si>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</si>
  <si>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</si>
  <si>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</si>
  <si>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</si>
  <si>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</si>
  <si>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</si>
  <si>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</si>
  <si>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NZ</t>
  </si>
  <si>
    <t>Other</t>
  </si>
  <si>
    <t>IND</t>
  </si>
  <si>
    <t>Count of Employees</t>
  </si>
  <si>
    <t xml:space="preserve">Average Salary </t>
  </si>
  <si>
    <t>Tenure</t>
  </si>
  <si>
    <t>Average Tenure</t>
  </si>
  <si>
    <t xml:space="preserve">Count of Female </t>
  </si>
  <si>
    <t xml:space="preserve">Percentage of Female </t>
  </si>
  <si>
    <t>count of Salary &lt;90K</t>
  </si>
  <si>
    <t>Percentage of &lt;90K</t>
  </si>
  <si>
    <t>Department Name</t>
  </si>
  <si>
    <t xml:space="preserve">Total staff </t>
  </si>
  <si>
    <t>Male Vs Female</t>
  </si>
  <si>
    <t>Column Labels</t>
  </si>
  <si>
    <t>Count of Name</t>
  </si>
  <si>
    <t>Average of Age</t>
  </si>
  <si>
    <t>Values</t>
  </si>
  <si>
    <t>Average of Salary</t>
  </si>
  <si>
    <t>Average of Tenure</t>
  </si>
  <si>
    <t>Bonus</t>
  </si>
  <si>
    <t>Row Labels</t>
  </si>
  <si>
    <t>Grand Total</t>
  </si>
  <si>
    <t>Rating as Numbers</t>
  </si>
  <si>
    <t>2020</t>
  </si>
  <si>
    <t>May</t>
  </si>
  <si>
    <t>Jun</t>
  </si>
  <si>
    <t>Jul</t>
  </si>
  <si>
    <t>Aug</t>
  </si>
  <si>
    <t>Sep</t>
  </si>
  <si>
    <t>Oct</t>
  </si>
  <si>
    <t>Nov</t>
  </si>
  <si>
    <t>Dec</t>
  </si>
  <si>
    <t>2021</t>
  </si>
  <si>
    <t>Jan</t>
  </si>
  <si>
    <t>Feb</t>
  </si>
  <si>
    <t>Mar</t>
  </si>
  <si>
    <t>Apr</t>
  </si>
  <si>
    <t>2022</t>
  </si>
  <si>
    <t>2023</t>
  </si>
  <si>
    <t>Female Ratio</t>
  </si>
  <si>
    <t>Average Salary</t>
  </si>
  <si>
    <t xml:space="preserve">Headcount of Department </t>
  </si>
  <si>
    <t>Total  Staff</t>
  </si>
  <si>
    <t>Total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</si>
</sst>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_(* #,##0.0_);_(* \(#,##0.0\);_(* &quot;-&quot;??_);_(@_)"/>
    <numFmt numFmtId="165" formatCode="_(&quot;$&quot;* #,##0_);_(&quot;$&quot;* \(#,##0\);_(&quot;$&quot;* &quot;-&quot;??_);_(@_)"/>
    <numFmt numFmtId="166" formatCode="&quot;$&quot;#,##0"/>
  </numFmts>
  <fonts count="9" x14ac:knownFonts="1">
    <font>
      <sz val="11"/>
      <color theme="1"/>
      <name val="Calibri"/>
      <family val="2"/>
      <scheme val="minor"/>
    </font>
    <font>
      <sz val="28"/>
      <color theme="1"/>
      <name val="Segoe UI Light"/>
      <family val="2"/>
    </font>
    <font>
      <b/>
      <sz val="11"/>
      <color theme="0"/>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b/>
      <sz val="36"/>
      <color theme="1"/>
      <name val="Segoe UI"/>
      <family val="2"/>
    </font>
    <font>
      <b/>
      <sz val="18"/>
      <color theme="1"/>
      <name val="Segoe UI"/>
      <family val="2"/>
    </font>
    <font>
      <b/>
      <sz val="28"/>
      <color theme="1"/>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9"/>
        <bgColor theme="9"/>
      </patternFill>
    </fill>
    <fill>
      <patternFill patternType="solid">
        <fgColor theme="5" tint="-0.249977111117893"/>
        <bgColor indexed="64"/>
      </patternFill>
    </fill>
    <fill>
      <patternFill patternType="solid">
        <fgColor theme="7" tint="0.39997558519241921"/>
        <bgColor indexed="64"/>
      </patternFill>
    </fill>
    <fill>
      <patternFill patternType="solid">
        <fgColor theme="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2" tint="-9.9978637043366805E-2"/>
        <bgColor indexed="64"/>
      </patternFill>
    </fill>
  </fills>
  <borders count="12">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0" fontId="2" fillId="4" borderId="1" xfId="0" applyFont="1" applyFill="1" applyBorder="1"/>
    <xf numFmtId="0" fontId="2" fillId="4" borderId="2" xfId="0" applyFont="1" applyFill="1" applyBorder="1"/>
    <xf numFmtId="14" fontId="0" fillId="0" borderId="0" xfId="0" applyNumberFormat="1"/>
    <xf numFmtId="2" fontId="0" fillId="0" borderId="0" xfId="0" applyNumberFormat="1"/>
    <xf numFmtId="9" fontId="0" fillId="0" borderId="0" xfId="0" applyNumberFormat="1"/>
    <xf numFmtId="0" fontId="0" fillId="5" borderId="0" xfId="0" applyFill="1"/>
    <xf numFmtId="0" fontId="3" fillId="6" borderId="0" xfId="0" applyFont="1" applyFill="1"/>
    <xf numFmtId="0" fontId="3" fillId="0" borderId="0" xfId="0" applyFont="1"/>
    <xf numFmtId="0" fontId="3" fillId="7" borderId="0" xfId="0" applyFont="1" applyFill="1"/>
    <xf numFmtId="0" fontId="5" fillId="0" borderId="0" xfId="0" applyFont="1"/>
    <xf numFmtId="0" fontId="0" fillId="0" borderId="0" xfId="0" pivotButton="1"/>
    <xf numFmtId="0" fontId="0" fillId="0" borderId="0" xfId="0" applyAlignment="1">
      <alignment horizontal="left"/>
    </xf>
    <xf numFmtId="164" fontId="0" fillId="0" borderId="0" xfId="0" applyNumberFormat="1"/>
    <xf numFmtId="165" fontId="0" fillId="0" borderId="0" xfId="1" applyNumberFormat="1" applyFont="1"/>
    <xf numFmtId="166" fontId="0" fillId="0" borderId="0" xfId="0" applyNumberFormat="1"/>
    <xf numFmtId="0" fontId="0" fillId="0" borderId="0" xfId="0" applyAlignment="1">
      <alignment wrapText="1"/>
    </xf>
    <xf numFmtId="0" fontId="0" fillId="0" borderId="3" xfId="0" applyBorder="1" applyAlignment="1">
      <alignment horizontal="left"/>
    </xf>
    <xf numFmtId="0" fontId="0" fillId="0" borderId="3" xfId="0" applyBorder="1"/>
    <xf numFmtId="0" fontId="0" fillId="0" borderId="0" xfId="0" applyAlignment="1">
      <alignment horizontal="left" inden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6" fillId="9" borderId="0" xfId="0" applyFont="1" applyFill="1" applyAlignment="1">
      <alignment horizontal="center" vertical="center"/>
    </xf>
    <xf numFmtId="166" fontId="7" fillId="9" borderId="0" xfId="1" applyNumberFormat="1" applyFont="1" applyFill="1" applyAlignment="1">
      <alignment horizontal="center" vertical="center"/>
    </xf>
    <xf numFmtId="9" fontId="7" fillId="9" borderId="0" xfId="2" applyFont="1" applyFill="1" applyAlignment="1">
      <alignment horizontal="center" vertical="center"/>
    </xf>
    <xf numFmtId="0" fontId="6" fillId="8" borderId="0" xfId="0" applyFont="1" applyFill="1" applyAlignment="1">
      <alignment horizontal="center" vertical="center"/>
    </xf>
    <xf numFmtId="9" fontId="7" fillId="8" borderId="0" xfId="2" applyFont="1" applyFill="1" applyAlignment="1">
      <alignment horizontal="center" vertical="center"/>
    </xf>
    <xf numFmtId="166" fontId="7" fillId="8" borderId="0" xfId="1" applyNumberFormat="1" applyFont="1" applyFill="1" applyAlignment="1">
      <alignment horizontal="center" vertical="center"/>
    </xf>
    <xf numFmtId="0" fontId="3" fillId="0" borderId="0" xfId="0" applyFont="1" applyAlignment="1">
      <alignment horizontal="center" vertical="center"/>
    </xf>
    <xf numFmtId="0" fontId="5" fillId="10" borderId="0" xfId="0" applyFont="1" applyFill="1" applyAlignment="1">
      <alignment horizontal="center"/>
    </xf>
    <xf numFmtId="0" fontId="8" fillId="0" borderId="0" xfId="0" applyFont="1" applyAlignment="1">
      <alignment horizontal="center"/>
    </xf>
    <xf numFmtId="0" fontId="0" fillId="0" borderId="0" xfId="0" applyAlignment="1">
      <alignment horizontal="center"/>
    </xf>
  </cellXfs>
  <cellStyles count="3">
    <cellStyle name="Currency" xfId="1" builtinId="4"/>
    <cellStyle name="Normal" xfId="0" builtinId="0"/>
    <cellStyle name="Percent" xfId="2" builtinId="5"/>
  </cellStyles>
  <dxfs count="12">
    <dxf>
      <font>
        <color rgb="FF9C0006"/>
      </font>
      <fill>
        <patternFill>
          <bgColor rgb="FFFFC7CE"/>
        </patternFill>
      </fill>
    </dxf>
    <dxf>
      <numFmt numFmtId="164" formatCode="_(* #,##0.0_);_(* \(#,##0.0\);_(* &quot;-&quot;??_);_(@_)"/>
    </dxf>
    <dxf>
      <numFmt numFmtId="0" formatCode="General"/>
    </dxf>
    <dxf>
      <numFmt numFmtId="165" formatCode="_(&quot;$&quot;* #,##0_);_(&quot;$&quot;* \(#,##0\);_(&quot;$&quot;* &quot;-&quot;??_);_(@_)"/>
    </dxf>
    <dxf>
      <numFmt numFmtId="2" formatCode="0.00"/>
    </dxf>
    <dxf>
      <numFmt numFmtId="165" formatCode="_(&quot;$&quot;* #,##0_);_(&quot;$&quot;* \(#,##0\);_(&quot;$&quot;* &quot;-&quot;??_);_(@_)"/>
    </dxf>
    <dxf>
      <numFmt numFmtId="19" formatCode="m/d/yyyy"/>
    </dxf>
    <dxf>
      <numFmt numFmtId="0" formatCode="General"/>
    </dxf>
    <dxf>
      <numFmt numFmtId="0" formatCode="General"/>
    </dxf>
    <dxf>
      <numFmt numFmtId="0" formatCode="General"/>
    </dxf>
    <dxf>
      <numFmt numFmtId="20" formatCode="d\-mmm\-yy"/>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t>
            </a:r>
            <a:r>
              <a:rPr lang="en-US" baseline="0"/>
              <a:t> vs Rating</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Staff'!$L$3</c:f>
              <c:strCache>
                <c:ptCount val="1"/>
                <c:pt idx="0">
                  <c:v>Rating as Numbers</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Staff'!$G$4:$G$187</c:f>
              <c:numCache>
                <c:formatCode>_("$"* #,##0_);_("$"* \(#,##0\);_("$"* "-"??_);_(@_)</c:formatCode>
                <c:ptCount val="184"/>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Staff'!$L$4:$L$187</c:f>
              <c:numCache>
                <c:formatCode>General</c:formatCode>
                <c:ptCount val="18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7212-426A-9234-E7C669874D1E}"/>
            </c:ext>
          </c:extLst>
        </c:ser>
        <c:dLbls>
          <c:showLegendKey val="0"/>
          <c:showVal val="0"/>
          <c:showCatName val="0"/>
          <c:showSerName val="0"/>
          <c:showPercent val="0"/>
          <c:showBubbleSize val="0"/>
        </c:dLbls>
        <c:axId val="1532910623"/>
        <c:axId val="35496864"/>
      </c:scatterChart>
      <c:valAx>
        <c:axId val="153291062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96864"/>
        <c:crosses val="autoZero"/>
        <c:crossBetween val="midCat"/>
      </c:valAx>
      <c:valAx>
        <c:axId val="35496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910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[Sir Chando Project.xlsx]Employee Trend!PivotTable2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'Employee Trend'!$C$5</c:f>
              <c:strCache>
                <c:ptCount val="1"/>
                <c:pt idx="0">
                  <c:v>Total</c:v>
                </c:pt>
              </c:strCache>
            </c:strRef>
          </c:tx>
          <c:spPr>
            <a:ln w="28575" cap="rnd">
              <a:solidFill>
                <a:schemeClr val="accent1"/>
              </a:solidFill>
              <a:round/>
            </a:ln>
            <a:effectLst/>
          </c:spPr>
          <c:marker>
            <c:symbol val="none"/>
          </c:marker>
          <c:cat>
            <c:multiLvlStrRef>
              <c:f>'Employee Trend'!$B$6:$B$42</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Trend'!$C$6:$C$42</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850B-4844-9A95-D4DD4E4AF612}"/>
            </c:ext>
          </c:extLst>
        </c:ser>
        <c:dLbls>
          <c:showLegendKey val="0"/>
          <c:showVal val="0"/>
          <c:showCatName val="0"/>
          <c:showSerName val="0"/>
          <c:showPercent val="0"/>
          <c:showBubbleSize val="0"/>
        </c:dLbls>
        <c:smooth val="0"/>
        <c:axId val="45187904"/>
        <c:axId val="35496368"/>
      </c:lineChart>
      <c:catAx>
        <c:axId val="4518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96368"/>
        <c:crosses val="autoZero"/>
        <c:auto val="1"/>
        <c:lblAlgn val="ctr"/>
        <c:lblOffset val="100"/>
        <c:noMultiLvlLbl val="0"/>
      </c:catAx>
      <c:valAx>
        <c:axId val="3549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8790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[Sir Chando Project.xlsx]Work!PivotTable3</c:name>
    <c:fmtId val="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Work!$C$12</c:f>
              <c:strCache>
                <c:ptCount val="1"/>
                <c:pt idx="0">
                  <c:v>Total</c:v>
                </c:pt>
              </c:strCache>
            </c:strRef>
          </c:tx>
          <c:spPr>
            <a:solidFill>
              <a:schemeClr val="accent1"/>
            </a:solidFill>
            <a:ln>
              <a:noFill/>
            </a:ln>
            <a:effectLst/>
          </c:spPr>
          <c:invertIfNegative val="0"/>
          <c:cat>
            <c:strRef>
              <c:f>Work!$B$13:$B$18</c:f>
              <c:strCache>
                <c:ptCount val="5"/>
                <c:pt idx="0">
                  <c:v>Procurement</c:v>
                </c:pt>
                <c:pt idx="1">
                  <c:v>Website</c:v>
                </c:pt>
                <c:pt idx="2">
                  <c:v>Finance</c:v>
                </c:pt>
                <c:pt idx="3">
                  <c:v>Sales</c:v>
                </c:pt>
                <c:pt idx="4">
                  <c:v>HR</c:v>
                </c:pt>
              </c:strCache>
            </c:strRef>
          </c:cat>
          <c:val>
            <c:numRef>
              <c:f>Work!$C$13:$C$18</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2FC4-4C98-AA0D-81495028ED4A}"/>
            </c:ext>
          </c:extLst>
        </c:ser>
        <c:dLbls>
          <c:showLegendKey val="0"/>
          <c:showVal val="0"/>
          <c:showCatName val="0"/>
          <c:showSerName val="0"/>
          <c:showPercent val="0"/>
          <c:showBubbleSize val="0"/>
        </c:dLbls>
        <c:gapWidth val="90"/>
        <c:axId val="1611699375"/>
        <c:axId val="36129536"/>
      </c:barChart>
      <c:catAx>
        <c:axId val="1611699375"/>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29536"/>
        <c:crosses val="autoZero"/>
        <c:auto val="1"/>
        <c:lblAlgn val="ctr"/>
        <c:lblOffset val="100"/>
        <c:noMultiLvlLbl val="0"/>
      </c:catAx>
      <c:valAx>
        <c:axId val="3612953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9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[Sir Chando Project.xlsx]Work!PivotTable4</c:name>
    <c:fmtId val="4"/>
  </c:pivotSource>
  <c:chart>
    <c:autoTitleDeleted val="1"/>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Work!$G$12</c:f>
              <c:strCache>
                <c:ptCount val="1"/>
                <c:pt idx="0">
                  <c:v>Total</c:v>
                </c:pt>
              </c:strCache>
            </c:strRef>
          </c:tx>
          <c:spPr>
            <a:solidFill>
              <a:schemeClr val="accent4">
                <a:lumMod val="40000"/>
                <a:lumOff val="60000"/>
              </a:schemeClr>
            </a:solidFill>
            <a:ln>
              <a:noFill/>
            </a:ln>
            <a:effectLst/>
          </c:spPr>
          <c:invertIfNegative val="0"/>
          <c:cat>
            <c:strRef>
              <c:f>Work!$F$13:$F$18</c:f>
              <c:strCache>
                <c:ptCount val="5"/>
                <c:pt idx="0">
                  <c:v>Website</c:v>
                </c:pt>
                <c:pt idx="1">
                  <c:v>Procurement</c:v>
                </c:pt>
                <c:pt idx="2">
                  <c:v>Finance</c:v>
                </c:pt>
                <c:pt idx="3">
                  <c:v>Sales</c:v>
                </c:pt>
                <c:pt idx="4">
                  <c:v>HR</c:v>
                </c:pt>
              </c:strCache>
            </c:strRef>
          </c:cat>
          <c:val>
            <c:numRef>
              <c:f>Work!$G$13:$G$18</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7F6E-4984-BEF2-B156098141D4}"/>
            </c:ext>
          </c:extLst>
        </c:ser>
        <c:dLbls>
          <c:showLegendKey val="0"/>
          <c:showVal val="0"/>
          <c:showCatName val="0"/>
          <c:showSerName val="0"/>
          <c:showPercent val="0"/>
          <c:showBubbleSize val="0"/>
        </c:dLbls>
        <c:gapWidth val="90"/>
        <c:axId val="45182624"/>
        <c:axId val="45946544"/>
      </c:barChart>
      <c:catAx>
        <c:axId val="45182624"/>
        <c:scaling>
          <c:orientation val="maxMin"/>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46544"/>
        <c:crosses val="autoZero"/>
        <c:auto val="1"/>
        <c:lblAlgn val="ctr"/>
        <c:lblOffset val="100"/>
        <c:noMultiLvlLbl val="0"/>
      </c:catAx>
      <c:valAx>
        <c:axId val="459465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8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CB8AA2EB-283D-4851-B36A-1F5E82067617}">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boxWhisker" uniqueId="{1FEDE750-285F-44A3-97B4-0A498F550FE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8</xdr:row>
      <xdr:rowOff>0</xdr:rowOff>
    </xdr:from>
    <xdr:to>
      <xdr:col>1</xdr:col>
      <xdr:colOff>581025</xdr:colOff>
      <xdr:row>12</xdr:row>
      <xdr:rowOff>180975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F5E4743E-FDB1-EFB1-E4C0-02DC3BD0F54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525" y="1524000"/>
              <a:ext cx="11811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1</xdr:row>
      <xdr:rowOff>1</xdr:rowOff>
    </xdr:from>
    <xdr:to>
      <xdr:col>9</xdr:col>
      <xdr:colOff>433388</xdr:colOff>
      <xdr:row>24</xdr:row>
      <xdr:rowOff>85725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7F8BEC9-7E7F-4221-BFEF-A2E367B740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3825" y="190501"/>
              <a:ext cx="5795963" cy="44672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0</xdr:colOff>
      <xdr:row>1</xdr:row>
      <xdr:rowOff>0</xdr:rowOff>
    </xdr:from>
    <xdr:to>
      <xdr:col>17</xdr:col>
      <xdr:colOff>304800</xdr:colOff>
      <xdr:row>15</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985D851-E40C-4A43-96BC-9A5FA44BDA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96000" y="1905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495300</xdr:colOff>
      <xdr:row>1</xdr:row>
      <xdr:rowOff>161925</xdr:rowOff>
    </xdr:from>
    <xdr:to>
      <xdr:col>13</xdr:col>
      <xdr:colOff>190500</xdr:colOff>
      <xdr:row>16</xdr:row>
      <xdr:rowOff>47625</xdr:rowOff>
    </xdr:to>
    <xdr:graphicFrame macro="">
      <xdr:nvGraphicFramePr>
        <xdr:cNvPr id="2" name="Chart 1">
          <a:extLst>
            <a:ext uri="{FF2B5EF4-FFF2-40B4-BE49-F238E27FC236}">
              <a16:creationId xmlns:a16="http://schemas.microsoft.com/office/drawing/2014/main" id="{9ABC75E1-17E7-440A-A3FD-539F7EF284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333375</xdr:colOff>
      <xdr:row>3</xdr:row>
      <xdr:rowOff>176212</xdr:rowOff>
    </xdr:from>
    <xdr:to>
      <xdr:col>13</xdr:col>
      <xdr:colOff>28575</xdr:colOff>
      <xdr:row>18</xdr:row>
      <xdr:rowOff>61912</xdr:rowOff>
    </xdr:to>
    <xdr:graphicFrame macro="">
      <xdr:nvGraphicFramePr>
        <xdr:cNvPr id="3" name="Chart 2">
          <a:extLst>
            <a:ext uri="{FF2B5EF4-FFF2-40B4-BE49-F238E27FC236}">
              <a16:creationId xmlns:a16="http://schemas.microsoft.com/office/drawing/2014/main" id="{74EECCC7-60CF-A448-BFFE-6FA95E5A3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1047750</xdr:colOff>
      <xdr:row>7</xdr:row>
      <xdr:rowOff>0</xdr:rowOff>
    </xdr:from>
    <xdr:to>
      <xdr:col>14</xdr:col>
      <xdr:colOff>9525</xdr:colOff>
      <xdr:row>23</xdr:row>
      <xdr:rowOff>0</xdr:rowOff>
    </xdr:to>
    <xdr:graphicFrame macro="">
      <xdr:nvGraphicFramePr>
        <xdr:cNvPr id="3" name="Chart 2">
          <a:extLst>
            <a:ext uri="{FF2B5EF4-FFF2-40B4-BE49-F238E27FC236}">
              <a16:creationId xmlns:a16="http://schemas.microsoft.com/office/drawing/2014/main" id="{CDB0F514-CEC9-406E-9A6D-4A0A04FE08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4" name="Chart 3">
          <a:extLst>
            <a:ext uri="{FF2B5EF4-FFF2-40B4-BE49-F238E27FC236}">
              <a16:creationId xmlns:a16="http://schemas.microsoft.com/office/drawing/2014/main" id="{F8D70121-1619-480A-8DCC-34E1B8BCC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302.631657407408" backgroundQuery="1" createdVersion="8" refreshedVersion="8" minRefreshableVersion="3" recordCount="0" supportSubquery="1" supportAdvancedDrill="1" xr:uid="{53158AD7-5876-4388-B154-E46D50C88242}">
  <cacheSource type="external" connectionId="4"/>
  <cacheFields count="3">
    <cacheField name="[Measures].[Count of Name]" caption="Count of Name" numFmtId="0" hierarchy="18" level="32767"/>
    <cacheField name="[Staff].[Rating].[Rating]" caption="Rating" numFmtId="0" hierarchy="6" level="1">
      <sharedItems count="5">
        <s v="Above average"/>
        <s v="Average"/>
        <s v="Exceptional"/>
        <s v="Poor"/>
        <s v="Very poor"/>
      </sharedItems>
    </cacheField>
    <cacheField name="[Measures].[Average of Salary]" caption="Average of Salary" numFmtId="0" hierarchy="20"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1"/>
      </fieldsUsage>
    </cacheHierarchy>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302.63166053241" backgroundQuery="1" createdVersion="8" refreshedVersion="8" minRefreshableVersion="3" recordCount="0" supportSubquery="1" supportAdvancedDrill="1" xr:uid="{DE9B5F5F-EDC9-40F6-8D8C-D721C3D33669}">
  <cacheSource type="external" connectionId="4"/>
  <cacheFields count="6">
    <cacheField name="[Staff].[Gender].[Gender]" caption="Gender" numFmtId="0" hierarchy="1" level="1">
      <sharedItems count="2">
        <s v="Female"/>
        <s v="Male"/>
      </sharedItems>
    </cacheField>
    <cacheField name="[Measures].[Count of Name]" caption="Count of Name" numFmtId="0" hierarchy="18" level="32767"/>
    <cacheField name="[Measures].[Average of Age]" caption="Average of Age" numFmtId="0" hierarchy="17" level="32767"/>
    <cacheField name="[Measures].[Average of Salary]" caption="Average of Salary" numFmtId="0" hierarchy="20" level="32767"/>
    <cacheField name="[Measures].[Average of Tenure]" caption="Average of Tenure" numFmtId="0" hierarchy="22"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302.637539236108" backgroundQuery="1" createdVersion="8" refreshedVersion="8" minRefreshableVersion="3" recordCount="0" supportSubquery="1" supportAdvancedDrill="1" xr:uid="{704598A0-ACDB-436D-B876-B55B1E225FE9}">
  <cacheSource type="external" connectionId="4"/>
  <cacheFields count="3">
    <cacheField name="[Staff].[Date Joined (Month)].[Date Joined (Month)]" caption="Date Joined (Month)" numFmtId="0" hierarchy="12" level="1">
      <sharedItems count="12">
        <s v="May"/>
        <s v="Jun"/>
        <s v="Jul"/>
        <s v="Aug"/>
        <s v="Sep"/>
        <s v="Oct"/>
        <s v="Nov"/>
        <s v="Dec"/>
        <s v="Jan"/>
        <s v="Feb"/>
        <s v="Mar"/>
        <s v="Apr"/>
      </sharedItems>
    </cacheField>
    <cacheField name="[Staff].[Date Joined (Year)].[Date Joined (Year)]" caption="Date Joined (Year)" numFmtId="0" hierarchy="10" level="1">
      <sharedItems count="4">
        <s v="2020"/>
        <s v="2021"/>
        <s v="2022"/>
        <s v="2023"/>
      </sharedItems>
    </cacheField>
    <cacheField name="[Measures].[Count of Name]" caption="Count of Name" numFmtId="0" hierarchy="18"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302.667785995371" backgroundQuery="1" createdVersion="8" refreshedVersion="8" minRefreshableVersion="3" recordCount="0" supportSubquery="1" supportAdvancedDrill="1" xr:uid="{2705E5BB-C5D3-4632-8CEC-16193C1CF1EA}">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8"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302.667868634257" backgroundQuery="1" createdVersion="8" refreshedVersion="8" minRefreshableVersion="3" recordCount="0" supportSubquery="1" supportAdvancedDrill="1" xr:uid="{709B881C-DCEF-4372-AE87-41315C938A56}">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8"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302.63165891204" backgroundQuery="1" createdVersion="3" refreshedVersion="8" minRefreshableVersion="3" recordCount="0" supportSubquery="1" supportAdvancedDrill="1" xr:uid="{D6B11B24-2590-410B-8A81-1D421516F112}">
  <cacheSource type="external" connectionId="4">
    <extLst>
      <ext xmlns:x14="http://schemas.microsoft.com/office/spreadsheetml/2009/9/main" uri="{F057638F-6D5F-4e77-A914-E7F072B9BCA8}">
        <x14:sourceConnection name="ThisWorkbookDataModel"/>
      </ext>
    </extLst>
  </cacheSource>
  <cacheFields count="0"/>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8906360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5AFF72-55A4-495D-A5DC-DE9B6406A3C5}" name="PivotTable2"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9:E14"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1">
    <format dxfId="1">
      <pivotArea collapsedLevelsAreSubtotals="1" fieldPosition="0">
        <references count="1">
          <reference field="4294967294" count="3">
            <x v="1"/>
            <x v="2"/>
            <x v="3"/>
          </reference>
        </references>
      </pivotArea>
    </format>
  </format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Age"/>
    <pivotHierarchy dragToData="1"/>
    <pivotHierarchy dragToData="1"/>
    <pivotHierarchy dragToData="1" caption="Average of Salary"/>
    <pivotHierarchy dragToData="1"/>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ir Chando Project.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B0BE7E-0BAB-45F3-8C9D-657721AD43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9" firstHeaderRow="0" firstDataRow="1" firstDataCol="1"/>
  <pivotFields count="3">
    <pivotField dataField="1" subtotalTop="0" showAll="0" defaultSubtotal="0"/>
    <pivotField axis="axisRow" allDrilled="1" subtotalTop="0" showAll="0" defaultSubtotal="0" defaultAttributeDrillState="1">
      <items count="5">
        <item x="2"/>
        <item x="0"/>
        <item x="1"/>
        <item x="3"/>
        <item x="4"/>
      </items>
    </pivotField>
    <pivotField dataField="1" subtotalTop="0" showAll="0" defaultSubtotal="0"/>
  </pivotFields>
  <rowFields count="1">
    <field x="1"/>
  </rowFields>
  <rowItems count="6">
    <i>
      <x/>
    </i>
    <i>
      <x v="1"/>
    </i>
    <i>
      <x v="2"/>
    </i>
    <i>
      <x v="3"/>
    </i>
    <i>
      <x v="4"/>
    </i>
    <i t="grand">
      <x/>
    </i>
  </rowItems>
  <colFields count="1">
    <field x="-2"/>
  </colFields>
  <colItems count="2">
    <i>
      <x/>
    </i>
    <i i="1">
      <x v="1"/>
    </i>
  </colItems>
  <dataFields count="2">
    <dataField name="Count of Name" fld="0" subtotal="count" baseField="0" baseItem="0"/>
    <dataField name="Average of Salary" fld="2" subtotal="average" baseField="1" baseItem="0" numFmtId="166"/>
  </dataFields>
  <conditionalFormats count="1">
    <conditionalFormat priority="1">
      <pivotAreas count="1">
        <pivotArea type="data" collapsedLevelsAreSubtotals="1" fieldPosition="0">
          <references count="2">
            <reference field="4294967294" count="1" selected="0">
              <x v="1"/>
            </reference>
            <reference field="1" count="5">
              <x v="0"/>
              <x v="1"/>
              <x v="2"/>
              <x v="3"/>
              <x v="4"/>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27FC6B-EF00-4658-9954-2CA417E478B2}"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B5:C42"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2"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0F4304-5142-4C55-81DB-3B8574939381}"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12:G18"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BD1B82-29A9-4D8D-A5B4-C68A8BD20990}"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12:C18"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876982C-B5FA-4DB3-8C70-F2A89975A642}"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2CBE1CE-BA39-4227-84E4-06CF8A04C178}" sourceName="[Staff].[Country]">
  <pivotTables>
    <pivotTable tabId="8" name="PivotTable2"/>
  </pivotTables>
  <data>
    <olap pivotCacheId="1489063603">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518E6F1-F72B-4D42-ABF7-C65B710A09F8}"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9C1E7E-DD42-4330-913A-1E22C4190850}" name="Nzz_Staff" displayName="Nzz_Staff" ref="C5:I105" totalsRowShown="0">
  <autoFilter ref="C5:I105" xr:uid="{329C1E7E-DD42-4330-913A-1E22C4190850}"/>
  <tableColumns count="7">
    <tableColumn id="1" xr3:uid="{138D1A55-05BF-49AC-A29A-FB17D9032F29}" name="Name"/>
    <tableColumn id="2" xr3:uid="{2FD8B8AA-2625-4F73-BB39-259F9257CB85}" name="Gender"/>
    <tableColumn id="3" xr3:uid="{9B8620AB-9F23-46B4-8959-533F52F37CA2}" name="Department"/>
    <tableColumn id="4" xr3:uid="{44E2CA0E-A134-4832-8FEE-1A4E94134B71}" name="Age"/>
    <tableColumn id="5" xr3:uid="{63D5EF03-90CD-454A-9469-12885BEEB2F1}" name="Date Joined"/>
    <tableColumn id="6" xr3:uid="{F3CEC3CC-1752-49B7-BEF3-2CB9EC05C658}" name="Salary" dataDxfId="11"/>
    <tableColumn id="7" xr3:uid="{BB51F166-BB55-4FF5-8B0F-CBB866E2C472}" name="Rating"/>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19F791-56C4-4E30-B74F-DD41AD3D573C}" name="Indian_Staff" displayName="Indian_Staff" ref="B2:H114" totalsRowShown="0">
  <autoFilter ref="B2:H114" xr:uid="{0E19F791-56C4-4E30-B74F-DD41AD3D573C}"/>
  <tableColumns count="7">
    <tableColumn id="1" xr3:uid="{AFCC3698-AF30-4097-BA23-DAD76130A666}" name="Name"/>
    <tableColumn id="2" xr3:uid="{193CE56D-3037-43E5-8608-DCB5452BBAB4}" name="Gender"/>
    <tableColumn id="3" xr3:uid="{313F8CEC-F595-4723-90C5-088F6FC83432}" name="Age"/>
    <tableColumn id="4" xr3:uid="{4ABD3B82-9BE0-45C2-BDAE-584563DA222E}" name="Rating"/>
    <tableColumn id="5" xr3:uid="{E849C2B9-66DB-402E-AA9C-FAD55E6E9BDC}" name="Date Joined" dataDxfId="10"/>
    <tableColumn id="6" xr3:uid="{9687FBAF-C8A9-44A1-8832-28C661C272CA}" name="Department"/>
    <tableColumn id="7" xr3:uid="{CC81EF56-1037-427E-BB1F-732DBA878C61}" name="Sala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DF575C-99B6-4835-BCC8-ACDDC7D71B3F}" name="Staff" displayName="Staff" ref="B3:L186" tableType="queryTable" totalsRowShown="0">
  <autoFilter ref="B3:L186" xr:uid="{2DDF575C-99B6-4835-BCC8-ACDDC7D71B3F}"/>
  <sortState xmlns:xlrd2="http://schemas.microsoft.com/office/spreadsheetml/2017/richdata2" ref="B4:K186">
    <sortCondition ref="G3:G186"/>
  </sortState>
  <tableColumns count="11">
    <tableColumn id="1" xr3:uid="{4818D749-B7D3-4DF0-B8C7-903F9EBBDB57}" uniqueName="1" name="Name" queryTableFieldId="1" dataDxfId="9"/>
    <tableColumn id="2" xr3:uid="{3FAEE79C-36EE-41E4-9F9A-2AC56F86FCDF}" uniqueName="2" name="Gender" queryTableFieldId="2" dataDxfId="8"/>
    <tableColumn id="3" xr3:uid="{4B237BF0-633F-4253-AF33-2BFB246A64DE}" uniqueName="3" name="Department" queryTableFieldId="3" dataDxfId="7"/>
    <tableColumn id="4" xr3:uid="{C3B77DBD-A95A-4291-976B-AFCEFCD0C0C7}" uniqueName="4" name="Age" queryTableFieldId="4"/>
    <tableColumn id="5" xr3:uid="{7B05EFAA-3D25-43A8-B415-709BC80EEA60}" uniqueName="5" name="Date Joined" queryTableFieldId="5" dataDxfId="6"/>
    <tableColumn id="6" xr3:uid="{6AE6890F-B78D-439C-AFF4-C8AA7B1CD272}" uniqueName="6" name="Salary" queryTableFieldId="6" dataDxfId="5" dataCellStyle="Currency"/>
    <tableColumn id="7" xr3:uid="{7E9AF8C5-7C92-4AF3-9C01-457D00A8CCE1}" uniqueName="7" name="Rating" queryTableFieldId="7"/>
    <tableColumn id="8" xr3:uid="{E7418ABC-B17B-4F62-A422-AFC545481601}" uniqueName="8" name="Country" queryTableFieldId="8"/>
    <tableColumn id="9" xr3:uid="{973CD060-4D03-467E-9A4D-08F1BA999CF8}" uniqueName="9" name="Tenure" queryTableFieldId="9" dataDxfId="4">
      <calculatedColumnFormula>(TODAY()-Staff[[#This Row],[Date Joined]])/365</calculatedColumnFormula>
    </tableColumn>
    <tableColumn id="10" xr3:uid="{2D268C31-8054-411A-A368-1D14FF56A887}" uniqueName="10" name="Bonus" queryTableFieldId="10" dataDxfId="3" dataCellStyle="Currency">
      <calculatedColumnFormula>IF(Staff[[#This Row],[Tenure]]&gt;2,3%,2%)*Staff[[#This Row],[Salary]]</calculatedColumnFormula>
    </tableColumn>
    <tableColumn id="11" xr3:uid="{18B52B90-5EC1-466E-B029-D2497834D879}" uniqueName="11" name="Rating as Numbers" queryTableFieldId="11" dataDxfId="2">
      <calculatedColumnFormula>_xlfn.XLOOKUP(Staff[[#This Row],[Rating]],Work!$B$3:$B$7,Work!$C$3:$C$7)</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topLeftCell="A72" workbookViewId="0">
      <selection activeCell="J102" sqref="J102"/>
    </sheetView>
  </sheetViews>
  <sheetFormatPr defaultRowHeight="15" x14ac:dyDescent="0.25"/>
  <cols>
    <col min="1" max="1" width="1.7109375" customWidth="1"/>
    <col min="2" max="2" width="3.7109375" customWidth="1"/>
    <col min="3" max="9" width="18.140625"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sheetPr>
    <tabColor theme="0"/>
  </sheetPr>
  <dimension ref="B2:H114"/>
  <sheetViews>
    <sheetView topLeftCell="A91" workbookViewId="0">
      <selection activeCell="C97" sqref="C97"/>
    </sheetView>
  </sheetViews>
  <sheetFormatPr defaultRowHeight="15" x14ac:dyDescent="0.25"/>
  <cols>
    <col min="2" max="2" width="28.28515625"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AB99E-E66C-44AB-8DD3-ED86AD7C693D}">
  <sheetPr>
    <tabColor theme="7" tint="0.59999389629810485"/>
  </sheetPr>
  <dimension ref="B3:X186"/>
  <sheetViews>
    <sheetView topLeftCell="B158" workbookViewId="0">
      <selection activeCell="L2" activeCellId="1" sqref="G1:G1048576 L1:L1048576"/>
    </sheetView>
  </sheetViews>
  <sheetFormatPr defaultRowHeight="15" x14ac:dyDescent="0.25"/>
  <cols>
    <col min="2" max="2" width="30" bestFit="1" customWidth="1"/>
    <col min="3" max="3" width="10" bestFit="1" customWidth="1"/>
    <col min="4" max="4" width="14" bestFit="1" customWidth="1"/>
    <col min="5" max="5" width="6.7109375" bestFit="1" customWidth="1"/>
    <col min="6" max="6" width="13.7109375" bestFit="1" customWidth="1"/>
    <col min="7" max="7" width="10" style="19" bestFit="1" customWidth="1"/>
    <col min="8" max="8" width="14.28515625" bestFit="1" customWidth="1"/>
    <col min="9" max="9" width="10.28515625" bestFit="1" customWidth="1"/>
    <col min="10" max="10" width="9.5703125" bestFit="1" customWidth="1"/>
    <col min="11" max="11" width="10.140625" bestFit="1" customWidth="1"/>
    <col min="12" max="12" width="19.140625" bestFit="1" customWidth="1"/>
    <col min="13" max="13" width="9.5703125" customWidth="1"/>
    <col min="16" max="16" width="21" bestFit="1" customWidth="1"/>
    <col min="17" max="17" width="7.7109375" bestFit="1" customWidth="1"/>
  </cols>
  <sheetData>
    <row r="3" spans="2:24" x14ac:dyDescent="0.25">
      <c r="B3" t="s">
        <v>0</v>
      </c>
      <c r="C3" t="s">
        <v>1</v>
      </c>
      <c r="D3" t="s">
        <v>2</v>
      </c>
      <c r="E3" t="s">
        <v>3</v>
      </c>
      <c r="F3" t="s">
        <v>4</v>
      </c>
      <c r="G3" s="19" t="s">
        <v>5</v>
      </c>
      <c r="H3" t="s">
        <v>6</v>
      </c>
      <c r="I3" t="s">
        <v>203</v>
      </c>
      <c r="J3" t="s">
        <v>209</v>
      </c>
      <c r="K3" s="19" t="s">
        <v>224</v>
      </c>
      <c r="L3" s="21" t="s">
        <v>227</v>
      </c>
      <c r="O3" s="11">
        <v>1</v>
      </c>
    </row>
    <row r="4" spans="2:24" x14ac:dyDescent="0.25">
      <c r="B4" t="s">
        <v>86</v>
      </c>
      <c r="C4" t="s">
        <v>8</v>
      </c>
      <c r="D4" t="s">
        <v>12</v>
      </c>
      <c r="E4">
        <v>21</v>
      </c>
      <c r="F4" s="8">
        <v>44678</v>
      </c>
      <c r="G4" s="19">
        <v>33920</v>
      </c>
      <c r="H4" t="s">
        <v>16</v>
      </c>
      <c r="I4" t="s">
        <v>204</v>
      </c>
      <c r="J4" s="9">
        <f ca="1">(TODAY()-Staff[[#This Row],[Date Joined]])/365</f>
        <v>1.7095890410958905</v>
      </c>
      <c r="K4" s="19">
        <f ca="1">IF(Staff[[#This Row],[Tenure]]&gt;2,3%,2%)*Staff[[#This Row],[Salary]]</f>
        <v>678.4</v>
      </c>
      <c r="L4">
        <f>_xlfn.XLOOKUP(Staff[[#This Row],[Rating]],Work!$B$3:$B$7,Work!$C$3:$C$7)</f>
        <v>3</v>
      </c>
      <c r="M4" s="9"/>
      <c r="P4" t="s">
        <v>207</v>
      </c>
      <c r="R4">
        <f>COUNTA(Staff[Name])</f>
        <v>183</v>
      </c>
    </row>
    <row r="5" spans="2:24" x14ac:dyDescent="0.25">
      <c r="B5" t="s">
        <v>179</v>
      </c>
      <c r="C5" t="s">
        <v>8</v>
      </c>
      <c r="D5" t="s">
        <v>12</v>
      </c>
      <c r="E5">
        <v>21</v>
      </c>
      <c r="F5" s="8">
        <v>44619</v>
      </c>
      <c r="G5" s="19">
        <v>33920</v>
      </c>
      <c r="H5" t="s">
        <v>16</v>
      </c>
      <c r="I5" t="s">
        <v>206</v>
      </c>
      <c r="J5" s="9">
        <f ca="1">(TODAY()-Staff[[#This Row],[Date Joined]])/365</f>
        <v>1.8712328767123287</v>
      </c>
      <c r="K5" s="19">
        <f ca="1">IF(Staff[[#This Row],[Tenure]]&gt;2,3%,2%)*Staff[[#This Row],[Salary]]</f>
        <v>678.4</v>
      </c>
      <c r="L5">
        <f>_xlfn.XLOOKUP(Staff[[#This Row],[Rating]],Work!$B$3:$B$7,Work!$C$3:$C$7)</f>
        <v>3</v>
      </c>
      <c r="M5" s="9"/>
      <c r="P5" t="s">
        <v>208</v>
      </c>
      <c r="R5">
        <f>AVERAGE(Staff[Salary])</f>
        <v>77173.715846994543</v>
      </c>
    </row>
    <row r="6" spans="2:24" x14ac:dyDescent="0.25">
      <c r="B6" t="s">
        <v>44</v>
      </c>
      <c r="C6" t="s">
        <v>8</v>
      </c>
      <c r="D6" t="s">
        <v>12</v>
      </c>
      <c r="E6">
        <v>29</v>
      </c>
      <c r="F6" s="8">
        <v>44023</v>
      </c>
      <c r="G6" s="19">
        <v>34980</v>
      </c>
      <c r="H6" t="s">
        <v>16</v>
      </c>
      <c r="I6" t="s">
        <v>204</v>
      </c>
      <c r="J6" s="9">
        <f ca="1">(TODAY()-Staff[[#This Row],[Date Joined]])/365</f>
        <v>3.504109589041096</v>
      </c>
      <c r="K6" s="19">
        <f ca="1">IF(Staff[[#This Row],[Tenure]]&gt;2,3%,2%)*Staff[[#This Row],[Salary]]</f>
        <v>1049.3999999999999</v>
      </c>
      <c r="L6">
        <f>_xlfn.XLOOKUP(Staff[[#This Row],[Rating]],Work!$B$3:$B$7,Work!$C$3:$C$7)</f>
        <v>3</v>
      </c>
      <c r="M6" s="9"/>
      <c r="P6" t="s">
        <v>210</v>
      </c>
      <c r="R6">
        <f ca="1">AVERAGE(Staff[Tenure])</f>
        <v>2.3807320907253544</v>
      </c>
    </row>
    <row r="7" spans="2:24" x14ac:dyDescent="0.25">
      <c r="B7" t="s">
        <v>137</v>
      </c>
      <c r="C7" t="s">
        <v>8</v>
      </c>
      <c r="D7" t="s">
        <v>12</v>
      </c>
      <c r="E7">
        <v>29</v>
      </c>
      <c r="F7" s="8">
        <v>43962</v>
      </c>
      <c r="G7" s="19">
        <v>34980</v>
      </c>
      <c r="H7" t="s">
        <v>16</v>
      </c>
      <c r="I7" t="s">
        <v>206</v>
      </c>
      <c r="J7" s="9">
        <f ca="1">(TODAY()-Staff[[#This Row],[Date Joined]])/365</f>
        <v>3.6712328767123288</v>
      </c>
      <c r="K7" s="19">
        <f ca="1">IF(Staff[[#This Row],[Tenure]]&gt;2,3%,2%)*Staff[[#This Row],[Salary]]</f>
        <v>1049.3999999999999</v>
      </c>
      <c r="L7">
        <f>_xlfn.XLOOKUP(Staff[[#This Row],[Rating]],Work!$B$3:$B$7,Work!$C$3:$C$7)</f>
        <v>3</v>
      </c>
      <c r="M7" s="9"/>
      <c r="P7" t="s">
        <v>211</v>
      </c>
      <c r="R7">
        <f>COUNTIF(Staff[Gender],"Female")</f>
        <v>86</v>
      </c>
    </row>
    <row r="8" spans="2:24" x14ac:dyDescent="0.25">
      <c r="B8" t="s">
        <v>192</v>
      </c>
      <c r="C8" t="s">
        <v>15</v>
      </c>
      <c r="D8" t="s">
        <v>19</v>
      </c>
      <c r="E8">
        <v>43</v>
      </c>
      <c r="F8" s="8">
        <v>44558</v>
      </c>
      <c r="G8" s="19">
        <v>36040</v>
      </c>
      <c r="H8" t="s">
        <v>16</v>
      </c>
      <c r="I8" t="s">
        <v>206</v>
      </c>
      <c r="J8" s="9">
        <f ca="1">(TODAY()-Staff[[#This Row],[Date Joined]])/365</f>
        <v>2.0383561643835617</v>
      </c>
      <c r="K8" s="19">
        <f ca="1">IF(Staff[[#This Row],[Tenure]]&gt;2,3%,2%)*Staff[[#This Row],[Salary]]</f>
        <v>1081.2</v>
      </c>
      <c r="L8">
        <f>_xlfn.XLOOKUP(Staff[[#This Row],[Rating]],Work!$B$3:$B$7,Work!$C$3:$C$7)</f>
        <v>3</v>
      </c>
      <c r="M8" s="9"/>
      <c r="P8" t="s">
        <v>212</v>
      </c>
      <c r="R8" s="10">
        <f>R7/R4</f>
        <v>0.46994535519125685</v>
      </c>
    </row>
    <row r="9" spans="2:24" x14ac:dyDescent="0.25">
      <c r="B9" t="s">
        <v>99</v>
      </c>
      <c r="C9" t="s">
        <v>15</v>
      </c>
      <c r="D9" t="s">
        <v>19</v>
      </c>
      <c r="E9">
        <v>43</v>
      </c>
      <c r="F9" s="8">
        <v>44620</v>
      </c>
      <c r="G9" s="19">
        <v>36040</v>
      </c>
      <c r="H9" t="s">
        <v>16</v>
      </c>
      <c r="I9" t="s">
        <v>204</v>
      </c>
      <c r="J9" s="9">
        <f ca="1">(TODAY()-Staff[[#This Row],[Date Joined]])/365</f>
        <v>1.8684931506849316</v>
      </c>
      <c r="K9" s="19">
        <f ca="1">IF(Staff[[#This Row],[Tenure]]&gt;2,3%,2%)*Staff[[#This Row],[Salary]]</f>
        <v>720.80000000000007</v>
      </c>
      <c r="L9">
        <f>_xlfn.XLOOKUP(Staff[[#This Row],[Rating]],Work!$B$3:$B$7,Work!$C$3:$C$7)</f>
        <v>3</v>
      </c>
      <c r="M9" s="9"/>
      <c r="P9" t="s">
        <v>213</v>
      </c>
      <c r="R9">
        <f>COUNTIF(Staff[Salary],"&lt;90000")</f>
        <v>120</v>
      </c>
    </row>
    <row r="10" spans="2:24" x14ac:dyDescent="0.25">
      <c r="B10" t="s">
        <v>47</v>
      </c>
      <c r="C10" t="s">
        <v>15</v>
      </c>
      <c r="D10" t="s">
        <v>9</v>
      </c>
      <c r="E10">
        <v>21</v>
      </c>
      <c r="F10" s="8">
        <v>44104</v>
      </c>
      <c r="G10" s="19">
        <v>37920</v>
      </c>
      <c r="H10" t="s">
        <v>16</v>
      </c>
      <c r="I10" t="s">
        <v>204</v>
      </c>
      <c r="J10" s="9">
        <f ca="1">(TODAY()-Staff[[#This Row],[Date Joined]])/365</f>
        <v>3.2821917808219179</v>
      </c>
      <c r="K10" s="19">
        <f ca="1">IF(Staff[[#This Row],[Tenure]]&gt;2,3%,2%)*Staff[[#This Row],[Salary]]</f>
        <v>1137.5999999999999</v>
      </c>
      <c r="L10">
        <f>_xlfn.XLOOKUP(Staff[[#This Row],[Rating]],Work!$B$3:$B$7,Work!$C$3:$C$7)</f>
        <v>3</v>
      </c>
      <c r="M10" s="9"/>
      <c r="P10" t="s">
        <v>214</v>
      </c>
      <c r="R10" s="10">
        <f>R9/R4</f>
        <v>0.65573770491803274</v>
      </c>
    </row>
    <row r="11" spans="2:24" x14ac:dyDescent="0.25">
      <c r="B11" t="s">
        <v>140</v>
      </c>
      <c r="C11" t="s">
        <v>15</v>
      </c>
      <c r="D11" t="s">
        <v>9</v>
      </c>
      <c r="E11">
        <v>21</v>
      </c>
      <c r="F11" s="8">
        <v>44042</v>
      </c>
      <c r="G11" s="19">
        <v>37920</v>
      </c>
      <c r="H11" t="s">
        <v>16</v>
      </c>
      <c r="I11" t="s">
        <v>206</v>
      </c>
      <c r="J11" s="9">
        <f ca="1">(TODAY()-Staff[[#This Row],[Date Joined]])/365</f>
        <v>3.452054794520548</v>
      </c>
      <c r="K11" s="19">
        <f ca="1">IF(Staff[[#This Row],[Tenure]]&gt;2,3%,2%)*Staff[[#This Row],[Salary]]</f>
        <v>1137.5999999999999</v>
      </c>
      <c r="L11">
        <f>_xlfn.XLOOKUP(Staff[[#This Row],[Rating]],Work!$B$3:$B$7,Work!$C$3:$C$7)</f>
        <v>3</v>
      </c>
      <c r="M11" s="9"/>
    </row>
    <row r="12" spans="2:24" x14ac:dyDescent="0.25">
      <c r="B12" t="s">
        <v>57</v>
      </c>
      <c r="C12" t="s">
        <v>15</v>
      </c>
      <c r="D12" t="s">
        <v>9</v>
      </c>
      <c r="E12">
        <v>35</v>
      </c>
      <c r="F12" s="8">
        <v>44727</v>
      </c>
      <c r="G12" s="19">
        <v>40400</v>
      </c>
      <c r="H12" t="s">
        <v>16</v>
      </c>
      <c r="I12" t="s">
        <v>204</v>
      </c>
      <c r="J12" s="9">
        <f ca="1">(TODAY()-Staff[[#This Row],[Date Joined]])/365</f>
        <v>1.5753424657534247</v>
      </c>
      <c r="K12" s="19">
        <f ca="1">IF(Staff[[#This Row],[Tenure]]&gt;2,3%,2%)*Staff[[#This Row],[Salary]]</f>
        <v>808</v>
      </c>
      <c r="L12">
        <f>_xlfn.XLOOKUP(Staff[[#This Row],[Rating]],Work!$B$3:$B$7,Work!$C$3:$C$7)</f>
        <v>3</v>
      </c>
      <c r="M12" s="9"/>
      <c r="O12" s="11">
        <v>2</v>
      </c>
    </row>
    <row r="13" spans="2:24" x14ac:dyDescent="0.25">
      <c r="B13" t="s">
        <v>149</v>
      </c>
      <c r="C13" t="s">
        <v>15</v>
      </c>
      <c r="D13" t="s">
        <v>9</v>
      </c>
      <c r="E13">
        <v>35</v>
      </c>
      <c r="F13" s="8">
        <v>44666</v>
      </c>
      <c r="G13" s="19">
        <v>40400</v>
      </c>
      <c r="H13" t="s">
        <v>16</v>
      </c>
      <c r="I13" t="s">
        <v>206</v>
      </c>
      <c r="J13" s="9">
        <f ca="1">(TODAY()-Staff[[#This Row],[Date Joined]])/365</f>
        <v>1.7424657534246575</v>
      </c>
      <c r="K13" s="19">
        <f ca="1">IF(Staff[[#This Row],[Tenure]]&gt;2,3%,2%)*Staff[[#This Row],[Salary]]</f>
        <v>808</v>
      </c>
      <c r="L13">
        <f>_xlfn.XLOOKUP(Staff[[#This Row],[Rating]],Work!$B$3:$B$7,Work!$C$3:$C$7)</f>
        <v>3</v>
      </c>
      <c r="M13" s="9"/>
      <c r="P13" s="12" t="s">
        <v>0</v>
      </c>
      <c r="Q13" s="6" t="s">
        <v>1</v>
      </c>
      <c r="R13" s="6" t="s">
        <v>2</v>
      </c>
      <c r="S13" s="6" t="s">
        <v>3</v>
      </c>
      <c r="T13" s="6" t="s">
        <v>4</v>
      </c>
      <c r="U13" s="6" t="s">
        <v>5</v>
      </c>
      <c r="V13" s="6" t="s">
        <v>6</v>
      </c>
      <c r="W13" s="6" t="s">
        <v>203</v>
      </c>
      <c r="X13" s="7" t="s">
        <v>209</v>
      </c>
    </row>
    <row r="14" spans="2:24" x14ac:dyDescent="0.25">
      <c r="B14" t="s">
        <v>158</v>
      </c>
      <c r="C14" t="s">
        <v>8</v>
      </c>
      <c r="D14" t="s">
        <v>9</v>
      </c>
      <c r="E14">
        <v>32</v>
      </c>
      <c r="F14" s="8">
        <v>44549</v>
      </c>
      <c r="G14" s="19">
        <v>41570</v>
      </c>
      <c r="H14" t="s">
        <v>16</v>
      </c>
      <c r="I14" t="s">
        <v>206</v>
      </c>
      <c r="J14" s="9">
        <f ca="1">(TODAY()-Staff[[#This Row],[Date Joined]])/365</f>
        <v>2.0630136986301371</v>
      </c>
      <c r="K14" s="19">
        <f ca="1">IF(Staff[[#This Row],[Tenure]]&gt;2,3%,2%)*Staff[[#This Row],[Salary]]</f>
        <v>1247.0999999999999</v>
      </c>
      <c r="L14">
        <f>_xlfn.XLOOKUP(Staff[[#This Row],[Rating]],Work!$B$3:$B$7,Work!$C$3:$C$7)</f>
        <v>3</v>
      </c>
      <c r="M14" s="9"/>
      <c r="P14" t="s">
        <v>61</v>
      </c>
      <c r="Q14" t="str" cm="1">
        <f t="array" aca="1" ref="Q14:X14" ca="1">_xlfn.XLOOKUP(P14,Staff[Name],Staff[[Gender]:[Tenure]])</f>
        <v>Female</v>
      </c>
      <c r="R14" t="str">
        <f ca="1"/>
        <v>Website</v>
      </c>
      <c r="S14">
        <f ca="1"/>
        <v>24</v>
      </c>
      <c r="T14">
        <f ca="1"/>
        <v>44148</v>
      </c>
      <c r="U14">
        <f ca="1"/>
        <v>62780</v>
      </c>
      <c r="V14" t="str">
        <f ca="1"/>
        <v>Average</v>
      </c>
      <c r="W14" t="str">
        <f ca="1"/>
        <v>NZ</v>
      </c>
      <c r="X14">
        <f ca="1"/>
        <v>3.1616438356164385</v>
      </c>
    </row>
    <row r="15" spans="2:24" x14ac:dyDescent="0.25">
      <c r="B15" t="s">
        <v>66</v>
      </c>
      <c r="C15" t="s">
        <v>8</v>
      </c>
      <c r="D15" t="s">
        <v>9</v>
      </c>
      <c r="E15">
        <v>32</v>
      </c>
      <c r="F15" s="8">
        <v>44611</v>
      </c>
      <c r="G15" s="19">
        <v>41570</v>
      </c>
      <c r="H15" t="s">
        <v>16</v>
      </c>
      <c r="I15" t="s">
        <v>204</v>
      </c>
      <c r="J15" s="9">
        <f ca="1">(TODAY()-Staff[[#This Row],[Date Joined]])/365</f>
        <v>1.893150684931507</v>
      </c>
      <c r="K15" s="19">
        <f ca="1">IF(Staff[[#This Row],[Tenure]]&gt;2,3%,2%)*Staff[[#This Row],[Salary]]</f>
        <v>831.4</v>
      </c>
      <c r="L15">
        <f>_xlfn.XLOOKUP(Staff[[#This Row],[Rating]],Work!$B$3:$B$7,Work!$C$3:$C$7)</f>
        <v>3</v>
      </c>
      <c r="M15" s="9"/>
    </row>
    <row r="16" spans="2:24" x14ac:dyDescent="0.25">
      <c r="B16" t="s">
        <v>30</v>
      </c>
      <c r="C16" t="s">
        <v>8</v>
      </c>
      <c r="D16" t="s">
        <v>12</v>
      </c>
      <c r="E16">
        <v>31</v>
      </c>
      <c r="F16" s="8">
        <v>44145</v>
      </c>
      <c r="G16" s="19">
        <v>41980</v>
      </c>
      <c r="H16" t="s">
        <v>16</v>
      </c>
      <c r="I16" t="s">
        <v>204</v>
      </c>
      <c r="J16" s="9">
        <f ca="1">(TODAY()-Staff[[#This Row],[Date Joined]])/365</f>
        <v>3.1698630136986301</v>
      </c>
      <c r="K16" s="19">
        <f ca="1">IF(Staff[[#This Row],[Tenure]]&gt;2,3%,2%)*Staff[[#This Row],[Salary]]</f>
        <v>1259.3999999999999</v>
      </c>
      <c r="L16">
        <f>_xlfn.XLOOKUP(Staff[[#This Row],[Rating]],Work!$B$3:$B$7,Work!$C$3:$C$7)</f>
        <v>3</v>
      </c>
      <c r="M16" s="9"/>
    </row>
    <row r="17" spans="2:13" x14ac:dyDescent="0.25">
      <c r="B17" t="s">
        <v>124</v>
      </c>
      <c r="C17" t="s">
        <v>8</v>
      </c>
      <c r="D17" t="s">
        <v>12</v>
      </c>
      <c r="E17">
        <v>31</v>
      </c>
      <c r="F17" s="8">
        <v>44084</v>
      </c>
      <c r="G17" s="19">
        <v>41980</v>
      </c>
      <c r="H17" t="s">
        <v>16</v>
      </c>
      <c r="I17" t="s">
        <v>206</v>
      </c>
      <c r="J17" s="9">
        <f ca="1">(TODAY()-Staff[[#This Row],[Date Joined]])/365</f>
        <v>3.3369863013698629</v>
      </c>
      <c r="K17" s="19">
        <f ca="1">IF(Staff[[#This Row],[Tenure]]&gt;2,3%,2%)*Staff[[#This Row],[Salary]]</f>
        <v>1259.3999999999999</v>
      </c>
      <c r="L17">
        <f>_xlfn.XLOOKUP(Staff[[#This Row],[Rating]],Work!$B$3:$B$7,Work!$C$3:$C$7)</f>
        <v>3</v>
      </c>
      <c r="M17" s="9"/>
    </row>
    <row r="18" spans="2:13" x14ac:dyDescent="0.25">
      <c r="B18" t="s">
        <v>80</v>
      </c>
      <c r="C18" t="s">
        <v>15</v>
      </c>
      <c r="D18" t="s">
        <v>19</v>
      </c>
      <c r="E18">
        <v>28</v>
      </c>
      <c r="F18" s="8">
        <v>44820</v>
      </c>
      <c r="G18" s="19">
        <v>43510</v>
      </c>
      <c r="H18" t="s">
        <v>42</v>
      </c>
      <c r="I18" t="s">
        <v>204</v>
      </c>
      <c r="J18" s="9">
        <f ca="1">(TODAY()-Staff[[#This Row],[Date Joined]])/365</f>
        <v>1.3205479452054794</v>
      </c>
      <c r="K18" s="19">
        <f ca="1">IF(Staff[[#This Row],[Tenure]]&gt;2,3%,2%)*Staff[[#This Row],[Salary]]</f>
        <v>870.2</v>
      </c>
      <c r="L18">
        <f>_xlfn.XLOOKUP(Staff[[#This Row],[Rating]],Work!$B$3:$B$7,Work!$C$3:$C$7)</f>
        <v>1</v>
      </c>
      <c r="M18" s="9"/>
    </row>
    <row r="19" spans="2:13" x14ac:dyDescent="0.25">
      <c r="B19" t="s">
        <v>172</v>
      </c>
      <c r="C19" t="s">
        <v>15</v>
      </c>
      <c r="D19" t="s">
        <v>19</v>
      </c>
      <c r="E19">
        <v>28</v>
      </c>
      <c r="F19" s="8">
        <v>44758</v>
      </c>
      <c r="G19" s="19">
        <v>43510</v>
      </c>
      <c r="H19" t="s">
        <v>42</v>
      </c>
      <c r="I19" t="s">
        <v>206</v>
      </c>
      <c r="J19" s="9">
        <f ca="1">(TODAY()-Staff[[#This Row],[Date Joined]])/365</f>
        <v>1.4904109589041097</v>
      </c>
      <c r="K19" s="19">
        <f ca="1">IF(Staff[[#This Row],[Tenure]]&gt;2,3%,2%)*Staff[[#This Row],[Salary]]</f>
        <v>870.2</v>
      </c>
      <c r="L19">
        <f>_xlfn.XLOOKUP(Staff[[#This Row],[Rating]],Work!$B$3:$B$7,Work!$C$3:$C$7)</f>
        <v>1</v>
      </c>
      <c r="M19" s="9"/>
    </row>
    <row r="20" spans="2:13" x14ac:dyDescent="0.25">
      <c r="B20" t="s">
        <v>84</v>
      </c>
      <c r="C20" t="s">
        <v>8</v>
      </c>
      <c r="D20" t="s">
        <v>12</v>
      </c>
      <c r="E20">
        <v>32</v>
      </c>
      <c r="F20" s="8">
        <v>44354</v>
      </c>
      <c r="G20" s="19">
        <v>43840</v>
      </c>
      <c r="H20" t="s">
        <v>13</v>
      </c>
      <c r="I20" t="s">
        <v>204</v>
      </c>
      <c r="J20" s="9">
        <f ca="1">(TODAY()-Staff[[#This Row],[Date Joined]])/365</f>
        <v>2.5972602739726027</v>
      </c>
      <c r="K20" s="19">
        <f ca="1">IF(Staff[[#This Row],[Tenure]]&gt;2,3%,2%)*Staff[[#This Row],[Salary]]</f>
        <v>1315.2</v>
      </c>
      <c r="L20">
        <f>_xlfn.XLOOKUP(Staff[[#This Row],[Rating]],Work!$B$3:$B$7,Work!$C$3:$C$7)</f>
        <v>4</v>
      </c>
      <c r="M20" s="9"/>
    </row>
    <row r="21" spans="2:13" x14ac:dyDescent="0.25">
      <c r="B21" t="s">
        <v>176</v>
      </c>
      <c r="C21" t="s">
        <v>8</v>
      </c>
      <c r="D21" t="s">
        <v>12</v>
      </c>
      <c r="E21">
        <v>32</v>
      </c>
      <c r="F21" s="8">
        <v>44293</v>
      </c>
      <c r="G21" s="19">
        <v>43840</v>
      </c>
      <c r="H21" t="s">
        <v>13</v>
      </c>
      <c r="I21" t="s">
        <v>206</v>
      </c>
      <c r="J21" s="9">
        <f ca="1">(TODAY()-Staff[[#This Row],[Date Joined]])/365</f>
        <v>2.7643835616438355</v>
      </c>
      <c r="K21" s="19">
        <f ca="1">IF(Staff[[#This Row],[Tenure]]&gt;2,3%,2%)*Staff[[#This Row],[Salary]]</f>
        <v>1315.2</v>
      </c>
      <c r="L21">
        <f>_xlfn.XLOOKUP(Staff[[#This Row],[Rating]],Work!$B$3:$B$7,Work!$C$3:$C$7)</f>
        <v>4</v>
      </c>
      <c r="M21" s="9"/>
    </row>
    <row r="22" spans="2:13" x14ac:dyDescent="0.25">
      <c r="B22" t="s">
        <v>108</v>
      </c>
      <c r="C22" t="s">
        <v>8</v>
      </c>
      <c r="D22" t="s">
        <v>56</v>
      </c>
      <c r="E22">
        <v>32</v>
      </c>
      <c r="F22" s="8">
        <v>44400</v>
      </c>
      <c r="G22" s="19">
        <v>45510</v>
      </c>
      <c r="H22" t="s">
        <v>16</v>
      </c>
      <c r="I22" t="s">
        <v>204</v>
      </c>
      <c r="J22" s="9">
        <f ca="1">(TODAY()-Staff[[#This Row],[Date Joined]])/365</f>
        <v>2.4712328767123286</v>
      </c>
      <c r="K22" s="19">
        <f ca="1">IF(Staff[[#This Row],[Tenure]]&gt;2,3%,2%)*Staff[[#This Row],[Salary]]</f>
        <v>1365.3</v>
      </c>
      <c r="L22">
        <f>_xlfn.XLOOKUP(Staff[[#This Row],[Rating]],Work!$B$3:$B$7,Work!$C$3:$C$7)</f>
        <v>3</v>
      </c>
      <c r="M22" s="9"/>
    </row>
    <row r="23" spans="2:13" x14ac:dyDescent="0.25">
      <c r="B23" t="s">
        <v>201</v>
      </c>
      <c r="C23" t="s">
        <v>8</v>
      </c>
      <c r="D23" t="s">
        <v>56</v>
      </c>
      <c r="E23">
        <v>32</v>
      </c>
      <c r="F23" s="8">
        <v>44339</v>
      </c>
      <c r="G23" s="19">
        <v>45510</v>
      </c>
      <c r="H23" t="s">
        <v>16</v>
      </c>
      <c r="I23" t="s">
        <v>206</v>
      </c>
      <c r="J23" s="9">
        <f ca="1">(TODAY()-Staff[[#This Row],[Date Joined]])/365</f>
        <v>2.6383561643835618</v>
      </c>
      <c r="K23" s="19">
        <f ca="1">IF(Staff[[#This Row],[Tenure]]&gt;2,3%,2%)*Staff[[#This Row],[Salary]]</f>
        <v>1365.3</v>
      </c>
      <c r="L23">
        <f>_xlfn.XLOOKUP(Staff[[#This Row],[Rating]],Work!$B$3:$B$7,Work!$C$3:$C$7)</f>
        <v>3</v>
      </c>
      <c r="M23" s="9"/>
    </row>
    <row r="24" spans="2:13" x14ac:dyDescent="0.25">
      <c r="B24" t="s">
        <v>59</v>
      </c>
      <c r="C24" t="s">
        <v>15</v>
      </c>
      <c r="D24" t="s">
        <v>9</v>
      </c>
      <c r="E24">
        <v>26</v>
      </c>
      <c r="F24" s="8">
        <v>44225</v>
      </c>
      <c r="G24" s="19">
        <v>47360</v>
      </c>
      <c r="H24" t="s">
        <v>16</v>
      </c>
      <c r="I24" t="s">
        <v>204</v>
      </c>
      <c r="J24" s="9">
        <f ca="1">(TODAY()-Staff[[#This Row],[Date Joined]])/365</f>
        <v>2.9506849315068493</v>
      </c>
      <c r="K24" s="19">
        <f ca="1">IF(Staff[[#This Row],[Tenure]]&gt;2,3%,2%)*Staff[[#This Row],[Salary]]</f>
        <v>1420.8</v>
      </c>
      <c r="L24">
        <f>_xlfn.XLOOKUP(Staff[[#This Row],[Rating]],Work!$B$3:$B$7,Work!$C$3:$C$7)</f>
        <v>3</v>
      </c>
      <c r="M24" s="9"/>
    </row>
    <row r="25" spans="2:13" x14ac:dyDescent="0.25">
      <c r="B25" t="s">
        <v>151</v>
      </c>
      <c r="C25" t="s">
        <v>15</v>
      </c>
      <c r="D25" t="s">
        <v>9</v>
      </c>
      <c r="E25">
        <v>26</v>
      </c>
      <c r="F25" s="8">
        <v>44164</v>
      </c>
      <c r="G25" s="19">
        <v>47360</v>
      </c>
      <c r="H25" t="s">
        <v>16</v>
      </c>
      <c r="I25" t="s">
        <v>206</v>
      </c>
      <c r="J25" s="9">
        <f ca="1">(TODAY()-Staff[[#This Row],[Date Joined]])/365</f>
        <v>3.117808219178082</v>
      </c>
      <c r="K25" s="19">
        <f ca="1">IF(Staff[[#This Row],[Tenure]]&gt;2,3%,2%)*Staff[[#This Row],[Salary]]</f>
        <v>1420.8</v>
      </c>
      <c r="L25">
        <f>_xlfn.XLOOKUP(Staff[[#This Row],[Rating]],Work!$B$3:$B$7,Work!$C$3:$C$7)</f>
        <v>3</v>
      </c>
      <c r="M25" s="9"/>
    </row>
    <row r="26" spans="2:13" x14ac:dyDescent="0.25">
      <c r="B26" t="s">
        <v>29</v>
      </c>
      <c r="C26" t="s">
        <v>15</v>
      </c>
      <c r="D26" t="s">
        <v>21</v>
      </c>
      <c r="E26">
        <v>28</v>
      </c>
      <c r="F26" s="8">
        <v>44041</v>
      </c>
      <c r="G26" s="19">
        <v>48170</v>
      </c>
      <c r="H26" t="s">
        <v>13</v>
      </c>
      <c r="I26" t="s">
        <v>204</v>
      </c>
      <c r="J26" s="9">
        <f ca="1">(TODAY()-Staff[[#This Row],[Date Joined]])/365</f>
        <v>3.4547945205479453</v>
      </c>
      <c r="K26" s="19">
        <f ca="1">IF(Staff[[#This Row],[Tenure]]&gt;2,3%,2%)*Staff[[#This Row],[Salary]]</f>
        <v>1445.1</v>
      </c>
      <c r="L26">
        <f>_xlfn.XLOOKUP(Staff[[#This Row],[Rating]],Work!$B$3:$B$7,Work!$C$3:$C$7)</f>
        <v>4</v>
      </c>
      <c r="M26" s="9"/>
    </row>
    <row r="27" spans="2:13" x14ac:dyDescent="0.25">
      <c r="B27" t="s">
        <v>123</v>
      </c>
      <c r="C27" t="s">
        <v>15</v>
      </c>
      <c r="D27" t="s">
        <v>21</v>
      </c>
      <c r="E27">
        <v>28</v>
      </c>
      <c r="F27" s="8">
        <v>43980</v>
      </c>
      <c r="G27" s="19">
        <v>48170</v>
      </c>
      <c r="H27" t="s">
        <v>13</v>
      </c>
      <c r="I27" t="s">
        <v>206</v>
      </c>
      <c r="J27" s="9">
        <f ca="1">(TODAY()-Staff[[#This Row],[Date Joined]])/365</f>
        <v>3.6219178082191781</v>
      </c>
      <c r="K27" s="19">
        <f ca="1">IF(Staff[[#This Row],[Tenure]]&gt;2,3%,2%)*Staff[[#This Row],[Salary]]</f>
        <v>1445.1</v>
      </c>
      <c r="L27">
        <f>_xlfn.XLOOKUP(Staff[[#This Row],[Rating]],Work!$B$3:$B$7,Work!$C$3:$C$7)</f>
        <v>4</v>
      </c>
      <c r="M27" s="9"/>
    </row>
    <row r="28" spans="2:13" x14ac:dyDescent="0.25">
      <c r="B28" t="s">
        <v>51</v>
      </c>
      <c r="C28" t="s">
        <v>15</v>
      </c>
      <c r="D28" t="s">
        <v>9</v>
      </c>
      <c r="E28">
        <v>33</v>
      </c>
      <c r="F28" s="8">
        <v>44701</v>
      </c>
      <c r="G28" s="19">
        <v>48530</v>
      </c>
      <c r="H28" t="s">
        <v>13</v>
      </c>
      <c r="I28" t="s">
        <v>204</v>
      </c>
      <c r="J28" s="9">
        <f ca="1">(TODAY()-Staff[[#This Row],[Date Joined]])/365</f>
        <v>1.6465753424657534</v>
      </c>
      <c r="K28" s="19">
        <f ca="1">IF(Staff[[#This Row],[Tenure]]&gt;2,3%,2%)*Staff[[#This Row],[Salary]]</f>
        <v>970.6</v>
      </c>
      <c r="L28">
        <f>_xlfn.XLOOKUP(Staff[[#This Row],[Rating]],Work!$B$3:$B$7,Work!$C$3:$C$7)</f>
        <v>4</v>
      </c>
      <c r="M28" s="9"/>
    </row>
    <row r="29" spans="2:13" x14ac:dyDescent="0.25">
      <c r="B29" t="s">
        <v>144</v>
      </c>
      <c r="C29" t="s">
        <v>15</v>
      </c>
      <c r="D29" t="s">
        <v>9</v>
      </c>
      <c r="E29">
        <v>33</v>
      </c>
      <c r="F29" s="8">
        <v>44640</v>
      </c>
      <c r="G29" s="19">
        <v>48530</v>
      </c>
      <c r="H29" t="s">
        <v>13</v>
      </c>
      <c r="I29" t="s">
        <v>206</v>
      </c>
      <c r="J29" s="9">
        <f ca="1">(TODAY()-Staff[[#This Row],[Date Joined]])/365</f>
        <v>1.8136986301369864</v>
      </c>
      <c r="K29" s="19">
        <f ca="1">IF(Staff[[#This Row],[Tenure]]&gt;2,3%,2%)*Staff[[#This Row],[Salary]]</f>
        <v>970.6</v>
      </c>
      <c r="L29">
        <f>_xlfn.XLOOKUP(Staff[[#This Row],[Rating]],Work!$B$3:$B$7,Work!$C$3:$C$7)</f>
        <v>4</v>
      </c>
      <c r="M29" s="9"/>
    </row>
    <row r="30" spans="2:13" x14ac:dyDescent="0.25">
      <c r="B30" t="s">
        <v>14</v>
      </c>
      <c r="C30" t="s">
        <v>15</v>
      </c>
      <c r="D30" t="s">
        <v>12</v>
      </c>
      <c r="E30">
        <v>31</v>
      </c>
      <c r="F30" s="8">
        <v>44511</v>
      </c>
      <c r="G30" s="19">
        <v>48950</v>
      </c>
      <c r="H30" t="s">
        <v>16</v>
      </c>
      <c r="I30" t="s">
        <v>204</v>
      </c>
      <c r="J30" s="9">
        <f ca="1">(TODAY()-Staff[[#This Row],[Date Joined]])/365</f>
        <v>2.1671232876712327</v>
      </c>
      <c r="K30" s="19">
        <f ca="1">IF(Staff[[#This Row],[Tenure]]&gt;2,3%,2%)*Staff[[#This Row],[Salary]]</f>
        <v>1468.5</v>
      </c>
      <c r="L30">
        <f>_xlfn.XLOOKUP(Staff[[#This Row],[Rating]],Work!$B$3:$B$7,Work!$C$3:$C$7)</f>
        <v>3</v>
      </c>
      <c r="M30" s="9"/>
    </row>
    <row r="31" spans="2:13" x14ac:dyDescent="0.25">
      <c r="B31" t="s">
        <v>113</v>
      </c>
      <c r="C31" t="s">
        <v>15</v>
      </c>
      <c r="D31" t="s">
        <v>12</v>
      </c>
      <c r="E31">
        <v>31</v>
      </c>
      <c r="F31" s="8">
        <v>44450</v>
      </c>
      <c r="G31" s="19">
        <v>48950</v>
      </c>
      <c r="H31" t="s">
        <v>16</v>
      </c>
      <c r="I31" t="s">
        <v>206</v>
      </c>
      <c r="J31" s="9">
        <f ca="1">(TODAY()-Staff[[#This Row],[Date Joined]])/365</f>
        <v>2.3342465753424659</v>
      </c>
      <c r="K31" s="19">
        <f ca="1">IF(Staff[[#This Row],[Tenure]]&gt;2,3%,2%)*Staff[[#This Row],[Salary]]</f>
        <v>1468.5</v>
      </c>
      <c r="L31">
        <f>_xlfn.XLOOKUP(Staff[[#This Row],[Rating]],Work!$B$3:$B$7,Work!$C$3:$C$7)</f>
        <v>3</v>
      </c>
      <c r="M31" s="9"/>
    </row>
    <row r="32" spans="2:13" x14ac:dyDescent="0.25">
      <c r="B32" t="s">
        <v>53</v>
      </c>
      <c r="C32" t="s">
        <v>15</v>
      </c>
      <c r="D32" t="s">
        <v>21</v>
      </c>
      <c r="E32">
        <v>27</v>
      </c>
      <c r="F32" s="8">
        <v>44567</v>
      </c>
      <c r="G32" s="19">
        <v>48980</v>
      </c>
      <c r="H32" t="s">
        <v>16</v>
      </c>
      <c r="I32" t="s">
        <v>204</v>
      </c>
      <c r="J32" s="9">
        <f ca="1">(TODAY()-Staff[[#This Row],[Date Joined]])/365</f>
        <v>2.0136986301369864</v>
      </c>
      <c r="K32" s="19">
        <f ca="1">IF(Staff[[#This Row],[Tenure]]&gt;2,3%,2%)*Staff[[#This Row],[Salary]]</f>
        <v>1469.3999999999999</v>
      </c>
      <c r="L32">
        <f>_xlfn.XLOOKUP(Staff[[#This Row],[Rating]],Work!$B$3:$B$7,Work!$C$3:$C$7)</f>
        <v>3</v>
      </c>
      <c r="M32" s="9"/>
    </row>
    <row r="33" spans="2:13" x14ac:dyDescent="0.25">
      <c r="B33" t="s">
        <v>146</v>
      </c>
      <c r="C33" t="s">
        <v>15</v>
      </c>
      <c r="D33" t="s">
        <v>21</v>
      </c>
      <c r="E33">
        <v>27</v>
      </c>
      <c r="F33" s="8">
        <v>44506</v>
      </c>
      <c r="G33" s="19">
        <v>48980</v>
      </c>
      <c r="H33" t="s">
        <v>16</v>
      </c>
      <c r="I33" t="s">
        <v>206</v>
      </c>
      <c r="J33" s="9">
        <f ca="1">(TODAY()-Staff[[#This Row],[Date Joined]])/365</f>
        <v>2.1808219178082191</v>
      </c>
      <c r="K33" s="19">
        <f ca="1">IF(Staff[[#This Row],[Tenure]]&gt;2,3%,2%)*Staff[[#This Row],[Salary]]</f>
        <v>1469.3999999999999</v>
      </c>
      <c r="L33">
        <f>_xlfn.XLOOKUP(Staff[[#This Row],[Rating]],Work!$B$3:$B$7,Work!$C$3:$C$7)</f>
        <v>3</v>
      </c>
      <c r="M33" s="9"/>
    </row>
    <row r="34" spans="2:13" x14ac:dyDescent="0.25">
      <c r="B34" t="s">
        <v>73</v>
      </c>
      <c r="C34" t="s">
        <v>8</v>
      </c>
      <c r="D34" t="s">
        <v>19</v>
      </c>
      <c r="E34">
        <v>34</v>
      </c>
      <c r="F34" s="8">
        <v>44721</v>
      </c>
      <c r="G34" s="19">
        <v>49630</v>
      </c>
      <c r="H34" t="s">
        <v>24</v>
      </c>
      <c r="I34" t="s">
        <v>204</v>
      </c>
      <c r="J34" s="9">
        <f ca="1">(TODAY()-Staff[[#This Row],[Date Joined]])/365</f>
        <v>1.5917808219178082</v>
      </c>
      <c r="K34" s="19">
        <f ca="1">IF(Staff[[#This Row],[Tenure]]&gt;2,3%,2%)*Staff[[#This Row],[Salary]]</f>
        <v>992.6</v>
      </c>
      <c r="L34">
        <f>_xlfn.XLOOKUP(Staff[[#This Row],[Rating]],Work!$B$3:$B$7,Work!$C$3:$C$7)</f>
        <v>2</v>
      </c>
      <c r="M34" s="9"/>
    </row>
    <row r="35" spans="2:13" x14ac:dyDescent="0.25">
      <c r="B35" t="s">
        <v>165</v>
      </c>
      <c r="C35" t="s">
        <v>8</v>
      </c>
      <c r="D35" t="s">
        <v>19</v>
      </c>
      <c r="E35">
        <v>34</v>
      </c>
      <c r="F35" s="8">
        <v>44660</v>
      </c>
      <c r="G35" s="19">
        <v>49630</v>
      </c>
      <c r="H35" t="s">
        <v>24</v>
      </c>
      <c r="I35" t="s">
        <v>206</v>
      </c>
      <c r="J35" s="9">
        <f ca="1">(TODAY()-Staff[[#This Row],[Date Joined]])/365</f>
        <v>1.7589041095890412</v>
      </c>
      <c r="K35" s="19">
        <f ca="1">IF(Staff[[#This Row],[Tenure]]&gt;2,3%,2%)*Staff[[#This Row],[Salary]]</f>
        <v>992.6</v>
      </c>
      <c r="L35">
        <f>_xlfn.XLOOKUP(Staff[[#This Row],[Rating]],Work!$B$3:$B$7,Work!$C$3:$C$7)</f>
        <v>2</v>
      </c>
      <c r="M35" s="9"/>
    </row>
    <row r="36" spans="2:13" x14ac:dyDescent="0.25">
      <c r="B36" t="s">
        <v>63</v>
      </c>
      <c r="C36" t="s">
        <v>15</v>
      </c>
      <c r="D36" t="s">
        <v>21</v>
      </c>
      <c r="E36">
        <v>24</v>
      </c>
      <c r="F36" s="8">
        <v>44436</v>
      </c>
      <c r="G36" s="19">
        <v>52610</v>
      </c>
      <c r="H36" t="s">
        <v>24</v>
      </c>
      <c r="I36" t="s">
        <v>204</v>
      </c>
      <c r="J36" s="9">
        <f ca="1">(TODAY()-Staff[[#This Row],[Date Joined]])/365</f>
        <v>2.3726027397260272</v>
      </c>
      <c r="K36" s="19">
        <f ca="1">IF(Staff[[#This Row],[Tenure]]&gt;2,3%,2%)*Staff[[#This Row],[Salary]]</f>
        <v>1578.3</v>
      </c>
      <c r="L36">
        <f>_xlfn.XLOOKUP(Staff[[#This Row],[Rating]],Work!$B$3:$B$7,Work!$C$3:$C$7)</f>
        <v>2</v>
      </c>
      <c r="M36" s="9"/>
    </row>
    <row r="37" spans="2:13" x14ac:dyDescent="0.25">
      <c r="B37" t="s">
        <v>155</v>
      </c>
      <c r="C37" t="s">
        <v>15</v>
      </c>
      <c r="D37" t="s">
        <v>21</v>
      </c>
      <c r="E37">
        <v>24</v>
      </c>
      <c r="F37" s="8">
        <v>44375</v>
      </c>
      <c r="G37" s="19">
        <v>52610</v>
      </c>
      <c r="H37" t="s">
        <v>24</v>
      </c>
      <c r="I37" t="s">
        <v>206</v>
      </c>
      <c r="J37" s="9">
        <f ca="1">(TODAY()-Staff[[#This Row],[Date Joined]])/365</f>
        <v>2.5397260273972604</v>
      </c>
      <c r="K37" s="19">
        <f ca="1">IF(Staff[[#This Row],[Tenure]]&gt;2,3%,2%)*Staff[[#This Row],[Salary]]</f>
        <v>1578.3</v>
      </c>
      <c r="L37">
        <f>_xlfn.XLOOKUP(Staff[[#This Row],[Rating]],Work!$B$3:$B$7,Work!$C$3:$C$7)</f>
        <v>2</v>
      </c>
      <c r="M37" s="9"/>
    </row>
    <row r="38" spans="2:13" x14ac:dyDescent="0.25">
      <c r="B38" t="s">
        <v>75</v>
      </c>
      <c r="C38" t="s">
        <v>8</v>
      </c>
      <c r="D38" t="s">
        <v>19</v>
      </c>
      <c r="E38">
        <v>28</v>
      </c>
      <c r="F38" s="8">
        <v>44357</v>
      </c>
      <c r="G38" s="19">
        <v>53240</v>
      </c>
      <c r="H38" t="s">
        <v>16</v>
      </c>
      <c r="I38" t="s">
        <v>204</v>
      </c>
      <c r="J38" s="9">
        <f ca="1">(TODAY()-Staff[[#This Row],[Date Joined]])/365</f>
        <v>2.5890410958904111</v>
      </c>
      <c r="K38" s="19">
        <f ca="1">IF(Staff[[#This Row],[Tenure]]&gt;2,3%,2%)*Staff[[#This Row],[Salary]]</f>
        <v>1597.2</v>
      </c>
      <c r="L38">
        <f>_xlfn.XLOOKUP(Staff[[#This Row],[Rating]],Work!$B$3:$B$7,Work!$C$3:$C$7)</f>
        <v>3</v>
      </c>
      <c r="M38" s="9"/>
    </row>
    <row r="39" spans="2:13" x14ac:dyDescent="0.25">
      <c r="B39" t="s">
        <v>167</v>
      </c>
      <c r="C39" t="s">
        <v>8</v>
      </c>
      <c r="D39" t="s">
        <v>19</v>
      </c>
      <c r="E39">
        <v>28</v>
      </c>
      <c r="F39" s="8">
        <v>44296</v>
      </c>
      <c r="G39" s="19">
        <v>53240</v>
      </c>
      <c r="H39" t="s">
        <v>16</v>
      </c>
      <c r="I39" t="s">
        <v>206</v>
      </c>
      <c r="J39" s="9">
        <f ca="1">(TODAY()-Staff[[#This Row],[Date Joined]])/365</f>
        <v>2.7561643835616438</v>
      </c>
      <c r="K39" s="19">
        <f ca="1">IF(Staff[[#This Row],[Tenure]]&gt;2,3%,2%)*Staff[[#This Row],[Salary]]</f>
        <v>1597.2</v>
      </c>
      <c r="L39">
        <f>_xlfn.XLOOKUP(Staff[[#This Row],[Rating]],Work!$B$3:$B$7,Work!$C$3:$C$7)</f>
        <v>3</v>
      </c>
      <c r="M39" s="9"/>
    </row>
    <row r="40" spans="2:13" x14ac:dyDescent="0.25">
      <c r="B40" t="s">
        <v>65</v>
      </c>
      <c r="C40" t="s">
        <v>15</v>
      </c>
      <c r="D40" t="s">
        <v>19</v>
      </c>
      <c r="E40">
        <v>32</v>
      </c>
      <c r="F40" s="8">
        <v>44465</v>
      </c>
      <c r="G40" s="19">
        <v>53540</v>
      </c>
      <c r="H40" t="s">
        <v>16</v>
      </c>
      <c r="I40" t="s">
        <v>204</v>
      </c>
      <c r="J40" s="9">
        <f ca="1">(TODAY()-Staff[[#This Row],[Date Joined]])/365</f>
        <v>2.2931506849315069</v>
      </c>
      <c r="K40" s="19">
        <f ca="1">IF(Staff[[#This Row],[Tenure]]&gt;2,3%,2%)*Staff[[#This Row],[Salary]]</f>
        <v>1606.2</v>
      </c>
      <c r="L40">
        <f>_xlfn.XLOOKUP(Staff[[#This Row],[Rating]],Work!$B$3:$B$7,Work!$C$3:$C$7)</f>
        <v>3</v>
      </c>
      <c r="M40" s="9"/>
    </row>
    <row r="41" spans="2:13" x14ac:dyDescent="0.25">
      <c r="B41" t="s">
        <v>46</v>
      </c>
      <c r="C41" t="s">
        <v>15</v>
      </c>
      <c r="D41" t="s">
        <v>9</v>
      </c>
      <c r="E41">
        <v>26</v>
      </c>
      <c r="F41" s="8">
        <v>44411</v>
      </c>
      <c r="G41" s="19">
        <v>53540</v>
      </c>
      <c r="H41" t="s">
        <v>16</v>
      </c>
      <c r="I41" t="s">
        <v>204</v>
      </c>
      <c r="J41" s="9">
        <f ca="1">(TODAY()-Staff[[#This Row],[Date Joined]])/365</f>
        <v>2.441095890410959</v>
      </c>
      <c r="K41" s="19">
        <f ca="1">IF(Staff[[#This Row],[Tenure]]&gt;2,3%,2%)*Staff[[#This Row],[Salary]]</f>
        <v>1606.2</v>
      </c>
      <c r="L41">
        <f>_xlfn.XLOOKUP(Staff[[#This Row],[Rating]],Work!$B$3:$B$7,Work!$C$3:$C$7)</f>
        <v>3</v>
      </c>
      <c r="M41" s="9"/>
    </row>
    <row r="42" spans="2:13" x14ac:dyDescent="0.25">
      <c r="B42" t="s">
        <v>157</v>
      </c>
      <c r="C42" t="s">
        <v>15</v>
      </c>
      <c r="D42" t="s">
        <v>19</v>
      </c>
      <c r="E42">
        <v>32</v>
      </c>
      <c r="F42" s="8">
        <v>44403</v>
      </c>
      <c r="G42" s="19">
        <v>53540</v>
      </c>
      <c r="H42" t="s">
        <v>16</v>
      </c>
      <c r="I42" t="s">
        <v>206</v>
      </c>
      <c r="J42" s="9">
        <f ca="1">(TODAY()-Staff[[#This Row],[Date Joined]])/365</f>
        <v>2.463013698630137</v>
      </c>
      <c r="K42" s="19">
        <f ca="1">IF(Staff[[#This Row],[Tenure]]&gt;2,3%,2%)*Staff[[#This Row],[Salary]]</f>
        <v>1606.2</v>
      </c>
      <c r="L42">
        <f>_xlfn.XLOOKUP(Staff[[#This Row],[Rating]],Work!$B$3:$B$7,Work!$C$3:$C$7)</f>
        <v>3</v>
      </c>
      <c r="M42" s="9"/>
    </row>
    <row r="43" spans="2:13" x14ac:dyDescent="0.25">
      <c r="B43" t="s">
        <v>139</v>
      </c>
      <c r="C43" t="s">
        <v>15</v>
      </c>
      <c r="D43" t="s">
        <v>9</v>
      </c>
      <c r="E43">
        <v>26</v>
      </c>
      <c r="F43" s="8">
        <v>44350</v>
      </c>
      <c r="G43" s="19">
        <v>53540</v>
      </c>
      <c r="H43" t="s">
        <v>16</v>
      </c>
      <c r="I43" t="s">
        <v>206</v>
      </c>
      <c r="J43" s="9">
        <f ca="1">(TODAY()-Staff[[#This Row],[Date Joined]])/365</f>
        <v>2.6082191780821917</v>
      </c>
      <c r="K43" s="19">
        <f ca="1">IF(Staff[[#This Row],[Tenure]]&gt;2,3%,2%)*Staff[[#This Row],[Salary]]</f>
        <v>1606.2</v>
      </c>
      <c r="L43">
        <f>_xlfn.XLOOKUP(Staff[[#This Row],[Rating]],Work!$B$3:$B$7,Work!$C$3:$C$7)</f>
        <v>3</v>
      </c>
      <c r="M43" s="9"/>
    </row>
    <row r="44" spans="2:13" x14ac:dyDescent="0.25">
      <c r="B44" t="s">
        <v>82</v>
      </c>
      <c r="C44" t="s">
        <v>15</v>
      </c>
      <c r="D44" t="s">
        <v>12</v>
      </c>
      <c r="E44">
        <v>33</v>
      </c>
      <c r="F44" s="8">
        <v>44509</v>
      </c>
      <c r="G44" s="19">
        <v>53870</v>
      </c>
      <c r="H44" t="s">
        <v>16</v>
      </c>
      <c r="I44" t="s">
        <v>204</v>
      </c>
      <c r="J44" s="9">
        <f ca="1">(TODAY()-Staff[[#This Row],[Date Joined]])/365</f>
        <v>2.1726027397260275</v>
      </c>
      <c r="K44" s="19">
        <f ca="1">IF(Staff[[#This Row],[Tenure]]&gt;2,3%,2%)*Staff[[#This Row],[Salary]]</f>
        <v>1616.1</v>
      </c>
      <c r="L44">
        <f>_xlfn.XLOOKUP(Staff[[#This Row],[Rating]],Work!$B$3:$B$7,Work!$C$3:$C$7)</f>
        <v>3</v>
      </c>
      <c r="M44" s="9"/>
    </row>
    <row r="45" spans="2:13" x14ac:dyDescent="0.25">
      <c r="B45" t="s">
        <v>174</v>
      </c>
      <c r="C45" t="s">
        <v>15</v>
      </c>
      <c r="D45" t="s">
        <v>12</v>
      </c>
      <c r="E45">
        <v>33</v>
      </c>
      <c r="F45" s="8">
        <v>44448</v>
      </c>
      <c r="G45" s="19">
        <v>53870</v>
      </c>
      <c r="H45" t="s">
        <v>16</v>
      </c>
      <c r="I45" t="s">
        <v>206</v>
      </c>
      <c r="J45" s="9">
        <f ca="1">(TODAY()-Staff[[#This Row],[Date Joined]])/365</f>
        <v>2.3397260273972602</v>
      </c>
      <c r="K45" s="19">
        <f ca="1">IF(Staff[[#This Row],[Tenure]]&gt;2,3%,2%)*Staff[[#This Row],[Salary]]</f>
        <v>1616.1</v>
      </c>
      <c r="L45">
        <f>_xlfn.XLOOKUP(Staff[[#This Row],[Rating]],Work!$B$3:$B$7,Work!$C$3:$C$7)</f>
        <v>3</v>
      </c>
      <c r="M45" s="9"/>
    </row>
    <row r="46" spans="2:13" x14ac:dyDescent="0.25">
      <c r="B46" t="s">
        <v>89</v>
      </c>
      <c r="C46" t="s">
        <v>15</v>
      </c>
      <c r="D46" t="s">
        <v>19</v>
      </c>
      <c r="E46">
        <v>27</v>
      </c>
      <c r="F46" s="8">
        <v>44134</v>
      </c>
      <c r="G46" s="19">
        <v>54970</v>
      </c>
      <c r="H46" t="s">
        <v>16</v>
      </c>
      <c r="I46" t="s">
        <v>204</v>
      </c>
      <c r="J46" s="9">
        <f ca="1">(TODAY()-Staff[[#This Row],[Date Joined]])/365</f>
        <v>3.2</v>
      </c>
      <c r="K46" s="19">
        <f ca="1">IF(Staff[[#This Row],[Tenure]]&gt;2,3%,2%)*Staff[[#This Row],[Salary]]</f>
        <v>1649.1</v>
      </c>
      <c r="L46">
        <f>_xlfn.XLOOKUP(Staff[[#This Row],[Rating]],Work!$B$3:$B$7,Work!$C$3:$C$7)</f>
        <v>3</v>
      </c>
      <c r="M46" s="9"/>
    </row>
    <row r="47" spans="2:13" x14ac:dyDescent="0.25">
      <c r="B47" t="s">
        <v>182</v>
      </c>
      <c r="C47" t="s">
        <v>15</v>
      </c>
      <c r="D47" t="s">
        <v>19</v>
      </c>
      <c r="E47">
        <v>27</v>
      </c>
      <c r="F47" s="8">
        <v>44073</v>
      </c>
      <c r="G47" s="19">
        <v>54970</v>
      </c>
      <c r="H47" t="s">
        <v>16</v>
      </c>
      <c r="I47" t="s">
        <v>206</v>
      </c>
      <c r="J47" s="9">
        <f ca="1">(TODAY()-Staff[[#This Row],[Date Joined]])/365</f>
        <v>3.3671232876712329</v>
      </c>
      <c r="K47" s="19">
        <f ca="1">IF(Staff[[#This Row],[Tenure]]&gt;2,3%,2%)*Staff[[#This Row],[Salary]]</f>
        <v>1649.1</v>
      </c>
      <c r="L47">
        <f>_xlfn.XLOOKUP(Staff[[#This Row],[Rating]],Work!$B$3:$B$7,Work!$C$3:$C$7)</f>
        <v>3</v>
      </c>
      <c r="M47" s="9"/>
    </row>
    <row r="48" spans="2:13" x14ac:dyDescent="0.25">
      <c r="B48" t="s">
        <v>109</v>
      </c>
      <c r="C48" t="s">
        <v>8</v>
      </c>
      <c r="D48" t="s">
        <v>19</v>
      </c>
      <c r="E48">
        <v>38</v>
      </c>
      <c r="F48" s="8">
        <v>44329</v>
      </c>
      <c r="G48" s="19">
        <v>56870</v>
      </c>
      <c r="H48" t="s">
        <v>13</v>
      </c>
      <c r="I48" t="s">
        <v>204</v>
      </c>
      <c r="J48" s="9">
        <f ca="1">(TODAY()-Staff[[#This Row],[Date Joined]])/365</f>
        <v>2.6657534246575341</v>
      </c>
      <c r="K48" s="19">
        <f ca="1">IF(Staff[[#This Row],[Tenure]]&gt;2,3%,2%)*Staff[[#This Row],[Salary]]</f>
        <v>1706.1</v>
      </c>
      <c r="L48">
        <f>_xlfn.XLOOKUP(Staff[[#This Row],[Rating]],Work!$B$3:$B$7,Work!$C$3:$C$7)</f>
        <v>4</v>
      </c>
      <c r="M48" s="9"/>
    </row>
    <row r="49" spans="2:13" x14ac:dyDescent="0.25">
      <c r="B49" t="s">
        <v>202</v>
      </c>
      <c r="C49" t="s">
        <v>8</v>
      </c>
      <c r="D49" t="s">
        <v>19</v>
      </c>
      <c r="E49">
        <v>38</v>
      </c>
      <c r="F49" s="8">
        <v>44268</v>
      </c>
      <c r="G49" s="19">
        <v>56870</v>
      </c>
      <c r="H49" t="s">
        <v>13</v>
      </c>
      <c r="I49" t="s">
        <v>206</v>
      </c>
      <c r="J49" s="9">
        <f ca="1">(TODAY()-Staff[[#This Row],[Date Joined]])/365</f>
        <v>2.8328767123287673</v>
      </c>
      <c r="K49" s="19">
        <f ca="1">IF(Staff[[#This Row],[Tenure]]&gt;2,3%,2%)*Staff[[#This Row],[Salary]]</f>
        <v>1706.1</v>
      </c>
      <c r="L49">
        <f>_xlfn.XLOOKUP(Staff[[#This Row],[Rating]],Work!$B$3:$B$7,Work!$C$3:$C$7)</f>
        <v>4</v>
      </c>
      <c r="M49" s="9"/>
    </row>
    <row r="50" spans="2:13" x14ac:dyDescent="0.25">
      <c r="B50" t="s">
        <v>31</v>
      </c>
      <c r="C50" t="s">
        <v>15</v>
      </c>
      <c r="D50" t="s">
        <v>9</v>
      </c>
      <c r="E50">
        <v>21</v>
      </c>
      <c r="F50" s="8">
        <v>44762</v>
      </c>
      <c r="G50" s="19">
        <v>57090</v>
      </c>
      <c r="H50" t="s">
        <v>16</v>
      </c>
      <c r="I50" t="s">
        <v>204</v>
      </c>
      <c r="J50" s="9">
        <f ca="1">(TODAY()-Staff[[#This Row],[Date Joined]])/365</f>
        <v>1.4794520547945205</v>
      </c>
      <c r="K50" s="19">
        <f ca="1">IF(Staff[[#This Row],[Tenure]]&gt;2,3%,2%)*Staff[[#This Row],[Salary]]</f>
        <v>1141.8</v>
      </c>
      <c r="L50">
        <f>_xlfn.XLOOKUP(Staff[[#This Row],[Rating]],Work!$B$3:$B$7,Work!$C$3:$C$7)</f>
        <v>3</v>
      </c>
      <c r="M50" s="9"/>
    </row>
    <row r="51" spans="2:13" x14ac:dyDescent="0.25">
      <c r="B51" t="s">
        <v>125</v>
      </c>
      <c r="C51" t="s">
        <v>15</v>
      </c>
      <c r="D51" t="s">
        <v>9</v>
      </c>
      <c r="E51">
        <v>21</v>
      </c>
      <c r="F51" s="8">
        <v>44701</v>
      </c>
      <c r="G51" s="19">
        <v>57090</v>
      </c>
      <c r="H51" t="s">
        <v>16</v>
      </c>
      <c r="I51" t="s">
        <v>206</v>
      </c>
      <c r="J51" s="9">
        <f ca="1">(TODAY()-Staff[[#This Row],[Date Joined]])/365</f>
        <v>1.6465753424657534</v>
      </c>
      <c r="K51" s="19">
        <f ca="1">IF(Staff[[#This Row],[Tenure]]&gt;2,3%,2%)*Staff[[#This Row],[Salary]]</f>
        <v>1141.8</v>
      </c>
      <c r="L51">
        <f>_xlfn.XLOOKUP(Staff[[#This Row],[Rating]],Work!$B$3:$B$7,Work!$C$3:$C$7)</f>
        <v>3</v>
      </c>
      <c r="M51" s="9"/>
    </row>
    <row r="52" spans="2:13" x14ac:dyDescent="0.25">
      <c r="B52" t="s">
        <v>26</v>
      </c>
      <c r="C52" t="s">
        <v>8</v>
      </c>
      <c r="D52" t="s">
        <v>12</v>
      </c>
      <c r="E52">
        <v>31</v>
      </c>
      <c r="F52" s="8">
        <v>44663</v>
      </c>
      <c r="G52" s="19">
        <v>58100</v>
      </c>
      <c r="H52" t="s">
        <v>16</v>
      </c>
      <c r="I52" t="s">
        <v>204</v>
      </c>
      <c r="J52" s="9">
        <f ca="1">(TODAY()-Staff[[#This Row],[Date Joined]])/365</f>
        <v>1.7506849315068493</v>
      </c>
      <c r="K52" s="19">
        <f ca="1">IF(Staff[[#This Row],[Tenure]]&gt;2,3%,2%)*Staff[[#This Row],[Salary]]</f>
        <v>1162</v>
      </c>
      <c r="L52">
        <f>_xlfn.XLOOKUP(Staff[[#This Row],[Rating]],Work!$B$3:$B$7,Work!$C$3:$C$7)</f>
        <v>3</v>
      </c>
      <c r="M52" s="9"/>
    </row>
    <row r="53" spans="2:13" x14ac:dyDescent="0.25">
      <c r="B53" t="s">
        <v>120</v>
      </c>
      <c r="C53" t="s">
        <v>8</v>
      </c>
      <c r="D53" t="s">
        <v>12</v>
      </c>
      <c r="E53">
        <v>31</v>
      </c>
      <c r="F53" s="8">
        <v>44604</v>
      </c>
      <c r="G53" s="19">
        <v>58100</v>
      </c>
      <c r="H53" t="s">
        <v>16</v>
      </c>
      <c r="I53" t="s">
        <v>206</v>
      </c>
      <c r="J53" s="9">
        <f ca="1">(TODAY()-Staff[[#This Row],[Date Joined]])/365</f>
        <v>1.9123287671232876</v>
      </c>
      <c r="K53" s="19">
        <f ca="1">IF(Staff[[#This Row],[Tenure]]&gt;2,3%,2%)*Staff[[#This Row],[Salary]]</f>
        <v>1162</v>
      </c>
      <c r="L53">
        <f>_xlfn.XLOOKUP(Staff[[#This Row],[Rating]],Work!$B$3:$B$7,Work!$C$3:$C$7)</f>
        <v>3</v>
      </c>
      <c r="M53" s="9"/>
    </row>
    <row r="54" spans="2:13" x14ac:dyDescent="0.25">
      <c r="B54" t="s">
        <v>36</v>
      </c>
      <c r="C54" t="s">
        <v>8</v>
      </c>
      <c r="D54" t="s">
        <v>21</v>
      </c>
      <c r="E54">
        <v>34</v>
      </c>
      <c r="F54" s="8">
        <v>44653</v>
      </c>
      <c r="G54" s="19">
        <v>58940</v>
      </c>
      <c r="H54" t="s">
        <v>16</v>
      </c>
      <c r="I54" t="s">
        <v>204</v>
      </c>
      <c r="J54" s="9">
        <f ca="1">(TODAY()-Staff[[#This Row],[Date Joined]])/365</f>
        <v>1.7780821917808218</v>
      </c>
      <c r="K54" s="19">
        <f ca="1">IF(Staff[[#This Row],[Tenure]]&gt;2,3%,2%)*Staff[[#This Row],[Salary]]</f>
        <v>1178.8</v>
      </c>
      <c r="L54">
        <f>_xlfn.XLOOKUP(Staff[[#This Row],[Rating]],Work!$B$3:$B$7,Work!$C$3:$C$7)</f>
        <v>3</v>
      </c>
      <c r="M54" s="9"/>
    </row>
    <row r="55" spans="2:13" x14ac:dyDescent="0.25">
      <c r="B55" t="s">
        <v>130</v>
      </c>
      <c r="C55" t="s">
        <v>8</v>
      </c>
      <c r="D55" t="s">
        <v>21</v>
      </c>
      <c r="E55">
        <v>34</v>
      </c>
      <c r="F55" s="8">
        <v>44594</v>
      </c>
      <c r="G55" s="19">
        <v>58940</v>
      </c>
      <c r="H55" t="s">
        <v>16</v>
      </c>
      <c r="I55" t="s">
        <v>206</v>
      </c>
      <c r="J55" s="9">
        <f ca="1">(TODAY()-Staff[[#This Row],[Date Joined]])/365</f>
        <v>1.9397260273972603</v>
      </c>
      <c r="K55" s="19">
        <f ca="1">IF(Staff[[#This Row],[Tenure]]&gt;2,3%,2%)*Staff[[#This Row],[Salary]]</f>
        <v>1178.8</v>
      </c>
      <c r="L55">
        <f>_xlfn.XLOOKUP(Staff[[#This Row],[Rating]],Work!$B$3:$B$7,Work!$C$3:$C$7)</f>
        <v>3</v>
      </c>
      <c r="M55" s="9"/>
    </row>
    <row r="56" spans="2:13" x14ac:dyDescent="0.25">
      <c r="B56" t="s">
        <v>100</v>
      </c>
      <c r="C56" t="s">
        <v>15</v>
      </c>
      <c r="D56" t="s">
        <v>9</v>
      </c>
      <c r="E56">
        <v>19</v>
      </c>
      <c r="F56" s="8">
        <v>44277</v>
      </c>
      <c r="G56" s="19">
        <v>58960</v>
      </c>
      <c r="H56" t="s">
        <v>16</v>
      </c>
      <c r="I56" t="s">
        <v>204</v>
      </c>
      <c r="J56" s="9">
        <f ca="1">(TODAY()-Staff[[#This Row],[Date Joined]])/365</f>
        <v>2.8082191780821919</v>
      </c>
      <c r="K56" s="19">
        <f ca="1">IF(Staff[[#This Row],[Tenure]]&gt;2,3%,2%)*Staff[[#This Row],[Salary]]</f>
        <v>1768.8</v>
      </c>
      <c r="L56">
        <f>_xlfn.XLOOKUP(Staff[[#This Row],[Rating]],Work!$B$3:$B$7,Work!$C$3:$C$7)</f>
        <v>3</v>
      </c>
      <c r="M56" s="9"/>
    </row>
    <row r="57" spans="2:13" x14ac:dyDescent="0.25">
      <c r="B57" t="s">
        <v>193</v>
      </c>
      <c r="C57" t="s">
        <v>15</v>
      </c>
      <c r="D57" t="s">
        <v>9</v>
      </c>
      <c r="E57">
        <v>19</v>
      </c>
      <c r="F57" s="8">
        <v>44218</v>
      </c>
      <c r="G57" s="19">
        <v>58960</v>
      </c>
      <c r="H57" t="s">
        <v>16</v>
      </c>
      <c r="I57" t="s">
        <v>206</v>
      </c>
      <c r="J57" s="9">
        <f ca="1">(TODAY()-Staff[[#This Row],[Date Joined]])/365</f>
        <v>2.9698630136986299</v>
      </c>
      <c r="K57" s="19">
        <f ca="1">IF(Staff[[#This Row],[Tenure]]&gt;2,3%,2%)*Staff[[#This Row],[Salary]]</f>
        <v>1768.8</v>
      </c>
      <c r="L57">
        <f>_xlfn.XLOOKUP(Staff[[#This Row],[Rating]],Work!$B$3:$B$7,Work!$C$3:$C$7)</f>
        <v>3</v>
      </c>
      <c r="M57" s="9"/>
    </row>
    <row r="58" spans="2:13" x14ac:dyDescent="0.25">
      <c r="B58" t="s">
        <v>79</v>
      </c>
      <c r="C58" t="s">
        <v>15</v>
      </c>
      <c r="D58" t="s">
        <v>21</v>
      </c>
      <c r="E58">
        <v>33</v>
      </c>
      <c r="F58" s="8">
        <v>44243</v>
      </c>
      <c r="G58" s="19">
        <v>59430</v>
      </c>
      <c r="H58" t="s">
        <v>16</v>
      </c>
      <c r="I58" t="s">
        <v>204</v>
      </c>
      <c r="J58" s="9">
        <f ca="1">(TODAY()-Staff[[#This Row],[Date Joined]])/365</f>
        <v>2.9013698630136986</v>
      </c>
      <c r="K58" s="19">
        <f ca="1">IF(Staff[[#This Row],[Tenure]]&gt;2,3%,2%)*Staff[[#This Row],[Salary]]</f>
        <v>1782.8999999999999</v>
      </c>
      <c r="L58">
        <f>_xlfn.XLOOKUP(Staff[[#This Row],[Rating]],Work!$B$3:$B$7,Work!$C$3:$C$7)</f>
        <v>3</v>
      </c>
      <c r="M58" s="9"/>
    </row>
    <row r="59" spans="2:13" x14ac:dyDescent="0.25">
      <c r="B59" t="s">
        <v>171</v>
      </c>
      <c r="C59" t="s">
        <v>15</v>
      </c>
      <c r="D59" t="s">
        <v>21</v>
      </c>
      <c r="E59">
        <v>33</v>
      </c>
      <c r="F59" s="8">
        <v>44181</v>
      </c>
      <c r="G59" s="19">
        <v>59430</v>
      </c>
      <c r="H59" t="s">
        <v>16</v>
      </c>
      <c r="I59" t="s">
        <v>206</v>
      </c>
      <c r="J59" s="9">
        <f ca="1">(TODAY()-Staff[[#This Row],[Date Joined]])/365</f>
        <v>3.0712328767123287</v>
      </c>
      <c r="K59" s="19">
        <f ca="1">IF(Staff[[#This Row],[Tenure]]&gt;2,3%,2%)*Staff[[#This Row],[Salary]]</f>
        <v>1782.8999999999999</v>
      </c>
      <c r="L59">
        <f>_xlfn.XLOOKUP(Staff[[#This Row],[Rating]],Work!$B$3:$B$7,Work!$C$3:$C$7)</f>
        <v>3</v>
      </c>
      <c r="M59" s="9"/>
    </row>
    <row r="60" spans="2:13" x14ac:dyDescent="0.25">
      <c r="B60" t="s">
        <v>132</v>
      </c>
      <c r="C60" t="s">
        <v>8</v>
      </c>
      <c r="D60" t="s">
        <v>21</v>
      </c>
      <c r="E60">
        <v>34</v>
      </c>
      <c r="F60" s="8">
        <v>44550</v>
      </c>
      <c r="G60" s="19">
        <v>60130</v>
      </c>
      <c r="H60" t="s">
        <v>16</v>
      </c>
      <c r="I60" t="s">
        <v>206</v>
      </c>
      <c r="J60" s="9">
        <f ca="1">(TODAY()-Staff[[#This Row],[Date Joined]])/365</f>
        <v>2.0602739726027397</v>
      </c>
      <c r="K60" s="19">
        <f ca="1">IF(Staff[[#This Row],[Tenure]]&gt;2,3%,2%)*Staff[[#This Row],[Salary]]</f>
        <v>1803.8999999999999</v>
      </c>
      <c r="L60">
        <f>_xlfn.XLOOKUP(Staff[[#This Row],[Rating]],Work!$B$3:$B$7,Work!$C$3:$C$7)</f>
        <v>3</v>
      </c>
      <c r="M60" s="9"/>
    </row>
    <row r="61" spans="2:13" x14ac:dyDescent="0.25">
      <c r="B61" t="s">
        <v>38</v>
      </c>
      <c r="C61" t="s">
        <v>8</v>
      </c>
      <c r="D61" t="s">
        <v>21</v>
      </c>
      <c r="E61">
        <v>34</v>
      </c>
      <c r="F61" s="8">
        <v>44612</v>
      </c>
      <c r="G61" s="19">
        <v>60130</v>
      </c>
      <c r="H61" t="s">
        <v>16</v>
      </c>
      <c r="I61" t="s">
        <v>204</v>
      </c>
      <c r="J61" s="9">
        <f ca="1">(TODAY()-Staff[[#This Row],[Date Joined]])/365</f>
        <v>1.8904109589041096</v>
      </c>
      <c r="K61" s="19">
        <f ca="1">IF(Staff[[#This Row],[Tenure]]&gt;2,3%,2%)*Staff[[#This Row],[Salary]]</f>
        <v>1202.6000000000001</v>
      </c>
      <c r="L61">
        <f>_xlfn.XLOOKUP(Staff[[#This Row],[Rating]],Work!$B$3:$B$7,Work!$C$3:$C$7)</f>
        <v>3</v>
      </c>
      <c r="M61" s="9"/>
    </row>
    <row r="62" spans="2:13" x14ac:dyDescent="0.25">
      <c r="B62" t="s">
        <v>37</v>
      </c>
      <c r="C62" t="s">
        <v>15</v>
      </c>
      <c r="D62" t="s">
        <v>9</v>
      </c>
      <c r="E62">
        <v>30</v>
      </c>
      <c r="F62" s="8">
        <v>44666</v>
      </c>
      <c r="G62" s="19">
        <v>60570</v>
      </c>
      <c r="H62" t="s">
        <v>16</v>
      </c>
      <c r="I62" t="s">
        <v>204</v>
      </c>
      <c r="J62" s="9">
        <f ca="1">(TODAY()-Staff[[#This Row],[Date Joined]])/365</f>
        <v>1.7424657534246575</v>
      </c>
      <c r="K62" s="19">
        <f ca="1">IF(Staff[[#This Row],[Tenure]]&gt;2,3%,2%)*Staff[[#This Row],[Salary]]</f>
        <v>1211.4000000000001</v>
      </c>
      <c r="L62">
        <f>_xlfn.XLOOKUP(Staff[[#This Row],[Rating]],Work!$B$3:$B$7,Work!$C$3:$C$7)</f>
        <v>3</v>
      </c>
      <c r="M62" s="9"/>
    </row>
    <row r="63" spans="2:13" x14ac:dyDescent="0.25">
      <c r="B63" t="s">
        <v>131</v>
      </c>
      <c r="C63" t="s">
        <v>15</v>
      </c>
      <c r="D63" t="s">
        <v>9</v>
      </c>
      <c r="E63">
        <v>30</v>
      </c>
      <c r="F63" s="8">
        <v>44607</v>
      </c>
      <c r="G63" s="19">
        <v>60570</v>
      </c>
      <c r="H63" t="s">
        <v>16</v>
      </c>
      <c r="I63" t="s">
        <v>206</v>
      </c>
      <c r="J63" s="9">
        <f ca="1">(TODAY()-Staff[[#This Row],[Date Joined]])/365</f>
        <v>1.904109589041096</v>
      </c>
      <c r="K63" s="19">
        <f ca="1">IF(Staff[[#This Row],[Tenure]]&gt;2,3%,2%)*Staff[[#This Row],[Salary]]</f>
        <v>1211.4000000000001</v>
      </c>
      <c r="L63">
        <f>_xlfn.XLOOKUP(Staff[[#This Row],[Rating]],Work!$B$3:$B$7,Work!$C$3:$C$7)</f>
        <v>3</v>
      </c>
      <c r="M63" s="9"/>
    </row>
    <row r="64" spans="2:13" x14ac:dyDescent="0.25">
      <c r="B64" t="s">
        <v>61</v>
      </c>
      <c r="C64" t="s">
        <v>8</v>
      </c>
      <c r="D64" t="s">
        <v>12</v>
      </c>
      <c r="E64">
        <v>24</v>
      </c>
      <c r="F64" s="8">
        <v>44148</v>
      </c>
      <c r="G64" s="19">
        <v>62780</v>
      </c>
      <c r="H64" t="s">
        <v>16</v>
      </c>
      <c r="I64" t="s">
        <v>204</v>
      </c>
      <c r="J64" s="9">
        <f ca="1">(TODAY()-Staff[[#This Row],[Date Joined]])/365</f>
        <v>3.1616438356164385</v>
      </c>
      <c r="K64" s="19">
        <f ca="1">IF(Staff[[#This Row],[Tenure]]&gt;2,3%,2%)*Staff[[#This Row],[Salary]]</f>
        <v>1883.3999999999999</v>
      </c>
      <c r="L64">
        <f>_xlfn.XLOOKUP(Staff[[#This Row],[Rating]],Work!$B$3:$B$7,Work!$C$3:$C$7)</f>
        <v>3</v>
      </c>
      <c r="M64" s="9"/>
    </row>
    <row r="65" spans="2:13" x14ac:dyDescent="0.25">
      <c r="B65" t="s">
        <v>153</v>
      </c>
      <c r="C65" t="s">
        <v>8</v>
      </c>
      <c r="D65" t="s">
        <v>12</v>
      </c>
      <c r="E65">
        <v>24</v>
      </c>
      <c r="F65" s="8">
        <v>44087</v>
      </c>
      <c r="G65" s="19">
        <v>62780</v>
      </c>
      <c r="H65" t="s">
        <v>16</v>
      </c>
      <c r="I65" t="s">
        <v>206</v>
      </c>
      <c r="J65" s="9">
        <f ca="1">(TODAY()-Staff[[#This Row],[Date Joined]])/365</f>
        <v>3.3287671232876712</v>
      </c>
      <c r="K65" s="19">
        <f ca="1">IF(Staff[[#This Row],[Tenure]]&gt;2,3%,2%)*Staff[[#This Row],[Salary]]</f>
        <v>1883.3999999999999</v>
      </c>
      <c r="L65">
        <f>_xlfn.XLOOKUP(Staff[[#This Row],[Rating]],Work!$B$3:$B$7,Work!$C$3:$C$7)</f>
        <v>3</v>
      </c>
      <c r="M65" s="9"/>
    </row>
    <row r="66" spans="2:13" x14ac:dyDescent="0.25">
      <c r="B66" t="s">
        <v>116</v>
      </c>
      <c r="C66" t="s">
        <v>205</v>
      </c>
      <c r="D66" t="s">
        <v>21</v>
      </c>
      <c r="E66">
        <v>30</v>
      </c>
      <c r="F66" s="8">
        <v>44535</v>
      </c>
      <c r="G66" s="19">
        <v>64000</v>
      </c>
      <c r="H66" t="s">
        <v>16</v>
      </c>
      <c r="I66" t="s">
        <v>206</v>
      </c>
      <c r="J66" s="9">
        <f ca="1">(TODAY()-Staff[[#This Row],[Date Joined]])/365</f>
        <v>2.1013698630136988</v>
      </c>
      <c r="K66" s="19">
        <f ca="1">IF(Staff[[#This Row],[Tenure]]&gt;2,3%,2%)*Staff[[#This Row],[Salary]]</f>
        <v>1920</v>
      </c>
      <c r="L66">
        <f>_xlfn.XLOOKUP(Staff[[#This Row],[Rating]],Work!$B$3:$B$7,Work!$C$3:$C$7)</f>
        <v>3</v>
      </c>
      <c r="M66" s="9"/>
    </row>
    <row r="67" spans="2:13" x14ac:dyDescent="0.25">
      <c r="B67" t="s">
        <v>20</v>
      </c>
      <c r="C67" t="s">
        <v>205</v>
      </c>
      <c r="D67" t="s">
        <v>21</v>
      </c>
      <c r="E67">
        <v>30</v>
      </c>
      <c r="F67" s="8">
        <v>44597</v>
      </c>
      <c r="G67" s="19">
        <v>64000</v>
      </c>
      <c r="H67" t="s">
        <v>16</v>
      </c>
      <c r="I67" t="s">
        <v>204</v>
      </c>
      <c r="J67" s="9">
        <f ca="1">(TODAY()-Staff[[#This Row],[Date Joined]])/365</f>
        <v>1.9315068493150684</v>
      </c>
      <c r="K67" s="19">
        <f ca="1">IF(Staff[[#This Row],[Tenure]]&gt;2,3%,2%)*Staff[[#This Row],[Salary]]</f>
        <v>1280</v>
      </c>
      <c r="L67">
        <f>_xlfn.XLOOKUP(Staff[[#This Row],[Rating]],Work!$B$3:$B$7,Work!$C$3:$C$7)</f>
        <v>3</v>
      </c>
      <c r="M67" s="9"/>
    </row>
    <row r="68" spans="2:13" x14ac:dyDescent="0.25">
      <c r="B68" t="s">
        <v>93</v>
      </c>
      <c r="C68" t="s">
        <v>8</v>
      </c>
      <c r="D68" t="s">
        <v>21</v>
      </c>
      <c r="E68">
        <v>33</v>
      </c>
      <c r="F68" s="8">
        <v>44067</v>
      </c>
      <c r="G68" s="19">
        <v>65360</v>
      </c>
      <c r="H68" t="s">
        <v>16</v>
      </c>
      <c r="I68" t="s">
        <v>204</v>
      </c>
      <c r="J68" s="9">
        <f ca="1">(TODAY()-Staff[[#This Row],[Date Joined]])/365</f>
        <v>3.3835616438356166</v>
      </c>
      <c r="K68" s="19">
        <f ca="1">IF(Staff[[#This Row],[Tenure]]&gt;2,3%,2%)*Staff[[#This Row],[Salary]]</f>
        <v>1960.8</v>
      </c>
      <c r="L68">
        <f>_xlfn.XLOOKUP(Staff[[#This Row],[Rating]],Work!$B$3:$B$7,Work!$C$3:$C$7)</f>
        <v>3</v>
      </c>
      <c r="M68" s="9"/>
    </row>
    <row r="69" spans="2:13" x14ac:dyDescent="0.25">
      <c r="B69" t="s">
        <v>186</v>
      </c>
      <c r="C69" t="s">
        <v>8</v>
      </c>
      <c r="D69" t="s">
        <v>21</v>
      </c>
      <c r="E69">
        <v>33</v>
      </c>
      <c r="F69" s="8">
        <v>44006</v>
      </c>
      <c r="G69" s="19">
        <v>65360</v>
      </c>
      <c r="H69" t="s">
        <v>16</v>
      </c>
      <c r="I69" t="s">
        <v>206</v>
      </c>
      <c r="J69" s="9">
        <f ca="1">(TODAY()-Staff[[#This Row],[Date Joined]])/365</f>
        <v>3.5506849315068494</v>
      </c>
      <c r="K69" s="19">
        <f ca="1">IF(Staff[[#This Row],[Tenure]]&gt;2,3%,2%)*Staff[[#This Row],[Salary]]</f>
        <v>1960.8</v>
      </c>
      <c r="L69">
        <f>_xlfn.XLOOKUP(Staff[[#This Row],[Rating]],Work!$B$3:$B$7,Work!$C$3:$C$7)</f>
        <v>3</v>
      </c>
      <c r="M69" s="9"/>
    </row>
    <row r="70" spans="2:13" x14ac:dyDescent="0.25">
      <c r="B70" t="s">
        <v>76</v>
      </c>
      <c r="C70" t="s">
        <v>15</v>
      </c>
      <c r="D70" t="s">
        <v>19</v>
      </c>
      <c r="E70">
        <v>25</v>
      </c>
      <c r="F70" s="8">
        <v>44383</v>
      </c>
      <c r="G70" s="19">
        <v>65700</v>
      </c>
      <c r="H70" t="s">
        <v>16</v>
      </c>
      <c r="I70" t="s">
        <v>204</v>
      </c>
      <c r="J70" s="9">
        <f ca="1">(TODAY()-Staff[[#This Row],[Date Joined]])/365</f>
        <v>2.5178082191780824</v>
      </c>
      <c r="K70" s="19">
        <f ca="1">IF(Staff[[#This Row],[Tenure]]&gt;2,3%,2%)*Staff[[#This Row],[Salary]]</f>
        <v>1971</v>
      </c>
      <c r="L70">
        <f>_xlfn.XLOOKUP(Staff[[#This Row],[Rating]],Work!$B$3:$B$7,Work!$C$3:$C$7)</f>
        <v>3</v>
      </c>
      <c r="M70" s="9"/>
    </row>
    <row r="71" spans="2:13" x14ac:dyDescent="0.25">
      <c r="B71" t="s">
        <v>168</v>
      </c>
      <c r="C71" t="s">
        <v>15</v>
      </c>
      <c r="D71" t="s">
        <v>19</v>
      </c>
      <c r="E71">
        <v>25</v>
      </c>
      <c r="F71" s="8">
        <v>44322</v>
      </c>
      <c r="G71" s="19">
        <v>65700</v>
      </c>
      <c r="H71" t="s">
        <v>16</v>
      </c>
      <c r="I71" t="s">
        <v>206</v>
      </c>
      <c r="J71" s="9">
        <f ca="1">(TODAY()-Staff[[#This Row],[Date Joined]])/365</f>
        <v>2.6849315068493151</v>
      </c>
      <c r="K71" s="19">
        <f ca="1">IF(Staff[[#This Row],[Tenure]]&gt;2,3%,2%)*Staff[[#This Row],[Salary]]</f>
        <v>1971</v>
      </c>
      <c r="L71">
        <f>_xlfn.XLOOKUP(Staff[[#This Row],[Rating]],Work!$B$3:$B$7,Work!$C$3:$C$7)</f>
        <v>3</v>
      </c>
      <c r="M71" s="9"/>
    </row>
    <row r="72" spans="2:13" x14ac:dyDescent="0.25">
      <c r="B72" t="s">
        <v>32</v>
      </c>
      <c r="C72" t="s">
        <v>8</v>
      </c>
      <c r="D72" t="s">
        <v>21</v>
      </c>
      <c r="E72">
        <v>21</v>
      </c>
      <c r="F72" s="8">
        <v>44317</v>
      </c>
      <c r="G72" s="19">
        <v>65920</v>
      </c>
      <c r="H72" t="s">
        <v>16</v>
      </c>
      <c r="I72" t="s">
        <v>204</v>
      </c>
      <c r="J72" s="9">
        <f ca="1">(TODAY()-Staff[[#This Row],[Date Joined]])/365</f>
        <v>2.6986301369863015</v>
      </c>
      <c r="K72" s="19">
        <f ca="1">IF(Staff[[#This Row],[Tenure]]&gt;2,3%,2%)*Staff[[#This Row],[Salary]]</f>
        <v>1977.6</v>
      </c>
      <c r="L72">
        <f>_xlfn.XLOOKUP(Staff[[#This Row],[Rating]],Work!$B$3:$B$7,Work!$C$3:$C$7)</f>
        <v>3</v>
      </c>
      <c r="M72" s="9"/>
    </row>
    <row r="73" spans="2:13" x14ac:dyDescent="0.25">
      <c r="B73" t="s">
        <v>126</v>
      </c>
      <c r="C73" t="s">
        <v>8</v>
      </c>
      <c r="D73" t="s">
        <v>21</v>
      </c>
      <c r="E73">
        <v>21</v>
      </c>
      <c r="F73" s="8">
        <v>44256</v>
      </c>
      <c r="G73" s="19">
        <v>65920</v>
      </c>
      <c r="H73" t="s">
        <v>16</v>
      </c>
      <c r="I73" t="s">
        <v>206</v>
      </c>
      <c r="J73" s="9">
        <f ca="1">(TODAY()-Staff[[#This Row],[Date Joined]])/365</f>
        <v>2.8657534246575342</v>
      </c>
      <c r="K73" s="19">
        <f ca="1">IF(Staff[[#This Row],[Tenure]]&gt;2,3%,2%)*Staff[[#This Row],[Salary]]</f>
        <v>1977.6</v>
      </c>
      <c r="L73">
        <f>_xlfn.XLOOKUP(Staff[[#This Row],[Rating]],Work!$B$3:$B$7,Work!$C$3:$C$7)</f>
        <v>3</v>
      </c>
      <c r="M73" s="9"/>
    </row>
    <row r="74" spans="2:13" x14ac:dyDescent="0.25">
      <c r="B74" t="s">
        <v>27</v>
      </c>
      <c r="C74" t="s">
        <v>8</v>
      </c>
      <c r="D74" t="s">
        <v>21</v>
      </c>
      <c r="E74">
        <v>30</v>
      </c>
      <c r="F74" s="8">
        <v>44389</v>
      </c>
      <c r="G74" s="19">
        <v>67910</v>
      </c>
      <c r="H74" t="s">
        <v>24</v>
      </c>
      <c r="I74" t="s">
        <v>204</v>
      </c>
      <c r="J74" s="9">
        <f ca="1">(TODAY()-Staff[[#This Row],[Date Joined]])/365</f>
        <v>2.5013698630136987</v>
      </c>
      <c r="K74" s="19">
        <f ca="1">IF(Staff[[#This Row],[Tenure]]&gt;2,3%,2%)*Staff[[#This Row],[Salary]]</f>
        <v>2037.3</v>
      </c>
      <c r="L74">
        <f>_xlfn.XLOOKUP(Staff[[#This Row],[Rating]],Work!$B$3:$B$7,Work!$C$3:$C$7)</f>
        <v>2</v>
      </c>
      <c r="M74" s="9"/>
    </row>
    <row r="75" spans="2:13" x14ac:dyDescent="0.25">
      <c r="B75" t="s">
        <v>121</v>
      </c>
      <c r="C75" t="s">
        <v>8</v>
      </c>
      <c r="D75" t="s">
        <v>21</v>
      </c>
      <c r="E75">
        <v>30</v>
      </c>
      <c r="F75" s="8">
        <v>44328</v>
      </c>
      <c r="G75" s="19">
        <v>67910</v>
      </c>
      <c r="H75" t="s">
        <v>24</v>
      </c>
      <c r="I75" t="s">
        <v>206</v>
      </c>
      <c r="J75" s="9">
        <f ca="1">(TODAY()-Staff[[#This Row],[Date Joined]])/365</f>
        <v>2.6684931506849314</v>
      </c>
      <c r="K75" s="19">
        <f ca="1">IF(Staff[[#This Row],[Tenure]]&gt;2,3%,2%)*Staff[[#This Row],[Salary]]</f>
        <v>2037.3</v>
      </c>
      <c r="L75">
        <f>_xlfn.XLOOKUP(Staff[[#This Row],[Rating]],Work!$B$3:$B$7,Work!$C$3:$C$7)</f>
        <v>2</v>
      </c>
      <c r="M75" s="9"/>
    </row>
    <row r="76" spans="2:13" x14ac:dyDescent="0.25">
      <c r="B76" t="s">
        <v>45</v>
      </c>
      <c r="C76" t="s">
        <v>15</v>
      </c>
      <c r="D76" t="s">
        <v>9</v>
      </c>
      <c r="E76">
        <v>30</v>
      </c>
      <c r="F76" s="8">
        <v>44701</v>
      </c>
      <c r="G76" s="19">
        <v>67950</v>
      </c>
      <c r="H76" t="s">
        <v>16</v>
      </c>
      <c r="I76" t="s">
        <v>204</v>
      </c>
      <c r="J76" s="9">
        <f ca="1">(TODAY()-Staff[[#This Row],[Date Joined]])/365</f>
        <v>1.6465753424657534</v>
      </c>
      <c r="K76" s="19">
        <f ca="1">IF(Staff[[#This Row],[Tenure]]&gt;2,3%,2%)*Staff[[#This Row],[Salary]]</f>
        <v>1359</v>
      </c>
      <c r="L76">
        <f>_xlfn.XLOOKUP(Staff[[#This Row],[Rating]],Work!$B$3:$B$7,Work!$C$3:$C$7)</f>
        <v>3</v>
      </c>
      <c r="M76" s="9"/>
    </row>
    <row r="77" spans="2:13" x14ac:dyDescent="0.25">
      <c r="B77" t="s">
        <v>138</v>
      </c>
      <c r="C77" t="s">
        <v>15</v>
      </c>
      <c r="D77" t="s">
        <v>9</v>
      </c>
      <c r="E77">
        <v>30</v>
      </c>
      <c r="F77" s="8">
        <v>44640</v>
      </c>
      <c r="G77" s="19">
        <v>67950</v>
      </c>
      <c r="H77" t="s">
        <v>16</v>
      </c>
      <c r="I77" t="s">
        <v>206</v>
      </c>
      <c r="J77" s="9">
        <f ca="1">(TODAY()-Staff[[#This Row],[Date Joined]])/365</f>
        <v>1.8136986301369864</v>
      </c>
      <c r="K77" s="19">
        <f ca="1">IF(Staff[[#This Row],[Tenure]]&gt;2,3%,2%)*Staff[[#This Row],[Salary]]</f>
        <v>1359</v>
      </c>
      <c r="L77">
        <f>_xlfn.XLOOKUP(Staff[[#This Row],[Rating]],Work!$B$3:$B$7,Work!$C$3:$C$7)</f>
        <v>3</v>
      </c>
      <c r="M77" s="9"/>
    </row>
    <row r="78" spans="2:13" x14ac:dyDescent="0.25">
      <c r="B78" t="s">
        <v>91</v>
      </c>
      <c r="C78" t="s">
        <v>8</v>
      </c>
      <c r="D78" t="s">
        <v>19</v>
      </c>
      <c r="E78">
        <v>20</v>
      </c>
      <c r="F78" s="8">
        <v>44537</v>
      </c>
      <c r="G78" s="19">
        <v>68900</v>
      </c>
      <c r="H78" t="s">
        <v>24</v>
      </c>
      <c r="I78" t="s">
        <v>204</v>
      </c>
      <c r="J78" s="9">
        <f ca="1">(TODAY()-Staff[[#This Row],[Date Joined]])/365</f>
        <v>2.095890410958904</v>
      </c>
      <c r="K78" s="19">
        <f ca="1">IF(Staff[[#This Row],[Tenure]]&gt;2,3%,2%)*Staff[[#This Row],[Salary]]</f>
        <v>2067</v>
      </c>
      <c r="L78">
        <f>_xlfn.XLOOKUP(Staff[[#This Row],[Rating]],Work!$B$3:$B$7,Work!$C$3:$C$7)</f>
        <v>2</v>
      </c>
      <c r="M78" s="9"/>
    </row>
    <row r="79" spans="2:13" x14ac:dyDescent="0.25">
      <c r="B79" t="s">
        <v>184</v>
      </c>
      <c r="C79" t="s">
        <v>8</v>
      </c>
      <c r="D79" t="s">
        <v>19</v>
      </c>
      <c r="E79">
        <v>20</v>
      </c>
      <c r="F79" s="8">
        <v>44476</v>
      </c>
      <c r="G79" s="19">
        <v>68900</v>
      </c>
      <c r="H79" t="s">
        <v>24</v>
      </c>
      <c r="I79" t="s">
        <v>206</v>
      </c>
      <c r="J79" s="9">
        <f ca="1">(TODAY()-Staff[[#This Row],[Date Joined]])/365</f>
        <v>2.2630136986301368</v>
      </c>
      <c r="K79" s="19">
        <f ca="1">IF(Staff[[#This Row],[Tenure]]&gt;2,3%,2%)*Staff[[#This Row],[Salary]]</f>
        <v>2067</v>
      </c>
      <c r="L79">
        <f>_xlfn.XLOOKUP(Staff[[#This Row],[Rating]],Work!$B$3:$B$7,Work!$C$3:$C$7)</f>
        <v>2</v>
      </c>
      <c r="M79" s="9"/>
    </row>
    <row r="80" spans="2:13" x14ac:dyDescent="0.25">
      <c r="B80" t="s">
        <v>97</v>
      </c>
      <c r="C80" t="s">
        <v>15</v>
      </c>
      <c r="D80" t="s">
        <v>12</v>
      </c>
      <c r="E80">
        <v>37</v>
      </c>
      <c r="F80" s="8">
        <v>44701</v>
      </c>
      <c r="G80" s="19">
        <v>69070</v>
      </c>
      <c r="H80" t="s">
        <v>16</v>
      </c>
      <c r="I80" t="s">
        <v>204</v>
      </c>
      <c r="J80" s="9">
        <f ca="1">(TODAY()-Staff[[#This Row],[Date Joined]])/365</f>
        <v>1.6465753424657534</v>
      </c>
      <c r="K80" s="19">
        <f ca="1">IF(Staff[[#This Row],[Tenure]]&gt;2,3%,2%)*Staff[[#This Row],[Salary]]</f>
        <v>1381.4</v>
      </c>
      <c r="L80">
        <f>_xlfn.XLOOKUP(Staff[[#This Row],[Rating]],Work!$B$3:$B$7,Work!$C$3:$C$7)</f>
        <v>3</v>
      </c>
      <c r="M80" s="9"/>
    </row>
    <row r="81" spans="2:13" x14ac:dyDescent="0.25">
      <c r="B81" t="s">
        <v>190</v>
      </c>
      <c r="C81" t="s">
        <v>15</v>
      </c>
      <c r="D81" t="s">
        <v>12</v>
      </c>
      <c r="E81">
        <v>37</v>
      </c>
      <c r="F81" s="8">
        <v>44640</v>
      </c>
      <c r="G81" s="19">
        <v>69070</v>
      </c>
      <c r="H81" t="s">
        <v>16</v>
      </c>
      <c r="I81" t="s">
        <v>206</v>
      </c>
      <c r="J81" s="9">
        <f ca="1">(TODAY()-Staff[[#This Row],[Date Joined]])/365</f>
        <v>1.8136986301369864</v>
      </c>
      <c r="K81" s="19">
        <f ca="1">IF(Staff[[#This Row],[Tenure]]&gt;2,3%,2%)*Staff[[#This Row],[Salary]]</f>
        <v>1381.4</v>
      </c>
      <c r="L81">
        <f>_xlfn.XLOOKUP(Staff[[#This Row],[Rating]],Work!$B$3:$B$7,Work!$C$3:$C$7)</f>
        <v>3</v>
      </c>
      <c r="M81" s="9"/>
    </row>
    <row r="82" spans="2:13" x14ac:dyDescent="0.25">
      <c r="B82" t="s">
        <v>25</v>
      </c>
      <c r="C82" t="s">
        <v>15</v>
      </c>
      <c r="D82" t="s">
        <v>12</v>
      </c>
      <c r="E82">
        <v>30</v>
      </c>
      <c r="F82" s="8">
        <v>44273</v>
      </c>
      <c r="G82" s="19">
        <v>69120</v>
      </c>
      <c r="H82" t="s">
        <v>16</v>
      </c>
      <c r="I82" t="s">
        <v>204</v>
      </c>
      <c r="J82" s="9">
        <f ca="1">(TODAY()-Staff[[#This Row],[Date Joined]])/365</f>
        <v>2.8191780821917809</v>
      </c>
      <c r="K82" s="19">
        <f ca="1">IF(Staff[[#This Row],[Tenure]]&gt;2,3%,2%)*Staff[[#This Row],[Salary]]</f>
        <v>2073.6</v>
      </c>
      <c r="L82">
        <f>_xlfn.XLOOKUP(Staff[[#This Row],[Rating]],Work!$B$3:$B$7,Work!$C$3:$C$7)</f>
        <v>3</v>
      </c>
      <c r="M82" s="9"/>
    </row>
    <row r="83" spans="2:13" x14ac:dyDescent="0.25">
      <c r="B83" t="s">
        <v>119</v>
      </c>
      <c r="C83" t="s">
        <v>15</v>
      </c>
      <c r="D83" t="s">
        <v>12</v>
      </c>
      <c r="E83">
        <v>30</v>
      </c>
      <c r="F83" s="8">
        <v>44214</v>
      </c>
      <c r="G83" s="19">
        <v>69120</v>
      </c>
      <c r="H83" t="s">
        <v>16</v>
      </c>
      <c r="I83" t="s">
        <v>206</v>
      </c>
      <c r="J83" s="9">
        <f ca="1">(TODAY()-Staff[[#This Row],[Date Joined]])/365</f>
        <v>2.9808219178082194</v>
      </c>
      <c r="K83" s="19">
        <f ca="1">IF(Staff[[#This Row],[Tenure]]&gt;2,3%,2%)*Staff[[#This Row],[Salary]]</f>
        <v>2073.6</v>
      </c>
      <c r="L83">
        <f>_xlfn.XLOOKUP(Staff[[#This Row],[Rating]],Work!$B$3:$B$7,Work!$C$3:$C$7)</f>
        <v>3</v>
      </c>
      <c r="M83" s="9"/>
    </row>
    <row r="84" spans="2:13" x14ac:dyDescent="0.25">
      <c r="B84" t="s">
        <v>67</v>
      </c>
      <c r="C84" t="s">
        <v>15</v>
      </c>
      <c r="D84" t="s">
        <v>12</v>
      </c>
      <c r="E84">
        <v>30</v>
      </c>
      <c r="F84" s="8">
        <v>44850</v>
      </c>
      <c r="G84" s="19">
        <v>69710</v>
      </c>
      <c r="H84" t="s">
        <v>16</v>
      </c>
      <c r="I84" t="s">
        <v>204</v>
      </c>
      <c r="J84" s="9">
        <f ca="1">(TODAY()-Staff[[#This Row],[Date Joined]])/365</f>
        <v>1.2383561643835617</v>
      </c>
      <c r="K84" s="19">
        <f ca="1">IF(Staff[[#This Row],[Tenure]]&gt;2,3%,2%)*Staff[[#This Row],[Salary]]</f>
        <v>1394.2</v>
      </c>
      <c r="L84">
        <f>_xlfn.XLOOKUP(Staff[[#This Row],[Rating]],Work!$B$3:$B$7,Work!$C$3:$C$7)</f>
        <v>3</v>
      </c>
      <c r="M84" s="9"/>
    </row>
    <row r="85" spans="2:13" x14ac:dyDescent="0.25">
      <c r="B85" t="s">
        <v>159</v>
      </c>
      <c r="C85" t="s">
        <v>15</v>
      </c>
      <c r="D85" t="s">
        <v>12</v>
      </c>
      <c r="E85">
        <v>30</v>
      </c>
      <c r="F85" s="8">
        <v>44789</v>
      </c>
      <c r="G85" s="19">
        <v>69710</v>
      </c>
      <c r="H85" t="s">
        <v>16</v>
      </c>
      <c r="I85" t="s">
        <v>206</v>
      </c>
      <c r="J85" s="9">
        <f ca="1">(TODAY()-Staff[[#This Row],[Date Joined]])/365</f>
        <v>1.4054794520547946</v>
      </c>
      <c r="K85" s="19">
        <f ca="1">IF(Staff[[#This Row],[Tenure]]&gt;2,3%,2%)*Staff[[#This Row],[Salary]]</f>
        <v>1394.2</v>
      </c>
      <c r="L85">
        <f>_xlfn.XLOOKUP(Staff[[#This Row],[Rating]],Work!$B$3:$B$7,Work!$C$3:$C$7)</f>
        <v>3</v>
      </c>
      <c r="M85" s="9"/>
    </row>
    <row r="86" spans="2:13" x14ac:dyDescent="0.25">
      <c r="B86" t="s">
        <v>90</v>
      </c>
      <c r="C86" t="s">
        <v>15</v>
      </c>
      <c r="D86" t="s">
        <v>21</v>
      </c>
      <c r="E86">
        <v>42</v>
      </c>
      <c r="F86" s="8">
        <v>44731</v>
      </c>
      <c r="G86" s="19">
        <v>70270</v>
      </c>
      <c r="H86" t="s">
        <v>24</v>
      </c>
      <c r="I86" t="s">
        <v>204</v>
      </c>
      <c r="J86" s="9">
        <f ca="1">(TODAY()-Staff[[#This Row],[Date Joined]])/365</f>
        <v>1.5643835616438355</v>
      </c>
      <c r="K86" s="19">
        <f ca="1">IF(Staff[[#This Row],[Tenure]]&gt;2,3%,2%)*Staff[[#This Row],[Salary]]</f>
        <v>1405.4</v>
      </c>
      <c r="L86">
        <f>_xlfn.XLOOKUP(Staff[[#This Row],[Rating]],Work!$B$3:$B$7,Work!$C$3:$C$7)</f>
        <v>2</v>
      </c>
      <c r="M86" s="9"/>
    </row>
    <row r="87" spans="2:13" x14ac:dyDescent="0.25">
      <c r="B87" t="s">
        <v>183</v>
      </c>
      <c r="C87" t="s">
        <v>15</v>
      </c>
      <c r="D87" t="s">
        <v>21</v>
      </c>
      <c r="E87">
        <v>42</v>
      </c>
      <c r="F87" s="8">
        <v>44670</v>
      </c>
      <c r="G87" s="19">
        <v>70270</v>
      </c>
      <c r="H87" t="s">
        <v>24</v>
      </c>
      <c r="I87" t="s">
        <v>206</v>
      </c>
      <c r="J87" s="9">
        <f ca="1">(TODAY()-Staff[[#This Row],[Date Joined]])/365</f>
        <v>1.7315068493150685</v>
      </c>
      <c r="K87" s="19">
        <f ca="1">IF(Staff[[#This Row],[Tenure]]&gt;2,3%,2%)*Staff[[#This Row],[Salary]]</f>
        <v>1405.4</v>
      </c>
      <c r="L87">
        <f>_xlfn.XLOOKUP(Staff[[#This Row],[Rating]],Work!$B$3:$B$7,Work!$C$3:$C$7)</f>
        <v>2</v>
      </c>
      <c r="M87" s="9"/>
    </row>
    <row r="88" spans="2:13" x14ac:dyDescent="0.25">
      <c r="B88" t="s">
        <v>70</v>
      </c>
      <c r="C88" t="s">
        <v>15</v>
      </c>
      <c r="D88" t="s">
        <v>9</v>
      </c>
      <c r="E88">
        <v>46</v>
      </c>
      <c r="F88" s="8">
        <v>44758</v>
      </c>
      <c r="G88" s="19">
        <v>70610</v>
      </c>
      <c r="H88" t="s">
        <v>16</v>
      </c>
      <c r="I88" t="s">
        <v>204</v>
      </c>
      <c r="J88" s="9">
        <f ca="1">(TODAY()-Staff[[#This Row],[Date Joined]])/365</f>
        <v>1.4904109589041097</v>
      </c>
      <c r="K88" s="19">
        <f ca="1">IF(Staff[[#This Row],[Tenure]]&gt;2,3%,2%)*Staff[[#This Row],[Salary]]</f>
        <v>1412.2</v>
      </c>
      <c r="L88">
        <f>_xlfn.XLOOKUP(Staff[[#This Row],[Rating]],Work!$B$3:$B$7,Work!$C$3:$C$7)</f>
        <v>3</v>
      </c>
      <c r="M88" s="9"/>
    </row>
    <row r="89" spans="2:13" x14ac:dyDescent="0.25">
      <c r="B89" t="s">
        <v>162</v>
      </c>
      <c r="C89" t="s">
        <v>15</v>
      </c>
      <c r="D89" t="s">
        <v>9</v>
      </c>
      <c r="E89">
        <v>46</v>
      </c>
      <c r="F89" s="8">
        <v>44697</v>
      </c>
      <c r="G89" s="19">
        <v>70610</v>
      </c>
      <c r="H89" t="s">
        <v>16</v>
      </c>
      <c r="I89" t="s">
        <v>206</v>
      </c>
      <c r="J89" s="9">
        <f ca="1">(TODAY()-Staff[[#This Row],[Date Joined]])/365</f>
        <v>1.6575342465753424</v>
      </c>
      <c r="K89" s="19">
        <f ca="1">IF(Staff[[#This Row],[Tenure]]&gt;2,3%,2%)*Staff[[#This Row],[Salary]]</f>
        <v>1412.2</v>
      </c>
      <c r="L89">
        <f>_xlfn.XLOOKUP(Staff[[#This Row],[Rating]],Work!$B$3:$B$7,Work!$C$3:$C$7)</f>
        <v>3</v>
      </c>
      <c r="M89" s="9"/>
    </row>
    <row r="90" spans="2:13" x14ac:dyDescent="0.25">
      <c r="B90" t="s">
        <v>94</v>
      </c>
      <c r="C90" t="s">
        <v>15</v>
      </c>
      <c r="D90" t="s">
        <v>21</v>
      </c>
      <c r="E90">
        <v>36</v>
      </c>
      <c r="F90" s="8">
        <v>44333</v>
      </c>
      <c r="G90" s="19">
        <v>71380</v>
      </c>
      <c r="H90" t="s">
        <v>16</v>
      </c>
      <c r="I90" t="s">
        <v>204</v>
      </c>
      <c r="J90" s="9">
        <f ca="1">(TODAY()-Staff[[#This Row],[Date Joined]])/365</f>
        <v>2.6547945205479451</v>
      </c>
      <c r="K90" s="19">
        <f ca="1">IF(Staff[[#This Row],[Tenure]]&gt;2,3%,2%)*Staff[[#This Row],[Salary]]</f>
        <v>2141.4</v>
      </c>
      <c r="L90">
        <f>_xlfn.XLOOKUP(Staff[[#This Row],[Rating]],Work!$B$3:$B$7,Work!$C$3:$C$7)</f>
        <v>3</v>
      </c>
      <c r="M90" s="9"/>
    </row>
    <row r="91" spans="2:13" x14ac:dyDescent="0.25">
      <c r="B91" t="s">
        <v>187</v>
      </c>
      <c r="C91" t="s">
        <v>15</v>
      </c>
      <c r="D91" t="s">
        <v>21</v>
      </c>
      <c r="E91">
        <v>36</v>
      </c>
      <c r="F91" s="8">
        <v>44272</v>
      </c>
      <c r="G91" s="19">
        <v>71380</v>
      </c>
      <c r="H91" t="s">
        <v>16</v>
      </c>
      <c r="I91" t="s">
        <v>206</v>
      </c>
      <c r="J91" s="9">
        <f ca="1">(TODAY()-Staff[[#This Row],[Date Joined]])/365</f>
        <v>2.8219178082191783</v>
      </c>
      <c r="K91" s="19">
        <f ca="1">IF(Staff[[#This Row],[Tenure]]&gt;2,3%,2%)*Staff[[#This Row],[Salary]]</f>
        <v>2141.4</v>
      </c>
      <c r="L91">
        <f>_xlfn.XLOOKUP(Staff[[#This Row],[Rating]],Work!$B$3:$B$7,Work!$C$3:$C$7)</f>
        <v>3</v>
      </c>
      <c r="M91" s="9"/>
    </row>
    <row r="92" spans="2:13" x14ac:dyDescent="0.25">
      <c r="B92" t="s">
        <v>18</v>
      </c>
      <c r="C92" t="s">
        <v>15</v>
      </c>
      <c r="D92" t="s">
        <v>19</v>
      </c>
      <c r="E92">
        <v>33</v>
      </c>
      <c r="F92" s="8">
        <v>44385</v>
      </c>
      <c r="G92" s="19">
        <v>74550</v>
      </c>
      <c r="H92" t="s">
        <v>16</v>
      </c>
      <c r="I92" t="s">
        <v>204</v>
      </c>
      <c r="J92" s="9">
        <f ca="1">(TODAY()-Staff[[#This Row],[Date Joined]])/365</f>
        <v>2.5123287671232877</v>
      </c>
      <c r="K92" s="19">
        <f ca="1">IF(Staff[[#This Row],[Tenure]]&gt;2,3%,2%)*Staff[[#This Row],[Salary]]</f>
        <v>2236.5</v>
      </c>
      <c r="L92">
        <f>_xlfn.XLOOKUP(Staff[[#This Row],[Rating]],Work!$B$3:$B$7,Work!$C$3:$C$7)</f>
        <v>3</v>
      </c>
      <c r="M92" s="9"/>
    </row>
    <row r="93" spans="2:13" x14ac:dyDescent="0.25">
      <c r="B93" t="s">
        <v>115</v>
      </c>
      <c r="C93" t="s">
        <v>15</v>
      </c>
      <c r="D93" t="s">
        <v>19</v>
      </c>
      <c r="E93">
        <v>33</v>
      </c>
      <c r="F93" s="8">
        <v>44324</v>
      </c>
      <c r="G93" s="19">
        <v>74550</v>
      </c>
      <c r="H93" t="s">
        <v>16</v>
      </c>
      <c r="I93" t="s">
        <v>206</v>
      </c>
      <c r="J93" s="9">
        <f ca="1">(TODAY()-Staff[[#This Row],[Date Joined]])/365</f>
        <v>2.6794520547945204</v>
      </c>
      <c r="K93" s="19">
        <f ca="1">IF(Staff[[#This Row],[Tenure]]&gt;2,3%,2%)*Staff[[#This Row],[Salary]]</f>
        <v>2236.5</v>
      </c>
      <c r="L93">
        <f>_xlfn.XLOOKUP(Staff[[#This Row],[Rating]],Work!$B$3:$B$7,Work!$C$3:$C$7)</f>
        <v>3</v>
      </c>
      <c r="M93" s="9"/>
    </row>
    <row r="94" spans="2:13" x14ac:dyDescent="0.25">
      <c r="B94" t="s">
        <v>7</v>
      </c>
      <c r="C94" t="s">
        <v>8</v>
      </c>
      <c r="D94" t="s">
        <v>9</v>
      </c>
      <c r="E94">
        <v>42</v>
      </c>
      <c r="F94" s="8">
        <v>44779</v>
      </c>
      <c r="G94" s="19">
        <v>75000</v>
      </c>
      <c r="H94" t="s">
        <v>10</v>
      </c>
      <c r="I94" t="s">
        <v>204</v>
      </c>
      <c r="J94" s="9">
        <f ca="1">(TODAY()-Staff[[#This Row],[Date Joined]])/365</f>
        <v>1.4328767123287671</v>
      </c>
      <c r="K94" s="19">
        <f ca="1">IF(Staff[[#This Row],[Tenure]]&gt;2,3%,2%)*Staff[[#This Row],[Salary]]</f>
        <v>1500</v>
      </c>
      <c r="L94">
        <f>_xlfn.XLOOKUP(Staff[[#This Row],[Rating]],Work!$B$3:$B$7,Work!$C$3:$C$7)</f>
        <v>5</v>
      </c>
      <c r="M94" s="9"/>
    </row>
    <row r="95" spans="2:13" x14ac:dyDescent="0.25">
      <c r="B95" t="s">
        <v>111</v>
      </c>
      <c r="C95" t="s">
        <v>8</v>
      </c>
      <c r="D95" t="s">
        <v>9</v>
      </c>
      <c r="E95">
        <v>42</v>
      </c>
      <c r="F95" s="8">
        <v>44718</v>
      </c>
      <c r="G95" s="19">
        <v>75000</v>
      </c>
      <c r="H95" t="s">
        <v>10</v>
      </c>
      <c r="I95" t="s">
        <v>206</v>
      </c>
      <c r="J95" s="9">
        <f ca="1">(TODAY()-Staff[[#This Row],[Date Joined]])/365</f>
        <v>1.6</v>
      </c>
      <c r="K95" s="19">
        <f ca="1">IF(Staff[[#This Row],[Tenure]]&gt;2,3%,2%)*Staff[[#This Row],[Salary]]</f>
        <v>1500</v>
      </c>
      <c r="L95">
        <f>_xlfn.XLOOKUP(Staff[[#This Row],[Rating]],Work!$B$3:$B$7,Work!$C$3:$C$7)</f>
        <v>5</v>
      </c>
      <c r="M95" s="9"/>
    </row>
    <row r="96" spans="2:13" x14ac:dyDescent="0.25">
      <c r="B96" t="s">
        <v>95</v>
      </c>
      <c r="C96" t="s">
        <v>8</v>
      </c>
      <c r="D96" t="s">
        <v>12</v>
      </c>
      <c r="E96">
        <v>33</v>
      </c>
      <c r="F96" s="8">
        <v>44312</v>
      </c>
      <c r="G96" s="19">
        <v>75280</v>
      </c>
      <c r="H96" t="s">
        <v>16</v>
      </c>
      <c r="I96" t="s">
        <v>204</v>
      </c>
      <c r="J96" s="9">
        <f ca="1">(TODAY()-Staff[[#This Row],[Date Joined]])/365</f>
        <v>2.7123287671232879</v>
      </c>
      <c r="K96" s="19">
        <f ca="1">IF(Staff[[#This Row],[Tenure]]&gt;2,3%,2%)*Staff[[#This Row],[Salary]]</f>
        <v>2258.4</v>
      </c>
      <c r="L96">
        <f>_xlfn.XLOOKUP(Staff[[#This Row],[Rating]],Work!$B$3:$B$7,Work!$C$3:$C$7)</f>
        <v>3</v>
      </c>
      <c r="M96" s="9"/>
    </row>
    <row r="97" spans="2:13" x14ac:dyDescent="0.25">
      <c r="B97" t="s">
        <v>188</v>
      </c>
      <c r="C97" t="s">
        <v>8</v>
      </c>
      <c r="D97" t="s">
        <v>12</v>
      </c>
      <c r="E97">
        <v>33</v>
      </c>
      <c r="F97" s="8">
        <v>44253</v>
      </c>
      <c r="G97" s="19">
        <v>75280</v>
      </c>
      <c r="H97" t="s">
        <v>16</v>
      </c>
      <c r="I97" t="s">
        <v>206</v>
      </c>
      <c r="J97" s="9">
        <f ca="1">(TODAY()-Staff[[#This Row],[Date Joined]])/365</f>
        <v>2.8739726027397259</v>
      </c>
      <c r="K97" s="19">
        <f ca="1">IF(Staff[[#This Row],[Tenure]]&gt;2,3%,2%)*Staff[[#This Row],[Salary]]</f>
        <v>2258.4</v>
      </c>
      <c r="L97">
        <f>_xlfn.XLOOKUP(Staff[[#This Row],[Rating]],Work!$B$3:$B$7,Work!$C$3:$C$7)</f>
        <v>3</v>
      </c>
      <c r="M97" s="9"/>
    </row>
    <row r="98" spans="2:13" x14ac:dyDescent="0.25">
      <c r="B98" t="s">
        <v>41</v>
      </c>
      <c r="C98" t="s">
        <v>8</v>
      </c>
      <c r="D98" t="s">
        <v>12</v>
      </c>
      <c r="E98">
        <v>33</v>
      </c>
      <c r="F98" s="8">
        <v>44374</v>
      </c>
      <c r="G98" s="19">
        <v>75480</v>
      </c>
      <c r="H98" t="s">
        <v>42</v>
      </c>
      <c r="I98" t="s">
        <v>204</v>
      </c>
      <c r="J98" s="9">
        <f ca="1">(TODAY()-Staff[[#This Row],[Date Joined]])/365</f>
        <v>2.5424657534246577</v>
      </c>
      <c r="K98" s="19">
        <f ca="1">IF(Staff[[#This Row],[Tenure]]&gt;2,3%,2%)*Staff[[#This Row],[Salary]]</f>
        <v>2264.4</v>
      </c>
      <c r="L98">
        <f>_xlfn.XLOOKUP(Staff[[#This Row],[Rating]],Work!$B$3:$B$7,Work!$C$3:$C$7)</f>
        <v>1</v>
      </c>
      <c r="M98" s="9"/>
    </row>
    <row r="99" spans="2:13" x14ac:dyDescent="0.25">
      <c r="B99" t="s">
        <v>135</v>
      </c>
      <c r="C99" t="s">
        <v>8</v>
      </c>
      <c r="D99" t="s">
        <v>12</v>
      </c>
      <c r="E99">
        <v>33</v>
      </c>
      <c r="F99" s="8">
        <v>44313</v>
      </c>
      <c r="G99" s="19">
        <v>75480</v>
      </c>
      <c r="H99" t="s">
        <v>42</v>
      </c>
      <c r="I99" t="s">
        <v>206</v>
      </c>
      <c r="J99" s="9">
        <f ca="1">(TODAY()-Staff[[#This Row],[Date Joined]])/365</f>
        <v>2.7095890410958905</v>
      </c>
      <c r="K99" s="19">
        <f ca="1">IF(Staff[[#This Row],[Tenure]]&gt;2,3%,2%)*Staff[[#This Row],[Salary]]</f>
        <v>2264.4</v>
      </c>
      <c r="L99">
        <f>_xlfn.XLOOKUP(Staff[[#This Row],[Rating]],Work!$B$3:$B$7,Work!$C$3:$C$7)</f>
        <v>1</v>
      </c>
      <c r="M99" s="9"/>
    </row>
    <row r="100" spans="2:13" x14ac:dyDescent="0.25">
      <c r="B100" t="s">
        <v>78</v>
      </c>
      <c r="C100" t="s">
        <v>15</v>
      </c>
      <c r="D100" t="s">
        <v>56</v>
      </c>
      <c r="E100">
        <v>21</v>
      </c>
      <c r="F100" s="8">
        <v>44242</v>
      </c>
      <c r="G100" s="19">
        <v>75880</v>
      </c>
      <c r="H100" t="s">
        <v>16</v>
      </c>
      <c r="I100" t="s">
        <v>204</v>
      </c>
      <c r="J100" s="9">
        <f ca="1">(TODAY()-Staff[[#This Row],[Date Joined]])/365</f>
        <v>2.904109589041096</v>
      </c>
      <c r="K100" s="19">
        <f ca="1">IF(Staff[[#This Row],[Tenure]]&gt;2,3%,2%)*Staff[[#This Row],[Salary]]</f>
        <v>2276.4</v>
      </c>
      <c r="L100">
        <f>_xlfn.XLOOKUP(Staff[[#This Row],[Rating]],Work!$B$3:$B$7,Work!$C$3:$C$7)</f>
        <v>3</v>
      </c>
      <c r="M100" s="9"/>
    </row>
    <row r="101" spans="2:13" x14ac:dyDescent="0.25">
      <c r="B101" t="s">
        <v>170</v>
      </c>
      <c r="C101" t="s">
        <v>15</v>
      </c>
      <c r="D101" t="s">
        <v>56</v>
      </c>
      <c r="E101">
        <v>21</v>
      </c>
      <c r="F101" s="8">
        <v>44180</v>
      </c>
      <c r="G101" s="19">
        <v>75880</v>
      </c>
      <c r="H101" t="s">
        <v>16</v>
      </c>
      <c r="I101" t="s">
        <v>206</v>
      </c>
      <c r="J101" s="9">
        <f ca="1">(TODAY()-Staff[[#This Row],[Date Joined]])/365</f>
        <v>3.0739726027397261</v>
      </c>
      <c r="K101" s="19">
        <f ca="1">IF(Staff[[#This Row],[Tenure]]&gt;2,3%,2%)*Staff[[#This Row],[Salary]]</f>
        <v>2276.4</v>
      </c>
      <c r="L101">
        <f>_xlfn.XLOOKUP(Staff[[#This Row],[Rating]],Work!$B$3:$B$7,Work!$C$3:$C$7)</f>
        <v>3</v>
      </c>
      <c r="M101" s="9"/>
    </row>
    <row r="102" spans="2:13" x14ac:dyDescent="0.25">
      <c r="B102" t="s">
        <v>35</v>
      </c>
      <c r="C102" t="s">
        <v>8</v>
      </c>
      <c r="D102" t="s">
        <v>21</v>
      </c>
      <c r="E102">
        <v>28</v>
      </c>
      <c r="F102" s="8">
        <v>44185</v>
      </c>
      <c r="G102" s="19">
        <v>75970</v>
      </c>
      <c r="H102" t="s">
        <v>16</v>
      </c>
      <c r="I102" t="s">
        <v>204</v>
      </c>
      <c r="J102" s="9">
        <f ca="1">(TODAY()-Staff[[#This Row],[Date Joined]])/365</f>
        <v>3.0602739726027397</v>
      </c>
      <c r="K102" s="19">
        <f ca="1">IF(Staff[[#This Row],[Tenure]]&gt;2,3%,2%)*Staff[[#This Row],[Salary]]</f>
        <v>2279.1</v>
      </c>
      <c r="L102">
        <f>_xlfn.XLOOKUP(Staff[[#This Row],[Rating]],Work!$B$3:$B$7,Work!$C$3:$C$7)</f>
        <v>3</v>
      </c>
      <c r="M102" s="9"/>
    </row>
    <row r="103" spans="2:13" x14ac:dyDescent="0.25">
      <c r="B103" t="s">
        <v>129</v>
      </c>
      <c r="C103" t="s">
        <v>8</v>
      </c>
      <c r="D103" t="s">
        <v>21</v>
      </c>
      <c r="E103">
        <v>28</v>
      </c>
      <c r="F103" s="8">
        <v>44124</v>
      </c>
      <c r="G103" s="19">
        <v>75970</v>
      </c>
      <c r="H103" t="s">
        <v>16</v>
      </c>
      <c r="I103" t="s">
        <v>206</v>
      </c>
      <c r="J103" s="9">
        <f ca="1">(TODAY()-Staff[[#This Row],[Date Joined]])/365</f>
        <v>3.2273972602739724</v>
      </c>
      <c r="K103" s="19">
        <f ca="1">IF(Staff[[#This Row],[Tenure]]&gt;2,3%,2%)*Staff[[#This Row],[Salary]]</f>
        <v>2279.1</v>
      </c>
      <c r="L103">
        <f>_xlfn.XLOOKUP(Staff[[#This Row],[Rating]],Work!$B$3:$B$7,Work!$C$3:$C$7)</f>
        <v>3</v>
      </c>
      <c r="M103" s="9"/>
    </row>
    <row r="104" spans="2:13" x14ac:dyDescent="0.25">
      <c r="B104" t="s">
        <v>62</v>
      </c>
      <c r="C104" t="s">
        <v>8</v>
      </c>
      <c r="D104" t="s">
        <v>9</v>
      </c>
      <c r="E104">
        <v>22</v>
      </c>
      <c r="F104" s="8">
        <v>44450</v>
      </c>
      <c r="G104" s="19">
        <v>76900</v>
      </c>
      <c r="H104" t="s">
        <v>13</v>
      </c>
      <c r="I104" t="s">
        <v>204</v>
      </c>
      <c r="J104" s="9">
        <f ca="1">(TODAY()-Staff[[#This Row],[Date Joined]])/365</f>
        <v>2.3342465753424659</v>
      </c>
      <c r="K104" s="19">
        <f ca="1">IF(Staff[[#This Row],[Tenure]]&gt;2,3%,2%)*Staff[[#This Row],[Salary]]</f>
        <v>2307</v>
      </c>
      <c r="L104">
        <f>_xlfn.XLOOKUP(Staff[[#This Row],[Rating]],Work!$B$3:$B$7,Work!$C$3:$C$7)</f>
        <v>4</v>
      </c>
      <c r="M104" s="9"/>
    </row>
    <row r="105" spans="2:13" x14ac:dyDescent="0.25">
      <c r="B105" t="s">
        <v>154</v>
      </c>
      <c r="C105" t="s">
        <v>8</v>
      </c>
      <c r="D105" t="s">
        <v>9</v>
      </c>
      <c r="E105">
        <v>22</v>
      </c>
      <c r="F105" s="8">
        <v>44388</v>
      </c>
      <c r="G105" s="19">
        <v>76900</v>
      </c>
      <c r="H105" t="s">
        <v>13</v>
      </c>
      <c r="I105" t="s">
        <v>206</v>
      </c>
      <c r="J105" s="9">
        <f ca="1">(TODAY()-Staff[[#This Row],[Date Joined]])/365</f>
        <v>2.504109589041096</v>
      </c>
      <c r="K105" s="19">
        <f ca="1">IF(Staff[[#This Row],[Tenure]]&gt;2,3%,2%)*Staff[[#This Row],[Salary]]</f>
        <v>2307</v>
      </c>
      <c r="L105">
        <f>_xlfn.XLOOKUP(Staff[[#This Row],[Rating]],Work!$B$3:$B$7,Work!$C$3:$C$7)</f>
        <v>4</v>
      </c>
      <c r="M105" s="9"/>
    </row>
    <row r="106" spans="2:13" x14ac:dyDescent="0.25">
      <c r="B106" t="s">
        <v>72</v>
      </c>
      <c r="C106" t="s">
        <v>8</v>
      </c>
      <c r="D106" t="s">
        <v>9</v>
      </c>
      <c r="E106">
        <v>36</v>
      </c>
      <c r="F106" s="8">
        <v>44529</v>
      </c>
      <c r="G106" s="19">
        <v>78390</v>
      </c>
      <c r="H106" t="s">
        <v>16</v>
      </c>
      <c r="I106" t="s">
        <v>204</v>
      </c>
      <c r="J106" s="9">
        <f ca="1">(TODAY()-Staff[[#This Row],[Date Joined]])/365</f>
        <v>2.117808219178082</v>
      </c>
      <c r="K106" s="19">
        <f ca="1">IF(Staff[[#This Row],[Tenure]]&gt;2,3%,2%)*Staff[[#This Row],[Salary]]</f>
        <v>2351.6999999999998</v>
      </c>
      <c r="L106">
        <f>_xlfn.XLOOKUP(Staff[[#This Row],[Rating]],Work!$B$3:$B$7,Work!$C$3:$C$7)</f>
        <v>3</v>
      </c>
      <c r="M106" s="9"/>
    </row>
    <row r="107" spans="2:13" x14ac:dyDescent="0.25">
      <c r="B107" t="s">
        <v>164</v>
      </c>
      <c r="C107" t="s">
        <v>8</v>
      </c>
      <c r="D107" t="s">
        <v>9</v>
      </c>
      <c r="E107">
        <v>36</v>
      </c>
      <c r="F107" s="8">
        <v>44468</v>
      </c>
      <c r="G107" s="19">
        <v>78390</v>
      </c>
      <c r="H107" t="s">
        <v>16</v>
      </c>
      <c r="I107" t="s">
        <v>206</v>
      </c>
      <c r="J107" s="9">
        <f ca="1">(TODAY()-Staff[[#This Row],[Date Joined]])/365</f>
        <v>2.2849315068493152</v>
      </c>
      <c r="K107" s="19">
        <f ca="1">IF(Staff[[#This Row],[Tenure]]&gt;2,3%,2%)*Staff[[#This Row],[Salary]]</f>
        <v>2351.6999999999998</v>
      </c>
      <c r="L107">
        <f>_xlfn.XLOOKUP(Staff[[#This Row],[Rating]],Work!$B$3:$B$7,Work!$C$3:$C$7)</f>
        <v>3</v>
      </c>
      <c r="M107" s="9"/>
    </row>
    <row r="108" spans="2:13" x14ac:dyDescent="0.25">
      <c r="B108" t="s">
        <v>48</v>
      </c>
      <c r="C108" t="s">
        <v>8</v>
      </c>
      <c r="D108" t="s">
        <v>19</v>
      </c>
      <c r="E108">
        <v>36</v>
      </c>
      <c r="F108" s="8">
        <v>44494</v>
      </c>
      <c r="G108" s="19">
        <v>78540</v>
      </c>
      <c r="H108" t="s">
        <v>16</v>
      </c>
      <c r="I108" t="s">
        <v>204</v>
      </c>
      <c r="J108" s="9">
        <f ca="1">(TODAY()-Staff[[#This Row],[Date Joined]])/365</f>
        <v>2.2136986301369861</v>
      </c>
      <c r="K108" s="19">
        <f ca="1">IF(Staff[[#This Row],[Tenure]]&gt;2,3%,2%)*Staff[[#This Row],[Salary]]</f>
        <v>2356.1999999999998</v>
      </c>
      <c r="L108">
        <f>_xlfn.XLOOKUP(Staff[[#This Row],[Rating]],Work!$B$3:$B$7,Work!$C$3:$C$7)</f>
        <v>3</v>
      </c>
      <c r="M108" s="9"/>
    </row>
    <row r="109" spans="2:13" x14ac:dyDescent="0.25">
      <c r="B109" t="s">
        <v>141</v>
      </c>
      <c r="C109" t="s">
        <v>8</v>
      </c>
      <c r="D109" t="s">
        <v>19</v>
      </c>
      <c r="E109">
        <v>36</v>
      </c>
      <c r="F109" s="8">
        <v>44433</v>
      </c>
      <c r="G109" s="19">
        <v>78540</v>
      </c>
      <c r="H109" t="s">
        <v>16</v>
      </c>
      <c r="I109" t="s">
        <v>206</v>
      </c>
      <c r="J109" s="9">
        <f ca="1">(TODAY()-Staff[[#This Row],[Date Joined]])/365</f>
        <v>2.3808219178082193</v>
      </c>
      <c r="K109" s="19">
        <f ca="1">IF(Staff[[#This Row],[Tenure]]&gt;2,3%,2%)*Staff[[#This Row],[Salary]]</f>
        <v>2356.1999999999998</v>
      </c>
      <c r="L109">
        <f>_xlfn.XLOOKUP(Staff[[#This Row],[Rating]],Work!$B$3:$B$7,Work!$C$3:$C$7)</f>
        <v>3</v>
      </c>
      <c r="M109" s="9"/>
    </row>
    <row r="110" spans="2:13" x14ac:dyDescent="0.25">
      <c r="B110" t="s">
        <v>104</v>
      </c>
      <c r="C110" t="s">
        <v>15</v>
      </c>
      <c r="D110" t="s">
        <v>9</v>
      </c>
      <c r="E110">
        <v>20</v>
      </c>
      <c r="F110" s="8">
        <v>44744</v>
      </c>
      <c r="G110" s="19">
        <v>79570</v>
      </c>
      <c r="H110" t="s">
        <v>16</v>
      </c>
      <c r="I110" t="s">
        <v>204</v>
      </c>
      <c r="J110" s="9">
        <f ca="1">(TODAY()-Staff[[#This Row],[Date Joined]])/365</f>
        <v>1.5287671232876712</v>
      </c>
      <c r="K110" s="19">
        <f ca="1">IF(Staff[[#This Row],[Tenure]]&gt;2,3%,2%)*Staff[[#This Row],[Salary]]</f>
        <v>1591.4</v>
      </c>
      <c r="L110">
        <f>_xlfn.XLOOKUP(Staff[[#This Row],[Rating]],Work!$B$3:$B$7,Work!$C$3:$C$7)</f>
        <v>3</v>
      </c>
      <c r="M110" s="9"/>
    </row>
    <row r="111" spans="2:13" x14ac:dyDescent="0.25">
      <c r="B111" t="s">
        <v>197</v>
      </c>
      <c r="C111" t="s">
        <v>15</v>
      </c>
      <c r="D111" t="s">
        <v>9</v>
      </c>
      <c r="E111">
        <v>20</v>
      </c>
      <c r="F111" s="8">
        <v>44683</v>
      </c>
      <c r="G111" s="19">
        <v>79570</v>
      </c>
      <c r="H111" t="s">
        <v>16</v>
      </c>
      <c r="I111" t="s">
        <v>206</v>
      </c>
      <c r="J111" s="9">
        <f ca="1">(TODAY()-Staff[[#This Row],[Date Joined]])/365</f>
        <v>1.6958904109589041</v>
      </c>
      <c r="K111" s="19">
        <f ca="1">IF(Staff[[#This Row],[Tenure]]&gt;2,3%,2%)*Staff[[#This Row],[Salary]]</f>
        <v>1591.4</v>
      </c>
      <c r="L111">
        <f>_xlfn.XLOOKUP(Staff[[#This Row],[Rating]],Work!$B$3:$B$7,Work!$C$3:$C$7)</f>
        <v>3</v>
      </c>
      <c r="M111" s="9"/>
    </row>
    <row r="112" spans="2:13" x14ac:dyDescent="0.25">
      <c r="B112" t="s">
        <v>39</v>
      </c>
      <c r="C112" t="s">
        <v>8</v>
      </c>
      <c r="D112" t="s">
        <v>12</v>
      </c>
      <c r="E112">
        <v>25</v>
      </c>
      <c r="F112" s="8">
        <v>44694</v>
      </c>
      <c r="G112" s="19">
        <v>80700</v>
      </c>
      <c r="H112" t="s">
        <v>13</v>
      </c>
      <c r="I112" t="s">
        <v>204</v>
      </c>
      <c r="J112" s="9">
        <f ca="1">(TODAY()-Staff[[#This Row],[Date Joined]])/365</f>
        <v>1.6657534246575343</v>
      </c>
      <c r="K112" s="19">
        <f ca="1">IF(Staff[[#This Row],[Tenure]]&gt;2,3%,2%)*Staff[[#This Row],[Salary]]</f>
        <v>1614</v>
      </c>
      <c r="L112">
        <f>_xlfn.XLOOKUP(Staff[[#This Row],[Rating]],Work!$B$3:$B$7,Work!$C$3:$C$7)</f>
        <v>4</v>
      </c>
      <c r="M112" s="9"/>
    </row>
    <row r="113" spans="2:13" x14ac:dyDescent="0.25">
      <c r="B113" t="s">
        <v>133</v>
      </c>
      <c r="C113" t="s">
        <v>8</v>
      </c>
      <c r="D113" t="s">
        <v>12</v>
      </c>
      <c r="E113">
        <v>25</v>
      </c>
      <c r="F113" s="8">
        <v>44633</v>
      </c>
      <c r="G113" s="19">
        <v>80700</v>
      </c>
      <c r="H113" t="s">
        <v>13</v>
      </c>
      <c r="I113" t="s">
        <v>206</v>
      </c>
      <c r="J113" s="9">
        <f ca="1">(TODAY()-Staff[[#This Row],[Date Joined]])/365</f>
        <v>1.832876712328767</v>
      </c>
      <c r="K113" s="19">
        <f ca="1">IF(Staff[[#This Row],[Tenure]]&gt;2,3%,2%)*Staff[[#This Row],[Salary]]</f>
        <v>1614</v>
      </c>
      <c r="L113">
        <f>_xlfn.XLOOKUP(Staff[[#This Row],[Rating]],Work!$B$3:$B$7,Work!$C$3:$C$7)</f>
        <v>4</v>
      </c>
      <c r="M113" s="9"/>
    </row>
    <row r="114" spans="2:13" x14ac:dyDescent="0.25">
      <c r="B114" t="s">
        <v>92</v>
      </c>
      <c r="C114" t="s">
        <v>8</v>
      </c>
      <c r="D114" t="s">
        <v>12</v>
      </c>
      <c r="E114">
        <v>27</v>
      </c>
      <c r="F114" s="8">
        <v>44686</v>
      </c>
      <c r="G114" s="19">
        <v>83750</v>
      </c>
      <c r="H114" t="s">
        <v>16</v>
      </c>
      <c r="I114" t="s">
        <v>204</v>
      </c>
      <c r="J114" s="9">
        <f ca="1">(TODAY()-Staff[[#This Row],[Date Joined]])/365</f>
        <v>1.6876712328767123</v>
      </c>
      <c r="K114" s="19">
        <f ca="1">IF(Staff[[#This Row],[Tenure]]&gt;2,3%,2%)*Staff[[#This Row],[Salary]]</f>
        <v>1675</v>
      </c>
      <c r="L114">
        <f>_xlfn.XLOOKUP(Staff[[#This Row],[Rating]],Work!$B$3:$B$7,Work!$C$3:$C$7)</f>
        <v>3</v>
      </c>
      <c r="M114" s="9"/>
    </row>
    <row r="115" spans="2:13" x14ac:dyDescent="0.25">
      <c r="B115" t="s">
        <v>185</v>
      </c>
      <c r="C115" t="s">
        <v>8</v>
      </c>
      <c r="D115" t="s">
        <v>12</v>
      </c>
      <c r="E115">
        <v>27</v>
      </c>
      <c r="F115" s="8">
        <v>44625</v>
      </c>
      <c r="G115" s="19">
        <v>83750</v>
      </c>
      <c r="H115" t="s">
        <v>16</v>
      </c>
      <c r="I115" t="s">
        <v>206</v>
      </c>
      <c r="J115" s="9">
        <f ca="1">(TODAY()-Staff[[#This Row],[Date Joined]])/365</f>
        <v>1.8547945205479452</v>
      </c>
      <c r="K115" s="19">
        <f ca="1">IF(Staff[[#This Row],[Tenure]]&gt;2,3%,2%)*Staff[[#This Row],[Salary]]</f>
        <v>1675</v>
      </c>
      <c r="L115">
        <f>_xlfn.XLOOKUP(Staff[[#This Row],[Rating]],Work!$B$3:$B$7,Work!$C$3:$C$7)</f>
        <v>3</v>
      </c>
      <c r="M115" s="9"/>
    </row>
    <row r="116" spans="2:13" x14ac:dyDescent="0.25">
      <c r="B116" t="s">
        <v>28</v>
      </c>
      <c r="C116" t="s">
        <v>8</v>
      </c>
      <c r="D116" t="s">
        <v>21</v>
      </c>
      <c r="E116">
        <v>34</v>
      </c>
      <c r="F116" s="8">
        <v>44459</v>
      </c>
      <c r="G116" s="19">
        <v>85000</v>
      </c>
      <c r="H116" t="s">
        <v>16</v>
      </c>
      <c r="I116" t="s">
        <v>204</v>
      </c>
      <c r="J116" s="9">
        <f ca="1">(TODAY()-Staff[[#This Row],[Date Joined]])/365</f>
        <v>2.3095890410958906</v>
      </c>
      <c r="K116" s="19">
        <f ca="1">IF(Staff[[#This Row],[Tenure]]&gt;2,3%,2%)*Staff[[#This Row],[Salary]]</f>
        <v>2550</v>
      </c>
      <c r="L116">
        <f>_xlfn.XLOOKUP(Staff[[#This Row],[Rating]],Work!$B$3:$B$7,Work!$C$3:$C$7)</f>
        <v>3</v>
      </c>
      <c r="M116" s="9"/>
    </row>
    <row r="117" spans="2:13" x14ac:dyDescent="0.25">
      <c r="B117" t="s">
        <v>122</v>
      </c>
      <c r="C117" t="s">
        <v>8</v>
      </c>
      <c r="D117" t="s">
        <v>21</v>
      </c>
      <c r="E117">
        <v>34</v>
      </c>
      <c r="F117" s="8">
        <v>44397</v>
      </c>
      <c r="G117" s="19">
        <v>85000</v>
      </c>
      <c r="H117" t="s">
        <v>16</v>
      </c>
      <c r="I117" t="s">
        <v>206</v>
      </c>
      <c r="J117" s="9">
        <f ca="1">(TODAY()-Staff[[#This Row],[Date Joined]])/365</f>
        <v>2.4794520547945207</v>
      </c>
      <c r="K117" s="19">
        <f ca="1">IF(Staff[[#This Row],[Tenure]]&gt;2,3%,2%)*Staff[[#This Row],[Salary]]</f>
        <v>2550</v>
      </c>
      <c r="L117">
        <f>_xlfn.XLOOKUP(Staff[[#This Row],[Rating]],Work!$B$3:$B$7,Work!$C$3:$C$7)</f>
        <v>3</v>
      </c>
      <c r="M117" s="9"/>
    </row>
    <row r="118" spans="2:13" x14ac:dyDescent="0.25">
      <c r="B118" t="s">
        <v>88</v>
      </c>
      <c r="C118" t="s">
        <v>8</v>
      </c>
      <c r="D118" t="s">
        <v>21</v>
      </c>
      <c r="E118">
        <v>33</v>
      </c>
      <c r="F118" s="8">
        <v>44809</v>
      </c>
      <c r="G118" s="19">
        <v>86570</v>
      </c>
      <c r="H118" t="s">
        <v>16</v>
      </c>
      <c r="I118" t="s">
        <v>204</v>
      </c>
      <c r="J118" s="9">
        <f ca="1">(TODAY()-Staff[[#This Row],[Date Joined]])/365</f>
        <v>1.3506849315068492</v>
      </c>
      <c r="K118" s="19">
        <f ca="1">IF(Staff[[#This Row],[Tenure]]&gt;2,3%,2%)*Staff[[#This Row],[Salary]]</f>
        <v>1731.4</v>
      </c>
      <c r="L118">
        <f>_xlfn.XLOOKUP(Staff[[#This Row],[Rating]],Work!$B$3:$B$7,Work!$C$3:$C$7)</f>
        <v>3</v>
      </c>
      <c r="M118" s="9"/>
    </row>
    <row r="119" spans="2:13" x14ac:dyDescent="0.25">
      <c r="B119" t="s">
        <v>181</v>
      </c>
      <c r="C119" t="s">
        <v>8</v>
      </c>
      <c r="D119" t="s">
        <v>21</v>
      </c>
      <c r="E119">
        <v>33</v>
      </c>
      <c r="F119" s="8">
        <v>44747</v>
      </c>
      <c r="G119" s="19">
        <v>86570</v>
      </c>
      <c r="H119" t="s">
        <v>16</v>
      </c>
      <c r="I119" t="s">
        <v>206</v>
      </c>
      <c r="J119" s="9">
        <f ca="1">(TODAY()-Staff[[#This Row],[Date Joined]])/365</f>
        <v>1.5205479452054795</v>
      </c>
      <c r="K119" s="19">
        <f ca="1">IF(Staff[[#This Row],[Tenure]]&gt;2,3%,2%)*Staff[[#This Row],[Salary]]</f>
        <v>1731.4</v>
      </c>
      <c r="L119">
        <f>_xlfn.XLOOKUP(Staff[[#This Row],[Rating]],Work!$B$3:$B$7,Work!$C$3:$C$7)</f>
        <v>3</v>
      </c>
      <c r="M119" s="9"/>
    </row>
    <row r="120" spans="2:13" x14ac:dyDescent="0.25">
      <c r="B120" t="s">
        <v>74</v>
      </c>
      <c r="C120" t="s">
        <v>8</v>
      </c>
      <c r="D120" t="s">
        <v>12</v>
      </c>
      <c r="E120">
        <v>40</v>
      </c>
      <c r="F120" s="8">
        <v>44337</v>
      </c>
      <c r="G120" s="19">
        <v>87620</v>
      </c>
      <c r="H120" t="s">
        <v>16</v>
      </c>
      <c r="I120" t="s">
        <v>204</v>
      </c>
      <c r="J120" s="9">
        <f ca="1">(TODAY()-Staff[[#This Row],[Date Joined]])/365</f>
        <v>2.6438356164383561</v>
      </c>
      <c r="K120" s="19">
        <f ca="1">IF(Staff[[#This Row],[Tenure]]&gt;2,3%,2%)*Staff[[#This Row],[Salary]]</f>
        <v>2628.6</v>
      </c>
      <c r="L120">
        <f>_xlfn.XLOOKUP(Staff[[#This Row],[Rating]],Work!$B$3:$B$7,Work!$C$3:$C$7)</f>
        <v>3</v>
      </c>
      <c r="M120" s="9"/>
    </row>
    <row r="121" spans="2:13" x14ac:dyDescent="0.25">
      <c r="B121" t="s">
        <v>166</v>
      </c>
      <c r="C121" t="s">
        <v>8</v>
      </c>
      <c r="D121" t="s">
        <v>12</v>
      </c>
      <c r="E121">
        <v>40</v>
      </c>
      <c r="F121" s="8">
        <v>44276</v>
      </c>
      <c r="G121" s="19">
        <v>87620</v>
      </c>
      <c r="H121" t="s">
        <v>16</v>
      </c>
      <c r="I121" t="s">
        <v>206</v>
      </c>
      <c r="J121" s="9">
        <f ca="1">(TODAY()-Staff[[#This Row],[Date Joined]])/365</f>
        <v>2.8109589041095893</v>
      </c>
      <c r="K121" s="19">
        <f ca="1">IF(Staff[[#This Row],[Tenure]]&gt;2,3%,2%)*Staff[[#This Row],[Salary]]</f>
        <v>2628.6</v>
      </c>
      <c r="L121">
        <f>_xlfn.XLOOKUP(Staff[[#This Row],[Rating]],Work!$B$3:$B$7,Work!$C$3:$C$7)</f>
        <v>3</v>
      </c>
      <c r="M121" s="9"/>
    </row>
    <row r="122" spans="2:13" x14ac:dyDescent="0.25">
      <c r="B122" t="s">
        <v>23</v>
      </c>
      <c r="C122" t="s">
        <v>15</v>
      </c>
      <c r="D122" t="s">
        <v>12</v>
      </c>
      <c r="E122">
        <v>37</v>
      </c>
      <c r="F122" s="8">
        <v>44338</v>
      </c>
      <c r="G122" s="19">
        <v>88050</v>
      </c>
      <c r="H122" t="s">
        <v>24</v>
      </c>
      <c r="I122" t="s">
        <v>204</v>
      </c>
      <c r="J122" s="9">
        <f ca="1">(TODAY()-Staff[[#This Row],[Date Joined]])/365</f>
        <v>2.6410958904109587</v>
      </c>
      <c r="K122" s="19">
        <f ca="1">IF(Staff[[#This Row],[Tenure]]&gt;2,3%,2%)*Staff[[#This Row],[Salary]]</f>
        <v>2641.5</v>
      </c>
      <c r="L122">
        <f>_xlfn.XLOOKUP(Staff[[#This Row],[Rating]],Work!$B$3:$B$7,Work!$C$3:$C$7)</f>
        <v>2</v>
      </c>
      <c r="M122" s="9"/>
    </row>
    <row r="123" spans="2:13" x14ac:dyDescent="0.25">
      <c r="B123" t="s">
        <v>118</v>
      </c>
      <c r="C123" t="s">
        <v>15</v>
      </c>
      <c r="D123" t="s">
        <v>12</v>
      </c>
      <c r="E123">
        <v>37</v>
      </c>
      <c r="F123" s="8">
        <v>44277</v>
      </c>
      <c r="G123" s="19">
        <v>88050</v>
      </c>
      <c r="H123" t="s">
        <v>24</v>
      </c>
      <c r="I123" t="s">
        <v>206</v>
      </c>
      <c r="J123" s="9">
        <f ca="1">(TODAY()-Staff[[#This Row],[Date Joined]])/365</f>
        <v>2.8082191780821919</v>
      </c>
      <c r="K123" s="19">
        <f ca="1">IF(Staff[[#This Row],[Tenure]]&gt;2,3%,2%)*Staff[[#This Row],[Salary]]</f>
        <v>2641.5</v>
      </c>
      <c r="L123">
        <f>_xlfn.XLOOKUP(Staff[[#This Row],[Rating]],Work!$B$3:$B$7,Work!$C$3:$C$7)</f>
        <v>2</v>
      </c>
      <c r="M123" s="9"/>
    </row>
    <row r="124" spans="2:13" x14ac:dyDescent="0.25">
      <c r="B124" t="s">
        <v>11</v>
      </c>
      <c r="C124" t="s">
        <v>205</v>
      </c>
      <c r="D124" t="s">
        <v>12</v>
      </c>
      <c r="E124">
        <v>26</v>
      </c>
      <c r="F124" s="8">
        <v>44271</v>
      </c>
      <c r="G124" s="19">
        <v>90700</v>
      </c>
      <c r="H124" t="s">
        <v>13</v>
      </c>
      <c r="I124" t="s">
        <v>204</v>
      </c>
      <c r="J124" s="9">
        <f ca="1">(TODAY()-Staff[[#This Row],[Date Joined]])/365</f>
        <v>2.8246575342465752</v>
      </c>
      <c r="K124" s="19">
        <f ca="1">IF(Staff[[#This Row],[Tenure]]&gt;2,3%,2%)*Staff[[#This Row],[Salary]]</f>
        <v>2721</v>
      </c>
      <c r="L124">
        <f>_xlfn.XLOOKUP(Staff[[#This Row],[Rating]],Work!$B$3:$B$7,Work!$C$3:$C$7)</f>
        <v>4</v>
      </c>
      <c r="M124" s="9"/>
    </row>
    <row r="125" spans="2:13" x14ac:dyDescent="0.25">
      <c r="B125" t="s">
        <v>112</v>
      </c>
      <c r="C125" t="s">
        <v>205</v>
      </c>
      <c r="D125" t="s">
        <v>12</v>
      </c>
      <c r="E125">
        <v>27</v>
      </c>
      <c r="F125" s="8">
        <v>44212</v>
      </c>
      <c r="G125" s="19">
        <v>90700</v>
      </c>
      <c r="H125" t="s">
        <v>13</v>
      </c>
      <c r="I125" t="s">
        <v>206</v>
      </c>
      <c r="J125" s="9">
        <f ca="1">(TODAY()-Staff[[#This Row],[Date Joined]])/365</f>
        <v>2.9863013698630136</v>
      </c>
      <c r="K125" s="19">
        <f ca="1">IF(Staff[[#This Row],[Tenure]]&gt;2,3%,2%)*Staff[[#This Row],[Salary]]</f>
        <v>2721</v>
      </c>
      <c r="L125">
        <f>_xlfn.XLOOKUP(Staff[[#This Row],[Rating]],Work!$B$3:$B$7,Work!$C$3:$C$7)</f>
        <v>4</v>
      </c>
      <c r="M125" s="9"/>
    </row>
    <row r="126" spans="2:13" x14ac:dyDescent="0.25">
      <c r="B126" t="s">
        <v>52</v>
      </c>
      <c r="C126" t="s">
        <v>205</v>
      </c>
      <c r="D126" t="s">
        <v>12</v>
      </c>
      <c r="E126">
        <v>32</v>
      </c>
      <c r="F126" s="8">
        <v>44774</v>
      </c>
      <c r="G126" s="19">
        <v>91310</v>
      </c>
      <c r="H126" t="s">
        <v>16</v>
      </c>
      <c r="I126" t="s">
        <v>204</v>
      </c>
      <c r="J126" s="9">
        <f ca="1">(TODAY()-Staff[[#This Row],[Date Joined]])/365</f>
        <v>1.4465753424657535</v>
      </c>
      <c r="K126" s="19">
        <f ca="1">IF(Staff[[#This Row],[Tenure]]&gt;2,3%,2%)*Staff[[#This Row],[Salary]]</f>
        <v>1826.2</v>
      </c>
      <c r="L126">
        <f>_xlfn.XLOOKUP(Staff[[#This Row],[Rating]],Work!$B$3:$B$7,Work!$C$3:$C$7)</f>
        <v>3</v>
      </c>
      <c r="M126" s="9"/>
    </row>
    <row r="127" spans="2:13" x14ac:dyDescent="0.25">
      <c r="B127" t="s">
        <v>145</v>
      </c>
      <c r="C127" t="s">
        <v>205</v>
      </c>
      <c r="D127" t="s">
        <v>12</v>
      </c>
      <c r="E127">
        <v>32</v>
      </c>
      <c r="F127" s="8">
        <v>44713</v>
      </c>
      <c r="G127" s="19">
        <v>91310</v>
      </c>
      <c r="H127" t="s">
        <v>16</v>
      </c>
      <c r="I127" t="s">
        <v>206</v>
      </c>
      <c r="J127" s="9">
        <f ca="1">(TODAY()-Staff[[#This Row],[Date Joined]])/365</f>
        <v>1.6136986301369862</v>
      </c>
      <c r="K127" s="19">
        <f ca="1">IF(Staff[[#This Row],[Tenure]]&gt;2,3%,2%)*Staff[[#This Row],[Salary]]</f>
        <v>1826.2</v>
      </c>
      <c r="L127">
        <f>_xlfn.XLOOKUP(Staff[[#This Row],[Rating]],Work!$B$3:$B$7,Work!$C$3:$C$7)</f>
        <v>3</v>
      </c>
      <c r="M127" s="9"/>
    </row>
    <row r="128" spans="2:13" x14ac:dyDescent="0.25">
      <c r="B128" t="s">
        <v>68</v>
      </c>
      <c r="C128" t="s">
        <v>15</v>
      </c>
      <c r="D128" t="s">
        <v>21</v>
      </c>
      <c r="E128">
        <v>27</v>
      </c>
      <c r="F128" s="8">
        <v>44236</v>
      </c>
      <c r="G128" s="19">
        <v>91650</v>
      </c>
      <c r="H128" t="s">
        <v>13</v>
      </c>
      <c r="I128" t="s">
        <v>204</v>
      </c>
      <c r="J128" s="9">
        <f ca="1">(TODAY()-Staff[[#This Row],[Date Joined]])/365</f>
        <v>2.9205479452054797</v>
      </c>
      <c r="K128" s="19">
        <f ca="1">IF(Staff[[#This Row],[Tenure]]&gt;2,3%,2%)*Staff[[#This Row],[Salary]]</f>
        <v>2749.5</v>
      </c>
      <c r="L128">
        <f>_xlfn.XLOOKUP(Staff[[#This Row],[Rating]],Work!$B$3:$B$7,Work!$C$3:$C$7)</f>
        <v>4</v>
      </c>
      <c r="M128" s="9"/>
    </row>
    <row r="129" spans="2:13" x14ac:dyDescent="0.25">
      <c r="B129" t="s">
        <v>160</v>
      </c>
      <c r="C129" t="s">
        <v>15</v>
      </c>
      <c r="D129" t="s">
        <v>21</v>
      </c>
      <c r="E129">
        <v>27</v>
      </c>
      <c r="F129" s="8">
        <v>44174</v>
      </c>
      <c r="G129" s="19">
        <v>91650</v>
      </c>
      <c r="H129" t="s">
        <v>13</v>
      </c>
      <c r="I129" t="s">
        <v>206</v>
      </c>
      <c r="J129" s="9">
        <f ca="1">(TODAY()-Staff[[#This Row],[Date Joined]])/365</f>
        <v>3.0904109589041098</v>
      </c>
      <c r="K129" s="19">
        <f ca="1">IF(Staff[[#This Row],[Tenure]]&gt;2,3%,2%)*Staff[[#This Row],[Salary]]</f>
        <v>2749.5</v>
      </c>
      <c r="L129">
        <f>_xlfn.XLOOKUP(Staff[[#This Row],[Rating]],Work!$B$3:$B$7,Work!$C$3:$C$7)</f>
        <v>4</v>
      </c>
      <c r="M129" s="9"/>
    </row>
    <row r="130" spans="2:13" x14ac:dyDescent="0.25">
      <c r="B130" t="s">
        <v>102</v>
      </c>
      <c r="C130" t="s">
        <v>8</v>
      </c>
      <c r="D130" t="s">
        <v>21</v>
      </c>
      <c r="E130">
        <v>34</v>
      </c>
      <c r="F130" s="8">
        <v>44445</v>
      </c>
      <c r="G130" s="19">
        <v>92450</v>
      </c>
      <c r="H130" t="s">
        <v>16</v>
      </c>
      <c r="I130" t="s">
        <v>204</v>
      </c>
      <c r="J130" s="9">
        <f ca="1">(TODAY()-Staff[[#This Row],[Date Joined]])/365</f>
        <v>2.3479452054794518</v>
      </c>
      <c r="K130" s="19">
        <f ca="1">IF(Staff[[#This Row],[Tenure]]&gt;2,3%,2%)*Staff[[#This Row],[Salary]]</f>
        <v>2773.5</v>
      </c>
      <c r="L130">
        <f>_xlfn.XLOOKUP(Staff[[#This Row],[Rating]],Work!$B$3:$B$7,Work!$C$3:$C$7)</f>
        <v>3</v>
      </c>
      <c r="M130" s="9"/>
    </row>
    <row r="131" spans="2:13" x14ac:dyDescent="0.25">
      <c r="B131" t="s">
        <v>195</v>
      </c>
      <c r="C131" t="s">
        <v>8</v>
      </c>
      <c r="D131" t="s">
        <v>21</v>
      </c>
      <c r="E131">
        <v>34</v>
      </c>
      <c r="F131" s="8">
        <v>44383</v>
      </c>
      <c r="G131" s="19">
        <v>92450</v>
      </c>
      <c r="H131" t="s">
        <v>16</v>
      </c>
      <c r="I131" t="s">
        <v>206</v>
      </c>
      <c r="J131" s="9">
        <f ca="1">(TODAY()-Staff[[#This Row],[Date Joined]])/365</f>
        <v>2.5178082191780824</v>
      </c>
      <c r="K131" s="19">
        <f ca="1">IF(Staff[[#This Row],[Tenure]]&gt;2,3%,2%)*Staff[[#This Row],[Salary]]</f>
        <v>2773.5</v>
      </c>
      <c r="L131">
        <f>_xlfn.XLOOKUP(Staff[[#This Row],[Rating]],Work!$B$3:$B$7,Work!$C$3:$C$7)</f>
        <v>3</v>
      </c>
      <c r="M131" s="9"/>
    </row>
    <row r="132" spans="2:13" x14ac:dyDescent="0.25">
      <c r="B132" t="s">
        <v>77</v>
      </c>
      <c r="C132" t="s">
        <v>8</v>
      </c>
      <c r="D132" t="s">
        <v>19</v>
      </c>
      <c r="E132">
        <v>25</v>
      </c>
      <c r="F132" s="8">
        <v>44205</v>
      </c>
      <c r="G132" s="19">
        <v>92700</v>
      </c>
      <c r="H132" t="s">
        <v>16</v>
      </c>
      <c r="I132" t="s">
        <v>204</v>
      </c>
      <c r="J132" s="9">
        <f ca="1">(TODAY()-Staff[[#This Row],[Date Joined]])/365</f>
        <v>3.0054794520547947</v>
      </c>
      <c r="K132" s="19">
        <f ca="1">IF(Staff[[#This Row],[Tenure]]&gt;2,3%,2%)*Staff[[#This Row],[Salary]]</f>
        <v>2781</v>
      </c>
      <c r="L132">
        <f>_xlfn.XLOOKUP(Staff[[#This Row],[Rating]],Work!$B$3:$B$7,Work!$C$3:$C$7)</f>
        <v>3</v>
      </c>
      <c r="M132" s="9"/>
    </row>
    <row r="133" spans="2:13" x14ac:dyDescent="0.25">
      <c r="B133" t="s">
        <v>169</v>
      </c>
      <c r="C133" t="s">
        <v>8</v>
      </c>
      <c r="D133" t="s">
        <v>19</v>
      </c>
      <c r="E133">
        <v>25</v>
      </c>
      <c r="F133" s="8">
        <v>44144</v>
      </c>
      <c r="G133" s="19">
        <v>92700</v>
      </c>
      <c r="H133" t="s">
        <v>16</v>
      </c>
      <c r="I133" t="s">
        <v>206</v>
      </c>
      <c r="J133" s="9">
        <f ca="1">(TODAY()-Staff[[#This Row],[Date Joined]])/365</f>
        <v>3.1726027397260275</v>
      </c>
      <c r="K133" s="19">
        <f ca="1">IF(Staff[[#This Row],[Tenure]]&gt;2,3%,2%)*Staff[[#This Row],[Salary]]</f>
        <v>2781</v>
      </c>
      <c r="L133">
        <f>_xlfn.XLOOKUP(Staff[[#This Row],[Rating]],Work!$B$3:$B$7,Work!$C$3:$C$7)</f>
        <v>3</v>
      </c>
      <c r="M133" s="9"/>
    </row>
    <row r="134" spans="2:13" x14ac:dyDescent="0.25">
      <c r="B134" t="s">
        <v>71</v>
      </c>
      <c r="C134" t="s">
        <v>8</v>
      </c>
      <c r="D134" t="s">
        <v>12</v>
      </c>
      <c r="E134">
        <v>33</v>
      </c>
      <c r="F134" s="8">
        <v>44190</v>
      </c>
      <c r="G134" s="19">
        <v>96140</v>
      </c>
      <c r="H134" t="s">
        <v>16</v>
      </c>
      <c r="I134" t="s">
        <v>204</v>
      </c>
      <c r="J134" s="9">
        <f ca="1">(TODAY()-Staff[[#This Row],[Date Joined]])/365</f>
        <v>3.0465753424657533</v>
      </c>
      <c r="K134" s="19">
        <f ca="1">IF(Staff[[#This Row],[Tenure]]&gt;2,3%,2%)*Staff[[#This Row],[Salary]]</f>
        <v>2884.2</v>
      </c>
      <c r="L134">
        <f>_xlfn.XLOOKUP(Staff[[#This Row],[Rating]],Work!$B$3:$B$7,Work!$C$3:$C$7)</f>
        <v>3</v>
      </c>
      <c r="M134" s="9"/>
    </row>
    <row r="135" spans="2:13" x14ac:dyDescent="0.25">
      <c r="B135" t="s">
        <v>163</v>
      </c>
      <c r="C135" t="s">
        <v>8</v>
      </c>
      <c r="D135" t="s">
        <v>12</v>
      </c>
      <c r="E135">
        <v>33</v>
      </c>
      <c r="F135" s="8">
        <v>44129</v>
      </c>
      <c r="G135" s="19">
        <v>96140</v>
      </c>
      <c r="H135" t="s">
        <v>16</v>
      </c>
      <c r="I135" t="s">
        <v>206</v>
      </c>
      <c r="J135" s="9">
        <f ca="1">(TODAY()-Staff[[#This Row],[Date Joined]])/365</f>
        <v>3.2136986301369861</v>
      </c>
      <c r="K135" s="19">
        <f ca="1">IF(Staff[[#This Row],[Tenure]]&gt;2,3%,2%)*Staff[[#This Row],[Salary]]</f>
        <v>2884.2</v>
      </c>
      <c r="L135">
        <f>_xlfn.XLOOKUP(Staff[[#This Row],[Rating]],Work!$B$3:$B$7,Work!$C$3:$C$7)</f>
        <v>3</v>
      </c>
      <c r="M135" s="9"/>
    </row>
    <row r="136" spans="2:13" x14ac:dyDescent="0.25">
      <c r="B136" t="s">
        <v>177</v>
      </c>
      <c r="C136" t="s">
        <v>15</v>
      </c>
      <c r="D136" t="s">
        <v>21</v>
      </c>
      <c r="E136">
        <v>30</v>
      </c>
      <c r="F136" s="8">
        <v>44544</v>
      </c>
      <c r="G136" s="19">
        <v>96800</v>
      </c>
      <c r="H136" t="s">
        <v>16</v>
      </c>
      <c r="I136" t="s">
        <v>206</v>
      </c>
      <c r="J136" s="9">
        <f ca="1">(TODAY()-Staff[[#This Row],[Date Joined]])/365</f>
        <v>2.0767123287671234</v>
      </c>
      <c r="K136" s="19">
        <f ca="1">IF(Staff[[#This Row],[Tenure]]&gt;2,3%,2%)*Staff[[#This Row],[Salary]]</f>
        <v>2904</v>
      </c>
      <c r="L136">
        <f>_xlfn.XLOOKUP(Staff[[#This Row],[Rating]],Work!$B$3:$B$7,Work!$C$3:$C$7)</f>
        <v>3</v>
      </c>
      <c r="M136" s="9"/>
    </row>
    <row r="137" spans="2:13" x14ac:dyDescent="0.25">
      <c r="B137" t="s">
        <v>85</v>
      </c>
      <c r="C137" t="s">
        <v>15</v>
      </c>
      <c r="D137" t="s">
        <v>21</v>
      </c>
      <c r="E137">
        <v>30</v>
      </c>
      <c r="F137" s="8">
        <v>44606</v>
      </c>
      <c r="G137" s="19">
        <v>96800</v>
      </c>
      <c r="H137" t="s">
        <v>16</v>
      </c>
      <c r="I137" t="s">
        <v>204</v>
      </c>
      <c r="J137" s="9">
        <f ca="1">(TODAY()-Staff[[#This Row],[Date Joined]])/365</f>
        <v>1.9068493150684931</v>
      </c>
      <c r="K137" s="19">
        <f ca="1">IF(Staff[[#This Row],[Tenure]]&gt;2,3%,2%)*Staff[[#This Row],[Salary]]</f>
        <v>1936</v>
      </c>
      <c r="L137">
        <f>_xlfn.XLOOKUP(Staff[[#This Row],[Rating]],Work!$B$3:$B$7,Work!$C$3:$C$7)</f>
        <v>3</v>
      </c>
      <c r="M137" s="9"/>
    </row>
    <row r="138" spans="2:13" x14ac:dyDescent="0.25">
      <c r="B138" t="s">
        <v>105</v>
      </c>
      <c r="C138" t="s">
        <v>15</v>
      </c>
      <c r="D138" t="s">
        <v>9</v>
      </c>
      <c r="E138">
        <v>40</v>
      </c>
      <c r="F138" s="8">
        <v>44263</v>
      </c>
      <c r="G138" s="19">
        <v>99750</v>
      </c>
      <c r="H138" t="s">
        <v>16</v>
      </c>
      <c r="I138" t="s">
        <v>204</v>
      </c>
      <c r="J138" s="9">
        <f ca="1">(TODAY()-Staff[[#This Row],[Date Joined]])/365</f>
        <v>2.8465753424657536</v>
      </c>
      <c r="K138" s="19">
        <f ca="1">IF(Staff[[#This Row],[Tenure]]&gt;2,3%,2%)*Staff[[#This Row],[Salary]]</f>
        <v>2992.5</v>
      </c>
      <c r="L138">
        <f>_xlfn.XLOOKUP(Staff[[#This Row],[Rating]],Work!$B$3:$B$7,Work!$C$3:$C$7)</f>
        <v>3</v>
      </c>
      <c r="M138" s="9"/>
    </row>
    <row r="139" spans="2:13" x14ac:dyDescent="0.25">
      <c r="B139" t="s">
        <v>198</v>
      </c>
      <c r="C139" t="s">
        <v>15</v>
      </c>
      <c r="D139" t="s">
        <v>9</v>
      </c>
      <c r="E139">
        <v>40</v>
      </c>
      <c r="F139" s="8">
        <v>44204</v>
      </c>
      <c r="G139" s="19">
        <v>99750</v>
      </c>
      <c r="H139" t="s">
        <v>16</v>
      </c>
      <c r="I139" t="s">
        <v>206</v>
      </c>
      <c r="J139" s="9">
        <f ca="1">(TODAY()-Staff[[#This Row],[Date Joined]])/365</f>
        <v>3.0082191780821916</v>
      </c>
      <c r="K139" s="19">
        <f ca="1">IF(Staff[[#This Row],[Tenure]]&gt;2,3%,2%)*Staff[[#This Row],[Salary]]</f>
        <v>2992.5</v>
      </c>
      <c r="L139">
        <f>_xlfn.XLOOKUP(Staff[[#This Row],[Rating]],Work!$B$3:$B$7,Work!$C$3:$C$7)</f>
        <v>3</v>
      </c>
      <c r="M139" s="9"/>
    </row>
    <row r="140" spans="2:13" x14ac:dyDescent="0.25">
      <c r="B140" t="s">
        <v>107</v>
      </c>
      <c r="C140" t="s">
        <v>8</v>
      </c>
      <c r="D140" t="s">
        <v>9</v>
      </c>
      <c r="E140">
        <v>28</v>
      </c>
      <c r="F140" s="8">
        <v>44630</v>
      </c>
      <c r="G140" s="19">
        <v>99970</v>
      </c>
      <c r="H140" t="s">
        <v>16</v>
      </c>
      <c r="I140" t="s">
        <v>204</v>
      </c>
      <c r="J140" s="9">
        <f ca="1">(TODAY()-Staff[[#This Row],[Date Joined]])/365</f>
        <v>1.8410958904109589</v>
      </c>
      <c r="K140" s="19">
        <f ca="1">IF(Staff[[#This Row],[Tenure]]&gt;2,3%,2%)*Staff[[#This Row],[Salary]]</f>
        <v>1999.4</v>
      </c>
      <c r="L140">
        <f>_xlfn.XLOOKUP(Staff[[#This Row],[Rating]],Work!$B$3:$B$7,Work!$C$3:$C$7)</f>
        <v>3</v>
      </c>
      <c r="M140" s="9"/>
    </row>
    <row r="141" spans="2:13" x14ac:dyDescent="0.25">
      <c r="B141" t="s">
        <v>200</v>
      </c>
      <c r="C141" t="s">
        <v>8</v>
      </c>
      <c r="D141" t="s">
        <v>9</v>
      </c>
      <c r="E141">
        <v>28</v>
      </c>
      <c r="F141" s="8">
        <v>44571</v>
      </c>
      <c r="G141" s="19">
        <v>99970</v>
      </c>
      <c r="H141" t="s">
        <v>16</v>
      </c>
      <c r="I141" t="s">
        <v>206</v>
      </c>
      <c r="J141" s="9">
        <f ca="1">(TODAY()-Staff[[#This Row],[Date Joined]])/365</f>
        <v>2.0027397260273974</v>
      </c>
      <c r="K141" s="19">
        <f ca="1">IF(Staff[[#This Row],[Tenure]]&gt;2,3%,2%)*Staff[[#This Row],[Salary]]</f>
        <v>2999.1</v>
      </c>
      <c r="L141">
        <f>_xlfn.XLOOKUP(Staff[[#This Row],[Rating]],Work!$B$3:$B$7,Work!$C$3:$C$7)</f>
        <v>3</v>
      </c>
      <c r="M141" s="9"/>
    </row>
    <row r="142" spans="2:13" x14ac:dyDescent="0.25">
      <c r="B142" t="s">
        <v>103</v>
      </c>
      <c r="C142" t="s">
        <v>15</v>
      </c>
      <c r="D142" t="s">
        <v>12</v>
      </c>
      <c r="E142">
        <v>24</v>
      </c>
      <c r="F142" s="8">
        <v>44686</v>
      </c>
      <c r="G142" s="19">
        <v>100420</v>
      </c>
      <c r="H142" t="s">
        <v>16</v>
      </c>
      <c r="I142" t="s">
        <v>204</v>
      </c>
      <c r="J142" s="9">
        <f ca="1">(TODAY()-Staff[[#This Row],[Date Joined]])/365</f>
        <v>1.6876712328767123</v>
      </c>
      <c r="K142" s="19">
        <f ca="1">IF(Staff[[#This Row],[Tenure]]&gt;2,3%,2%)*Staff[[#This Row],[Salary]]</f>
        <v>2008.4</v>
      </c>
      <c r="L142">
        <f>_xlfn.XLOOKUP(Staff[[#This Row],[Rating]],Work!$B$3:$B$7,Work!$C$3:$C$7)</f>
        <v>3</v>
      </c>
      <c r="M142" s="9"/>
    </row>
    <row r="143" spans="2:13" x14ac:dyDescent="0.25">
      <c r="B143" t="s">
        <v>196</v>
      </c>
      <c r="C143" t="s">
        <v>15</v>
      </c>
      <c r="D143" t="s">
        <v>12</v>
      </c>
      <c r="E143">
        <v>24</v>
      </c>
      <c r="F143" s="8">
        <v>44625</v>
      </c>
      <c r="G143" s="19">
        <v>100420</v>
      </c>
      <c r="H143" t="s">
        <v>16</v>
      </c>
      <c r="I143" t="s">
        <v>206</v>
      </c>
      <c r="J143" s="9">
        <f ca="1">(TODAY()-Staff[[#This Row],[Date Joined]])/365</f>
        <v>1.8547945205479452</v>
      </c>
      <c r="K143" s="19">
        <f ca="1">IF(Staff[[#This Row],[Tenure]]&gt;2,3%,2%)*Staff[[#This Row],[Salary]]</f>
        <v>2008.4</v>
      </c>
      <c r="L143">
        <f>_xlfn.XLOOKUP(Staff[[#This Row],[Rating]],Work!$B$3:$B$7,Work!$C$3:$C$7)</f>
        <v>3</v>
      </c>
      <c r="M143" s="9"/>
    </row>
    <row r="144" spans="2:13" x14ac:dyDescent="0.25">
      <c r="B144" t="s">
        <v>50</v>
      </c>
      <c r="C144" t="s">
        <v>15</v>
      </c>
      <c r="D144" t="s">
        <v>9</v>
      </c>
      <c r="E144">
        <v>31</v>
      </c>
      <c r="F144" s="8">
        <v>44724</v>
      </c>
      <c r="G144" s="19">
        <v>103550</v>
      </c>
      <c r="H144" t="s">
        <v>16</v>
      </c>
      <c r="I144" t="s">
        <v>204</v>
      </c>
      <c r="J144" s="9">
        <f ca="1">(TODAY()-Staff[[#This Row],[Date Joined]])/365</f>
        <v>1.5835616438356164</v>
      </c>
      <c r="K144" s="19">
        <f ca="1">IF(Staff[[#This Row],[Tenure]]&gt;2,3%,2%)*Staff[[#This Row],[Salary]]</f>
        <v>2071</v>
      </c>
      <c r="L144">
        <f>_xlfn.XLOOKUP(Staff[[#This Row],[Rating]],Work!$B$3:$B$7,Work!$C$3:$C$7)</f>
        <v>3</v>
      </c>
      <c r="M144" s="9"/>
    </row>
    <row r="145" spans="2:13" x14ac:dyDescent="0.25">
      <c r="B145" t="s">
        <v>143</v>
      </c>
      <c r="C145" t="s">
        <v>15</v>
      </c>
      <c r="D145" t="s">
        <v>9</v>
      </c>
      <c r="E145">
        <v>31</v>
      </c>
      <c r="F145" s="8">
        <v>44663</v>
      </c>
      <c r="G145" s="19">
        <v>103550</v>
      </c>
      <c r="H145" t="s">
        <v>16</v>
      </c>
      <c r="I145" t="s">
        <v>206</v>
      </c>
      <c r="J145" s="9">
        <f ca="1">(TODAY()-Staff[[#This Row],[Date Joined]])/365</f>
        <v>1.7506849315068493</v>
      </c>
      <c r="K145" s="19">
        <f ca="1">IF(Staff[[#This Row],[Tenure]]&gt;2,3%,2%)*Staff[[#This Row],[Salary]]</f>
        <v>2071</v>
      </c>
      <c r="L145">
        <f>_xlfn.XLOOKUP(Staff[[#This Row],[Rating]],Work!$B$3:$B$7,Work!$C$3:$C$7)</f>
        <v>3</v>
      </c>
      <c r="M145" s="9"/>
    </row>
    <row r="146" spans="2:13" x14ac:dyDescent="0.25">
      <c r="B146" t="s">
        <v>96</v>
      </c>
      <c r="C146" t="s">
        <v>8</v>
      </c>
      <c r="D146" t="s">
        <v>9</v>
      </c>
      <c r="E146">
        <v>28</v>
      </c>
      <c r="F146" s="8">
        <v>44649</v>
      </c>
      <c r="G146" s="19">
        <v>104120</v>
      </c>
      <c r="H146" t="s">
        <v>16</v>
      </c>
      <c r="I146" t="s">
        <v>204</v>
      </c>
      <c r="J146" s="9">
        <f ca="1">(TODAY()-Staff[[#This Row],[Date Joined]])/365</f>
        <v>1.789041095890411</v>
      </c>
      <c r="K146" s="19">
        <f ca="1">IF(Staff[[#This Row],[Tenure]]&gt;2,3%,2%)*Staff[[#This Row],[Salary]]</f>
        <v>2082.4</v>
      </c>
      <c r="L146">
        <f>_xlfn.XLOOKUP(Staff[[#This Row],[Rating]],Work!$B$3:$B$7,Work!$C$3:$C$7)</f>
        <v>3</v>
      </c>
      <c r="M146" s="9"/>
    </row>
    <row r="147" spans="2:13" x14ac:dyDescent="0.25">
      <c r="B147" t="s">
        <v>189</v>
      </c>
      <c r="C147" t="s">
        <v>8</v>
      </c>
      <c r="D147" t="s">
        <v>9</v>
      </c>
      <c r="E147">
        <v>28</v>
      </c>
      <c r="F147" s="8">
        <v>44590</v>
      </c>
      <c r="G147" s="19">
        <v>104120</v>
      </c>
      <c r="H147" t="s">
        <v>16</v>
      </c>
      <c r="I147" t="s">
        <v>206</v>
      </c>
      <c r="J147" s="9">
        <f ca="1">(TODAY()-Staff[[#This Row],[Date Joined]])/365</f>
        <v>1.9506849315068493</v>
      </c>
      <c r="K147" s="19">
        <f ca="1">IF(Staff[[#This Row],[Tenure]]&gt;2,3%,2%)*Staff[[#This Row],[Salary]]</f>
        <v>2082.4</v>
      </c>
      <c r="L147">
        <f>_xlfn.XLOOKUP(Staff[[#This Row],[Rating]],Work!$B$3:$B$7,Work!$C$3:$C$7)</f>
        <v>3</v>
      </c>
      <c r="M147" s="9"/>
    </row>
    <row r="148" spans="2:13" x14ac:dyDescent="0.25">
      <c r="B148" t="s">
        <v>101</v>
      </c>
      <c r="C148" t="s">
        <v>8</v>
      </c>
      <c r="D148" t="s">
        <v>12</v>
      </c>
      <c r="E148">
        <v>40</v>
      </c>
      <c r="F148" s="8">
        <v>44381</v>
      </c>
      <c r="G148" s="19">
        <v>104410</v>
      </c>
      <c r="H148" t="s">
        <v>16</v>
      </c>
      <c r="I148" t="s">
        <v>204</v>
      </c>
      <c r="J148" s="9">
        <f ca="1">(TODAY()-Staff[[#This Row],[Date Joined]])/365</f>
        <v>2.5232876712328767</v>
      </c>
      <c r="K148" s="19">
        <f ca="1">IF(Staff[[#This Row],[Tenure]]&gt;2,3%,2%)*Staff[[#This Row],[Salary]]</f>
        <v>3132.2999999999997</v>
      </c>
      <c r="L148">
        <f>_xlfn.XLOOKUP(Staff[[#This Row],[Rating]],Work!$B$3:$B$7,Work!$C$3:$C$7)</f>
        <v>3</v>
      </c>
      <c r="M148" s="9"/>
    </row>
    <row r="149" spans="2:13" x14ac:dyDescent="0.25">
      <c r="B149" t="s">
        <v>194</v>
      </c>
      <c r="C149" t="s">
        <v>8</v>
      </c>
      <c r="D149" t="s">
        <v>12</v>
      </c>
      <c r="E149">
        <v>40</v>
      </c>
      <c r="F149" s="8">
        <v>44320</v>
      </c>
      <c r="G149" s="19">
        <v>104410</v>
      </c>
      <c r="H149" t="s">
        <v>16</v>
      </c>
      <c r="I149" t="s">
        <v>206</v>
      </c>
      <c r="J149" s="9">
        <f ca="1">(TODAY()-Staff[[#This Row],[Date Joined]])/365</f>
        <v>2.6904109589041094</v>
      </c>
      <c r="K149" s="19">
        <f ca="1">IF(Staff[[#This Row],[Tenure]]&gt;2,3%,2%)*Staff[[#This Row],[Salary]]</f>
        <v>3132.2999999999997</v>
      </c>
      <c r="L149">
        <f>_xlfn.XLOOKUP(Staff[[#This Row],[Rating]],Work!$B$3:$B$7,Work!$C$3:$C$7)</f>
        <v>3</v>
      </c>
      <c r="M149" s="9"/>
    </row>
    <row r="150" spans="2:13" x14ac:dyDescent="0.25">
      <c r="B150" t="s">
        <v>43</v>
      </c>
      <c r="C150" t="s">
        <v>8</v>
      </c>
      <c r="D150" t="s">
        <v>9</v>
      </c>
      <c r="E150">
        <v>28</v>
      </c>
      <c r="F150" s="8">
        <v>44486</v>
      </c>
      <c r="G150" s="19">
        <v>104770</v>
      </c>
      <c r="H150" t="s">
        <v>16</v>
      </c>
      <c r="I150" t="s">
        <v>204</v>
      </c>
      <c r="J150" s="9">
        <f ca="1">(TODAY()-Staff[[#This Row],[Date Joined]])/365</f>
        <v>2.2356164383561645</v>
      </c>
      <c r="K150" s="19">
        <f ca="1">IF(Staff[[#This Row],[Tenure]]&gt;2,3%,2%)*Staff[[#This Row],[Salary]]</f>
        <v>3143.1</v>
      </c>
      <c r="L150">
        <f>_xlfn.XLOOKUP(Staff[[#This Row],[Rating]],Work!$B$3:$B$7,Work!$C$3:$C$7)</f>
        <v>3</v>
      </c>
      <c r="M150" s="9"/>
    </row>
    <row r="151" spans="2:13" x14ac:dyDescent="0.25">
      <c r="B151" t="s">
        <v>136</v>
      </c>
      <c r="C151" t="s">
        <v>8</v>
      </c>
      <c r="D151" t="s">
        <v>9</v>
      </c>
      <c r="E151">
        <v>28</v>
      </c>
      <c r="F151" s="8">
        <v>44425</v>
      </c>
      <c r="G151" s="19">
        <v>104770</v>
      </c>
      <c r="H151" t="s">
        <v>16</v>
      </c>
      <c r="I151" t="s">
        <v>206</v>
      </c>
      <c r="J151" s="9">
        <f ca="1">(TODAY()-Staff[[#This Row],[Date Joined]])/365</f>
        <v>2.4027397260273973</v>
      </c>
      <c r="K151" s="19">
        <f ca="1">IF(Staff[[#This Row],[Tenure]]&gt;2,3%,2%)*Staff[[#This Row],[Salary]]</f>
        <v>3143.1</v>
      </c>
      <c r="L151">
        <f>_xlfn.XLOOKUP(Staff[[#This Row],[Rating]],Work!$B$3:$B$7,Work!$C$3:$C$7)</f>
        <v>3</v>
      </c>
      <c r="M151" s="9"/>
    </row>
    <row r="152" spans="2:13" x14ac:dyDescent="0.25">
      <c r="B152" t="s">
        <v>69</v>
      </c>
      <c r="C152" t="s">
        <v>15</v>
      </c>
      <c r="D152" t="s">
        <v>9</v>
      </c>
      <c r="E152">
        <v>23</v>
      </c>
      <c r="F152" s="8">
        <v>44440</v>
      </c>
      <c r="G152" s="19">
        <v>106460</v>
      </c>
      <c r="H152" t="s">
        <v>16</v>
      </c>
      <c r="I152" t="s">
        <v>204</v>
      </c>
      <c r="J152" s="9">
        <f ca="1">(TODAY()-Staff[[#This Row],[Date Joined]])/365</f>
        <v>2.3616438356164382</v>
      </c>
      <c r="K152" s="19">
        <f ca="1">IF(Staff[[#This Row],[Tenure]]&gt;2,3%,2%)*Staff[[#This Row],[Salary]]</f>
        <v>3193.7999999999997</v>
      </c>
      <c r="L152">
        <f>_xlfn.XLOOKUP(Staff[[#This Row],[Rating]],Work!$B$3:$B$7,Work!$C$3:$C$7)</f>
        <v>3</v>
      </c>
      <c r="M152" s="9"/>
    </row>
    <row r="153" spans="2:13" x14ac:dyDescent="0.25">
      <c r="B153" t="s">
        <v>161</v>
      </c>
      <c r="C153" t="s">
        <v>15</v>
      </c>
      <c r="D153" t="s">
        <v>9</v>
      </c>
      <c r="E153">
        <v>23</v>
      </c>
      <c r="F153" s="8">
        <v>44378</v>
      </c>
      <c r="G153" s="19">
        <v>106460</v>
      </c>
      <c r="H153" t="s">
        <v>16</v>
      </c>
      <c r="I153" t="s">
        <v>206</v>
      </c>
      <c r="J153" s="9">
        <f ca="1">(TODAY()-Staff[[#This Row],[Date Joined]])/365</f>
        <v>2.5315068493150683</v>
      </c>
      <c r="K153" s="19">
        <f ca="1">IF(Staff[[#This Row],[Tenure]]&gt;2,3%,2%)*Staff[[#This Row],[Salary]]</f>
        <v>3193.7999999999997</v>
      </c>
      <c r="L153">
        <f>_xlfn.XLOOKUP(Staff[[#This Row],[Rating]],Work!$B$3:$B$7,Work!$C$3:$C$7)</f>
        <v>3</v>
      </c>
      <c r="M153" s="9"/>
    </row>
    <row r="154" spans="2:13" x14ac:dyDescent="0.25">
      <c r="B154" t="s">
        <v>22</v>
      </c>
      <c r="C154" t="s">
        <v>15</v>
      </c>
      <c r="D154" t="s">
        <v>12</v>
      </c>
      <c r="E154">
        <v>20</v>
      </c>
      <c r="F154" s="8">
        <v>44459</v>
      </c>
      <c r="G154" s="19">
        <v>107700</v>
      </c>
      <c r="H154" t="s">
        <v>16</v>
      </c>
      <c r="I154" t="s">
        <v>204</v>
      </c>
      <c r="J154" s="9">
        <f ca="1">(TODAY()-Staff[[#This Row],[Date Joined]])/365</f>
        <v>2.3095890410958906</v>
      </c>
      <c r="K154" s="19">
        <f ca="1">IF(Staff[[#This Row],[Tenure]]&gt;2,3%,2%)*Staff[[#This Row],[Salary]]</f>
        <v>3231</v>
      </c>
      <c r="L154">
        <f>_xlfn.XLOOKUP(Staff[[#This Row],[Rating]],Work!$B$3:$B$7,Work!$C$3:$C$7)</f>
        <v>3</v>
      </c>
      <c r="M154" s="9"/>
    </row>
    <row r="155" spans="2:13" x14ac:dyDescent="0.25">
      <c r="B155" t="s">
        <v>117</v>
      </c>
      <c r="C155" t="s">
        <v>15</v>
      </c>
      <c r="D155" t="s">
        <v>12</v>
      </c>
      <c r="E155">
        <v>20</v>
      </c>
      <c r="F155" s="8">
        <v>44397</v>
      </c>
      <c r="G155" s="19">
        <v>107700</v>
      </c>
      <c r="H155" t="s">
        <v>16</v>
      </c>
      <c r="I155" t="s">
        <v>206</v>
      </c>
      <c r="J155" s="9">
        <f ca="1">(TODAY()-Staff[[#This Row],[Date Joined]])/365</f>
        <v>2.4794520547945207</v>
      </c>
      <c r="K155" s="19">
        <f ca="1">IF(Staff[[#This Row],[Tenure]]&gt;2,3%,2%)*Staff[[#This Row],[Salary]]</f>
        <v>3231</v>
      </c>
      <c r="L155">
        <f>_xlfn.XLOOKUP(Staff[[#This Row],[Rating]],Work!$B$3:$B$7,Work!$C$3:$C$7)</f>
        <v>3</v>
      </c>
      <c r="M155" s="9"/>
    </row>
    <row r="156" spans="2:13" x14ac:dyDescent="0.25">
      <c r="B156" t="s">
        <v>33</v>
      </c>
      <c r="C156" t="s">
        <v>8</v>
      </c>
      <c r="D156" t="s">
        <v>19</v>
      </c>
      <c r="E156">
        <v>38</v>
      </c>
      <c r="F156" s="8">
        <v>44377</v>
      </c>
      <c r="G156" s="19">
        <v>109160</v>
      </c>
      <c r="H156" t="s">
        <v>10</v>
      </c>
      <c r="I156" t="s">
        <v>204</v>
      </c>
      <c r="J156" s="9">
        <f ca="1">(TODAY()-Staff[[#This Row],[Date Joined]])/365</f>
        <v>2.5342465753424657</v>
      </c>
      <c r="K156" s="19">
        <f ca="1">IF(Staff[[#This Row],[Tenure]]&gt;2,3%,2%)*Staff[[#This Row],[Salary]]</f>
        <v>3274.7999999999997</v>
      </c>
      <c r="L156">
        <f>_xlfn.XLOOKUP(Staff[[#This Row],[Rating]],Work!$B$3:$B$7,Work!$C$3:$C$7)</f>
        <v>5</v>
      </c>
      <c r="M156" s="9"/>
    </row>
    <row r="157" spans="2:13" x14ac:dyDescent="0.25">
      <c r="B157" t="s">
        <v>127</v>
      </c>
      <c r="C157" t="s">
        <v>8</v>
      </c>
      <c r="D157" t="s">
        <v>19</v>
      </c>
      <c r="E157">
        <v>38</v>
      </c>
      <c r="F157" s="8">
        <v>44316</v>
      </c>
      <c r="G157" s="19">
        <v>109160</v>
      </c>
      <c r="H157" t="s">
        <v>10</v>
      </c>
      <c r="I157" t="s">
        <v>206</v>
      </c>
      <c r="J157" s="9">
        <f ca="1">(TODAY()-Staff[[#This Row],[Date Joined]])/365</f>
        <v>2.7013698630136984</v>
      </c>
      <c r="K157" s="19">
        <f ca="1">IF(Staff[[#This Row],[Tenure]]&gt;2,3%,2%)*Staff[[#This Row],[Salary]]</f>
        <v>3274.7999999999997</v>
      </c>
      <c r="L157">
        <f>_xlfn.XLOOKUP(Staff[[#This Row],[Rating]],Work!$B$3:$B$7,Work!$C$3:$C$7)</f>
        <v>5</v>
      </c>
      <c r="M157" s="9"/>
    </row>
    <row r="158" spans="2:13" x14ac:dyDescent="0.25">
      <c r="B158" t="s">
        <v>34</v>
      </c>
      <c r="C158" t="s">
        <v>15</v>
      </c>
      <c r="D158" t="s">
        <v>9</v>
      </c>
      <c r="E158">
        <v>25</v>
      </c>
      <c r="F158" s="8">
        <v>44726</v>
      </c>
      <c r="G158" s="19">
        <v>109190</v>
      </c>
      <c r="H158" t="s">
        <v>13</v>
      </c>
      <c r="I158" t="s">
        <v>204</v>
      </c>
      <c r="J158" s="9">
        <f ca="1">(TODAY()-Staff[[#This Row],[Date Joined]])/365</f>
        <v>1.5780821917808219</v>
      </c>
      <c r="K158" s="19">
        <f ca="1">IF(Staff[[#This Row],[Tenure]]&gt;2,3%,2%)*Staff[[#This Row],[Salary]]</f>
        <v>2183.8000000000002</v>
      </c>
      <c r="L158">
        <f>_xlfn.XLOOKUP(Staff[[#This Row],[Rating]],Work!$B$3:$B$7,Work!$C$3:$C$7)</f>
        <v>4</v>
      </c>
      <c r="M158" s="9"/>
    </row>
    <row r="159" spans="2:13" x14ac:dyDescent="0.25">
      <c r="B159" t="s">
        <v>128</v>
      </c>
      <c r="C159" t="s">
        <v>15</v>
      </c>
      <c r="D159" t="s">
        <v>9</v>
      </c>
      <c r="E159">
        <v>25</v>
      </c>
      <c r="F159" s="8">
        <v>44665</v>
      </c>
      <c r="G159" s="19">
        <v>109190</v>
      </c>
      <c r="H159" t="s">
        <v>13</v>
      </c>
      <c r="I159" t="s">
        <v>206</v>
      </c>
      <c r="J159" s="9">
        <f ca="1">(TODAY()-Staff[[#This Row],[Date Joined]])/365</f>
        <v>1.7452054794520548</v>
      </c>
      <c r="K159" s="19">
        <f ca="1">IF(Staff[[#This Row],[Tenure]]&gt;2,3%,2%)*Staff[[#This Row],[Salary]]</f>
        <v>2183.8000000000002</v>
      </c>
      <c r="L159">
        <f>_xlfn.XLOOKUP(Staff[[#This Row],[Rating]],Work!$B$3:$B$7,Work!$C$3:$C$7)</f>
        <v>4</v>
      </c>
      <c r="M159" s="9"/>
    </row>
    <row r="160" spans="2:13" x14ac:dyDescent="0.25">
      <c r="B160" t="s">
        <v>87</v>
      </c>
      <c r="C160" t="s">
        <v>15</v>
      </c>
      <c r="D160" t="s">
        <v>12</v>
      </c>
      <c r="E160">
        <v>29</v>
      </c>
      <c r="F160" s="8">
        <v>44180</v>
      </c>
      <c r="G160" s="19">
        <v>112110</v>
      </c>
      <c r="H160" t="s">
        <v>24</v>
      </c>
      <c r="I160" t="s">
        <v>204</v>
      </c>
      <c r="J160" s="9">
        <f ca="1">(TODAY()-Staff[[#This Row],[Date Joined]])/365</f>
        <v>3.0739726027397261</v>
      </c>
      <c r="K160" s="19">
        <f ca="1">IF(Staff[[#This Row],[Tenure]]&gt;2,3%,2%)*Staff[[#This Row],[Salary]]</f>
        <v>3363.2999999999997</v>
      </c>
      <c r="L160">
        <f>_xlfn.XLOOKUP(Staff[[#This Row],[Rating]],Work!$B$3:$B$7,Work!$C$3:$C$7)</f>
        <v>2</v>
      </c>
      <c r="M160" s="9"/>
    </row>
    <row r="161" spans="2:13" x14ac:dyDescent="0.25">
      <c r="B161" t="s">
        <v>180</v>
      </c>
      <c r="C161" t="s">
        <v>15</v>
      </c>
      <c r="D161" t="s">
        <v>12</v>
      </c>
      <c r="E161">
        <v>29</v>
      </c>
      <c r="F161" s="8">
        <v>44119</v>
      </c>
      <c r="G161" s="19">
        <v>112110</v>
      </c>
      <c r="H161" t="s">
        <v>24</v>
      </c>
      <c r="I161" t="s">
        <v>206</v>
      </c>
      <c r="J161" s="9">
        <f ca="1">(TODAY()-Staff[[#This Row],[Date Joined]])/365</f>
        <v>3.2410958904109588</v>
      </c>
      <c r="K161" s="19">
        <f ca="1">IF(Staff[[#This Row],[Tenure]]&gt;2,3%,2%)*Staff[[#This Row],[Salary]]</f>
        <v>3363.2999999999997</v>
      </c>
      <c r="L161">
        <f>_xlfn.XLOOKUP(Staff[[#This Row],[Rating]],Work!$B$3:$B$7,Work!$C$3:$C$7)</f>
        <v>2</v>
      </c>
      <c r="M161" s="9"/>
    </row>
    <row r="162" spans="2:13" x14ac:dyDescent="0.25">
      <c r="B162" t="s">
        <v>81</v>
      </c>
      <c r="C162" t="s">
        <v>8</v>
      </c>
      <c r="D162" t="s">
        <v>9</v>
      </c>
      <c r="E162">
        <v>30</v>
      </c>
      <c r="F162" s="8">
        <v>44861</v>
      </c>
      <c r="G162" s="19">
        <v>112570</v>
      </c>
      <c r="H162" t="s">
        <v>16</v>
      </c>
      <c r="I162" t="s">
        <v>204</v>
      </c>
      <c r="J162" s="9">
        <f ca="1">(TODAY()-Staff[[#This Row],[Date Joined]])/365</f>
        <v>1.2082191780821918</v>
      </c>
      <c r="K162" s="19">
        <f ca="1">IF(Staff[[#This Row],[Tenure]]&gt;2,3%,2%)*Staff[[#This Row],[Salary]]</f>
        <v>2251.4</v>
      </c>
      <c r="L162">
        <f>_xlfn.XLOOKUP(Staff[[#This Row],[Rating]],Work!$B$3:$B$7,Work!$C$3:$C$7)</f>
        <v>3</v>
      </c>
      <c r="M162" s="9"/>
    </row>
    <row r="163" spans="2:13" x14ac:dyDescent="0.25">
      <c r="B163" t="s">
        <v>173</v>
      </c>
      <c r="C163" t="s">
        <v>8</v>
      </c>
      <c r="D163" t="s">
        <v>9</v>
      </c>
      <c r="E163">
        <v>30</v>
      </c>
      <c r="F163" s="8">
        <v>44800</v>
      </c>
      <c r="G163" s="19">
        <v>112570</v>
      </c>
      <c r="H163" t="s">
        <v>16</v>
      </c>
      <c r="I163" t="s">
        <v>206</v>
      </c>
      <c r="J163" s="9">
        <f ca="1">(TODAY()-Staff[[#This Row],[Date Joined]])/365</f>
        <v>1.3753424657534246</v>
      </c>
      <c r="K163" s="19">
        <f ca="1">IF(Staff[[#This Row],[Tenure]]&gt;2,3%,2%)*Staff[[#This Row],[Salary]]</f>
        <v>2251.4</v>
      </c>
      <c r="L163">
        <f>_xlfn.XLOOKUP(Staff[[#This Row],[Rating]],Work!$B$3:$B$7,Work!$C$3:$C$7)</f>
        <v>3</v>
      </c>
      <c r="M163" s="9"/>
    </row>
    <row r="164" spans="2:13" x14ac:dyDescent="0.25">
      <c r="B164" t="s">
        <v>64</v>
      </c>
      <c r="C164" t="s">
        <v>15</v>
      </c>
      <c r="D164" t="s">
        <v>12</v>
      </c>
      <c r="E164">
        <v>20</v>
      </c>
      <c r="F164" s="8">
        <v>44183</v>
      </c>
      <c r="G164" s="19">
        <v>112650</v>
      </c>
      <c r="H164" t="s">
        <v>16</v>
      </c>
      <c r="I164" t="s">
        <v>204</v>
      </c>
      <c r="J164" s="9">
        <f ca="1">(TODAY()-Staff[[#This Row],[Date Joined]])/365</f>
        <v>3.0657534246575344</v>
      </c>
      <c r="K164" s="19">
        <f ca="1">IF(Staff[[#This Row],[Tenure]]&gt;2,3%,2%)*Staff[[#This Row],[Salary]]</f>
        <v>3379.5</v>
      </c>
      <c r="L164">
        <f>_xlfn.XLOOKUP(Staff[[#This Row],[Rating]],Work!$B$3:$B$7,Work!$C$3:$C$7)</f>
        <v>3</v>
      </c>
      <c r="M164" s="9"/>
    </row>
    <row r="165" spans="2:13" x14ac:dyDescent="0.25">
      <c r="B165" t="s">
        <v>156</v>
      </c>
      <c r="C165" t="s">
        <v>15</v>
      </c>
      <c r="D165" t="s">
        <v>12</v>
      </c>
      <c r="E165">
        <v>20</v>
      </c>
      <c r="F165" s="8">
        <v>44122</v>
      </c>
      <c r="G165" s="19">
        <v>112650</v>
      </c>
      <c r="H165" t="s">
        <v>16</v>
      </c>
      <c r="I165" t="s">
        <v>206</v>
      </c>
      <c r="J165" s="9">
        <f ca="1">(TODAY()-Staff[[#This Row],[Date Joined]])/365</f>
        <v>3.2328767123287672</v>
      </c>
      <c r="K165" s="19">
        <f ca="1">IF(Staff[[#This Row],[Tenure]]&gt;2,3%,2%)*Staff[[#This Row],[Salary]]</f>
        <v>3379.5</v>
      </c>
      <c r="L165">
        <f>_xlfn.XLOOKUP(Staff[[#This Row],[Rating]],Work!$B$3:$B$7,Work!$C$3:$C$7)</f>
        <v>3</v>
      </c>
      <c r="M165" s="9"/>
    </row>
    <row r="166" spans="2:13" x14ac:dyDescent="0.25">
      <c r="B166" t="s">
        <v>178</v>
      </c>
      <c r="C166" t="s">
        <v>15</v>
      </c>
      <c r="D166" t="s">
        <v>9</v>
      </c>
      <c r="E166">
        <v>34</v>
      </c>
      <c r="F166" s="8">
        <v>44642</v>
      </c>
      <c r="G166" s="19">
        <v>112650</v>
      </c>
      <c r="H166" t="s">
        <v>16</v>
      </c>
      <c r="I166" t="s">
        <v>206</v>
      </c>
      <c r="J166" s="9">
        <f ca="1">(TODAY()-Staff[[#This Row],[Date Joined]])/365</f>
        <v>1.8082191780821917</v>
      </c>
      <c r="K166" s="19">
        <f ca="1">IF(Staff[[#This Row],[Tenure]]&gt;2,3%,2%)*Staff[[#This Row],[Salary]]</f>
        <v>2253</v>
      </c>
      <c r="L166">
        <f>_xlfn.XLOOKUP(Staff[[#This Row],[Rating]],Work!$B$3:$B$7,Work!$C$3:$C$7)</f>
        <v>3</v>
      </c>
      <c r="M166" s="9"/>
    </row>
    <row r="167" spans="2:13" x14ac:dyDescent="0.25">
      <c r="B167" t="s">
        <v>58</v>
      </c>
      <c r="C167" t="s">
        <v>15</v>
      </c>
      <c r="D167" t="s">
        <v>19</v>
      </c>
      <c r="E167">
        <v>22</v>
      </c>
      <c r="F167" s="8">
        <v>44446</v>
      </c>
      <c r="G167" s="19">
        <v>112780</v>
      </c>
      <c r="H167" t="s">
        <v>13</v>
      </c>
      <c r="I167" t="s">
        <v>204</v>
      </c>
      <c r="J167" s="9">
        <f ca="1">(TODAY()-Staff[[#This Row],[Date Joined]])/365</f>
        <v>2.3452054794520549</v>
      </c>
      <c r="K167" s="19">
        <f ca="1">IF(Staff[[#This Row],[Tenure]]&gt;2,3%,2%)*Staff[[#This Row],[Salary]]</f>
        <v>3383.4</v>
      </c>
      <c r="L167">
        <f>_xlfn.XLOOKUP(Staff[[#This Row],[Rating]],Work!$B$3:$B$7,Work!$C$3:$C$7)</f>
        <v>4</v>
      </c>
      <c r="M167" s="9"/>
    </row>
    <row r="168" spans="2:13" x14ac:dyDescent="0.25">
      <c r="B168" t="s">
        <v>150</v>
      </c>
      <c r="C168" t="s">
        <v>15</v>
      </c>
      <c r="D168" t="s">
        <v>19</v>
      </c>
      <c r="E168">
        <v>22</v>
      </c>
      <c r="F168" s="8">
        <v>44384</v>
      </c>
      <c r="G168" s="19">
        <v>112780</v>
      </c>
      <c r="H168" t="s">
        <v>13</v>
      </c>
      <c r="I168" t="s">
        <v>206</v>
      </c>
      <c r="J168" s="9">
        <f ca="1">(TODAY()-Staff[[#This Row],[Date Joined]])/365</f>
        <v>2.515068493150685</v>
      </c>
      <c r="K168" s="19">
        <f ca="1">IF(Staff[[#This Row],[Tenure]]&gt;2,3%,2%)*Staff[[#This Row],[Salary]]</f>
        <v>3383.4</v>
      </c>
      <c r="L168">
        <f>_xlfn.XLOOKUP(Staff[[#This Row],[Rating]],Work!$B$3:$B$7,Work!$C$3:$C$7)</f>
        <v>4</v>
      </c>
      <c r="M168" s="9"/>
    </row>
    <row r="169" spans="2:13" x14ac:dyDescent="0.25">
      <c r="B169" t="s">
        <v>191</v>
      </c>
      <c r="C169" t="s">
        <v>15</v>
      </c>
      <c r="D169" t="s">
        <v>9</v>
      </c>
      <c r="E169">
        <v>27</v>
      </c>
      <c r="F169" s="8">
        <v>44547</v>
      </c>
      <c r="G169" s="19">
        <v>113280</v>
      </c>
      <c r="H169" t="s">
        <v>42</v>
      </c>
      <c r="I169" t="s">
        <v>206</v>
      </c>
      <c r="J169" s="9">
        <f ca="1">(TODAY()-Staff[[#This Row],[Date Joined]])/365</f>
        <v>2.0684931506849313</v>
      </c>
      <c r="K169" s="19">
        <f ca="1">IF(Staff[[#This Row],[Tenure]]&gt;2,3%,2%)*Staff[[#This Row],[Salary]]</f>
        <v>3398.4</v>
      </c>
      <c r="L169">
        <f>_xlfn.XLOOKUP(Staff[[#This Row],[Rating]],Work!$B$3:$B$7,Work!$C$3:$C$7)</f>
        <v>1</v>
      </c>
      <c r="M169" s="9"/>
    </row>
    <row r="170" spans="2:13" x14ac:dyDescent="0.25">
      <c r="B170" t="s">
        <v>98</v>
      </c>
      <c r="C170" t="s">
        <v>15</v>
      </c>
      <c r="D170" t="s">
        <v>9</v>
      </c>
      <c r="E170">
        <v>27</v>
      </c>
      <c r="F170" s="8">
        <v>44609</v>
      </c>
      <c r="G170" s="19">
        <v>113280</v>
      </c>
      <c r="H170" t="s">
        <v>42</v>
      </c>
      <c r="I170" t="s">
        <v>204</v>
      </c>
      <c r="J170" s="9">
        <f ca="1">(TODAY()-Staff[[#This Row],[Date Joined]])/365</f>
        <v>1.8986301369863015</v>
      </c>
      <c r="K170" s="19">
        <f ca="1">IF(Staff[[#This Row],[Tenure]]&gt;2,3%,2%)*Staff[[#This Row],[Salary]]</f>
        <v>2265.6</v>
      </c>
      <c r="L170">
        <f>_xlfn.XLOOKUP(Staff[[#This Row],[Rating]],Work!$B$3:$B$7,Work!$C$3:$C$7)</f>
        <v>1</v>
      </c>
      <c r="M170" s="9"/>
    </row>
    <row r="171" spans="2:13" x14ac:dyDescent="0.25">
      <c r="B171" t="s">
        <v>54</v>
      </c>
      <c r="C171" t="s">
        <v>8</v>
      </c>
      <c r="D171" t="s">
        <v>9</v>
      </c>
      <c r="E171">
        <v>30</v>
      </c>
      <c r="F171" s="8">
        <v>44850</v>
      </c>
      <c r="G171" s="19">
        <v>114180</v>
      </c>
      <c r="H171" t="s">
        <v>16</v>
      </c>
      <c r="I171" t="s">
        <v>204</v>
      </c>
      <c r="J171" s="9">
        <f ca="1">(TODAY()-Staff[[#This Row],[Date Joined]])/365</f>
        <v>1.2383561643835617</v>
      </c>
      <c r="K171" s="19">
        <f ca="1">IF(Staff[[#This Row],[Tenure]]&gt;2,3%,2%)*Staff[[#This Row],[Salary]]</f>
        <v>2283.6</v>
      </c>
      <c r="L171">
        <f>_xlfn.XLOOKUP(Staff[[#This Row],[Rating]],Work!$B$3:$B$7,Work!$C$3:$C$7)</f>
        <v>3</v>
      </c>
      <c r="M171" s="9"/>
    </row>
    <row r="172" spans="2:13" x14ac:dyDescent="0.25">
      <c r="B172" t="s">
        <v>147</v>
      </c>
      <c r="C172" t="s">
        <v>8</v>
      </c>
      <c r="D172" t="s">
        <v>9</v>
      </c>
      <c r="E172">
        <v>30</v>
      </c>
      <c r="F172" s="8">
        <v>44789</v>
      </c>
      <c r="G172" s="19">
        <v>114180</v>
      </c>
      <c r="H172" t="s">
        <v>16</v>
      </c>
      <c r="I172" t="s">
        <v>206</v>
      </c>
      <c r="J172" s="9">
        <f ca="1">(TODAY()-Staff[[#This Row],[Date Joined]])/365</f>
        <v>1.4054794520547946</v>
      </c>
      <c r="K172" s="19">
        <f ca="1">IF(Staff[[#This Row],[Tenure]]&gt;2,3%,2%)*Staff[[#This Row],[Salary]]</f>
        <v>2283.6</v>
      </c>
      <c r="L172">
        <f>_xlfn.XLOOKUP(Staff[[#This Row],[Rating]],Work!$B$3:$B$7,Work!$C$3:$C$7)</f>
        <v>3</v>
      </c>
      <c r="M172" s="9"/>
    </row>
    <row r="173" spans="2:13" x14ac:dyDescent="0.25">
      <c r="B173" t="s">
        <v>17</v>
      </c>
      <c r="C173" t="s">
        <v>8</v>
      </c>
      <c r="D173" t="s">
        <v>12</v>
      </c>
      <c r="E173">
        <v>43</v>
      </c>
      <c r="F173" s="8">
        <v>45045</v>
      </c>
      <c r="G173" s="19">
        <v>114870</v>
      </c>
      <c r="H173" t="s">
        <v>16</v>
      </c>
      <c r="I173" t="s">
        <v>204</v>
      </c>
      <c r="J173" s="9">
        <f ca="1">(TODAY()-Staff[[#This Row],[Date Joined]])/365</f>
        <v>0.70410958904109588</v>
      </c>
      <c r="K173" s="19">
        <f ca="1">IF(Staff[[#This Row],[Tenure]]&gt;2,3%,2%)*Staff[[#This Row],[Salary]]</f>
        <v>2297.4</v>
      </c>
      <c r="L173">
        <f>_xlfn.XLOOKUP(Staff[[#This Row],[Rating]],Work!$B$3:$B$7,Work!$C$3:$C$7)</f>
        <v>3</v>
      </c>
      <c r="M173" s="9"/>
    </row>
    <row r="174" spans="2:13" x14ac:dyDescent="0.25">
      <c r="B174" t="s">
        <v>114</v>
      </c>
      <c r="C174" t="s">
        <v>8</v>
      </c>
      <c r="D174" t="s">
        <v>12</v>
      </c>
      <c r="E174">
        <v>44</v>
      </c>
      <c r="F174" s="8">
        <v>44985</v>
      </c>
      <c r="G174" s="19">
        <v>114870</v>
      </c>
      <c r="H174" t="s">
        <v>16</v>
      </c>
      <c r="I174" t="s">
        <v>206</v>
      </c>
      <c r="J174" s="9">
        <f ca="1">(TODAY()-Staff[[#This Row],[Date Joined]])/365</f>
        <v>0.86849315068493149</v>
      </c>
      <c r="K174" s="19">
        <f ca="1">IF(Staff[[#This Row],[Tenure]]&gt;2,3%,2%)*Staff[[#This Row],[Salary]]</f>
        <v>2297.4</v>
      </c>
      <c r="L174">
        <f>_xlfn.XLOOKUP(Staff[[#This Row],[Rating]],Work!$B$3:$B$7,Work!$C$3:$C$7)</f>
        <v>3</v>
      </c>
      <c r="M174" s="9"/>
    </row>
    <row r="175" spans="2:13" x14ac:dyDescent="0.25">
      <c r="B175" t="s">
        <v>83</v>
      </c>
      <c r="C175" t="s">
        <v>8</v>
      </c>
      <c r="D175" t="s">
        <v>9</v>
      </c>
      <c r="E175">
        <v>36</v>
      </c>
      <c r="F175" s="8">
        <v>44085</v>
      </c>
      <c r="G175" s="19">
        <v>114890</v>
      </c>
      <c r="H175" t="s">
        <v>16</v>
      </c>
      <c r="I175" t="s">
        <v>204</v>
      </c>
      <c r="J175" s="9">
        <f ca="1">(TODAY()-Staff[[#This Row],[Date Joined]])/365</f>
        <v>3.3342465753424659</v>
      </c>
      <c r="K175" s="19">
        <f ca="1">IF(Staff[[#This Row],[Tenure]]&gt;2,3%,2%)*Staff[[#This Row],[Salary]]</f>
        <v>3446.7</v>
      </c>
      <c r="L175">
        <f>_xlfn.XLOOKUP(Staff[[#This Row],[Rating]],Work!$B$3:$B$7,Work!$C$3:$C$7)</f>
        <v>3</v>
      </c>
      <c r="M175" s="9"/>
    </row>
    <row r="176" spans="2:13" x14ac:dyDescent="0.25">
      <c r="B176" t="s">
        <v>175</v>
      </c>
      <c r="C176" t="s">
        <v>8</v>
      </c>
      <c r="D176" t="s">
        <v>9</v>
      </c>
      <c r="E176">
        <v>36</v>
      </c>
      <c r="F176" s="8">
        <v>44023</v>
      </c>
      <c r="G176" s="19">
        <v>114890</v>
      </c>
      <c r="H176" t="s">
        <v>16</v>
      </c>
      <c r="I176" t="s">
        <v>206</v>
      </c>
      <c r="J176" s="9">
        <f ca="1">(TODAY()-Staff[[#This Row],[Date Joined]])/365</f>
        <v>3.504109589041096</v>
      </c>
      <c r="K176" s="19">
        <f ca="1">IF(Staff[[#This Row],[Tenure]]&gt;2,3%,2%)*Staff[[#This Row],[Salary]]</f>
        <v>3446.7</v>
      </c>
      <c r="L176">
        <f>_xlfn.XLOOKUP(Staff[[#This Row],[Rating]],Work!$B$3:$B$7,Work!$C$3:$C$7)</f>
        <v>3</v>
      </c>
      <c r="M176" s="9"/>
    </row>
    <row r="177" spans="2:13" x14ac:dyDescent="0.25">
      <c r="B177" t="s">
        <v>49</v>
      </c>
      <c r="C177" t="s">
        <v>205</v>
      </c>
      <c r="D177" t="s">
        <v>21</v>
      </c>
      <c r="E177">
        <v>37</v>
      </c>
      <c r="F177" s="8">
        <v>44146</v>
      </c>
      <c r="G177" s="19">
        <v>115440</v>
      </c>
      <c r="H177" t="s">
        <v>24</v>
      </c>
      <c r="I177" t="s">
        <v>204</v>
      </c>
      <c r="J177" s="9">
        <f ca="1">(TODAY()-Staff[[#This Row],[Date Joined]])/365</f>
        <v>3.1671232876712327</v>
      </c>
      <c r="K177" s="19">
        <f ca="1">IF(Staff[[#This Row],[Tenure]]&gt;2,3%,2%)*Staff[[#This Row],[Salary]]</f>
        <v>3463.2</v>
      </c>
      <c r="L177">
        <f>_xlfn.XLOOKUP(Staff[[#This Row],[Rating]],Work!$B$3:$B$7,Work!$C$3:$C$7)</f>
        <v>2</v>
      </c>
      <c r="M177" s="9"/>
    </row>
    <row r="178" spans="2:13" x14ac:dyDescent="0.25">
      <c r="B178" t="s">
        <v>142</v>
      </c>
      <c r="C178" t="s">
        <v>205</v>
      </c>
      <c r="D178" t="s">
        <v>21</v>
      </c>
      <c r="E178">
        <v>37</v>
      </c>
      <c r="F178" s="8">
        <v>44085</v>
      </c>
      <c r="G178" s="19">
        <v>115440</v>
      </c>
      <c r="H178" t="s">
        <v>24</v>
      </c>
      <c r="I178" t="s">
        <v>206</v>
      </c>
      <c r="J178" s="9">
        <f ca="1">(TODAY()-Staff[[#This Row],[Date Joined]])/365</f>
        <v>3.3342465753424659</v>
      </c>
      <c r="K178" s="19">
        <f ca="1">IF(Staff[[#This Row],[Tenure]]&gt;2,3%,2%)*Staff[[#This Row],[Salary]]</f>
        <v>3463.2</v>
      </c>
      <c r="L178">
        <f>_xlfn.XLOOKUP(Staff[[#This Row],[Rating]],Work!$B$3:$B$7,Work!$C$3:$C$7)</f>
        <v>2</v>
      </c>
      <c r="M178" s="9"/>
    </row>
    <row r="179" spans="2:13" x14ac:dyDescent="0.25">
      <c r="B179" t="s">
        <v>40</v>
      </c>
      <c r="C179" t="s">
        <v>15</v>
      </c>
      <c r="D179" t="s">
        <v>9</v>
      </c>
      <c r="E179">
        <v>33</v>
      </c>
      <c r="F179" s="8">
        <v>44164</v>
      </c>
      <c r="G179" s="19">
        <v>115920</v>
      </c>
      <c r="H179" t="s">
        <v>16</v>
      </c>
      <c r="I179" t="s">
        <v>204</v>
      </c>
      <c r="J179" s="9">
        <f ca="1">(TODAY()-Staff[[#This Row],[Date Joined]])/365</f>
        <v>3.117808219178082</v>
      </c>
      <c r="K179" s="19">
        <f ca="1">IF(Staff[[#This Row],[Tenure]]&gt;2,3%,2%)*Staff[[#This Row],[Salary]]</f>
        <v>3477.6</v>
      </c>
      <c r="L179">
        <f>_xlfn.XLOOKUP(Staff[[#This Row],[Rating]],Work!$B$3:$B$7,Work!$C$3:$C$7)</f>
        <v>3</v>
      </c>
      <c r="M179" s="9"/>
    </row>
    <row r="180" spans="2:13" x14ac:dyDescent="0.25">
      <c r="B180" t="s">
        <v>134</v>
      </c>
      <c r="C180" t="s">
        <v>15</v>
      </c>
      <c r="D180" t="s">
        <v>9</v>
      </c>
      <c r="E180">
        <v>33</v>
      </c>
      <c r="F180" s="8">
        <v>44103</v>
      </c>
      <c r="G180" s="19">
        <v>115920</v>
      </c>
      <c r="H180" t="s">
        <v>16</v>
      </c>
      <c r="I180" t="s">
        <v>206</v>
      </c>
      <c r="J180" s="9">
        <f ca="1">(TODAY()-Staff[[#This Row],[Date Joined]])/365</f>
        <v>3.2849315068493152</v>
      </c>
      <c r="K180" s="19">
        <f ca="1">IF(Staff[[#This Row],[Tenure]]&gt;2,3%,2%)*Staff[[#This Row],[Salary]]</f>
        <v>3477.6</v>
      </c>
      <c r="L180">
        <f>_xlfn.XLOOKUP(Staff[[#This Row],[Rating]],Work!$B$3:$B$7,Work!$C$3:$C$7)</f>
        <v>3</v>
      </c>
      <c r="M180" s="9"/>
    </row>
    <row r="181" spans="2:13" x14ac:dyDescent="0.25">
      <c r="B181" t="s">
        <v>55</v>
      </c>
      <c r="C181" t="s">
        <v>8</v>
      </c>
      <c r="D181" t="s">
        <v>56</v>
      </c>
      <c r="E181">
        <v>37</v>
      </c>
      <c r="F181" s="8">
        <v>44451</v>
      </c>
      <c r="G181" s="19">
        <v>118100</v>
      </c>
      <c r="H181" t="s">
        <v>16</v>
      </c>
      <c r="I181" t="s">
        <v>204</v>
      </c>
      <c r="J181" s="9">
        <f ca="1">(TODAY()-Staff[[#This Row],[Date Joined]])/365</f>
        <v>2.3315068493150686</v>
      </c>
      <c r="K181" s="19">
        <f ca="1">IF(Staff[[#This Row],[Tenure]]&gt;2,3%,2%)*Staff[[#This Row],[Salary]]</f>
        <v>3543</v>
      </c>
      <c r="L181">
        <f>_xlfn.XLOOKUP(Staff[[#This Row],[Rating]],Work!$B$3:$B$7,Work!$C$3:$C$7)</f>
        <v>3</v>
      </c>
      <c r="M181" s="9"/>
    </row>
    <row r="182" spans="2:13" x14ac:dyDescent="0.25">
      <c r="B182" t="s">
        <v>148</v>
      </c>
      <c r="C182" t="s">
        <v>8</v>
      </c>
      <c r="D182" t="s">
        <v>56</v>
      </c>
      <c r="E182">
        <v>37</v>
      </c>
      <c r="F182" s="8">
        <v>44389</v>
      </c>
      <c r="G182" s="19">
        <v>118100</v>
      </c>
      <c r="H182" t="s">
        <v>16</v>
      </c>
      <c r="I182" t="s">
        <v>206</v>
      </c>
      <c r="J182" s="9">
        <f ca="1">(TODAY()-Staff[[#This Row],[Date Joined]])/365</f>
        <v>2.5013698630136987</v>
      </c>
      <c r="K182" s="19">
        <f ca="1">IF(Staff[[#This Row],[Tenure]]&gt;2,3%,2%)*Staff[[#This Row],[Salary]]</f>
        <v>3543</v>
      </c>
      <c r="L182">
        <f>_xlfn.XLOOKUP(Staff[[#This Row],[Rating]],Work!$B$3:$B$7,Work!$C$3:$C$7)</f>
        <v>3</v>
      </c>
      <c r="M182" s="9"/>
    </row>
    <row r="183" spans="2:13" x14ac:dyDescent="0.25">
      <c r="B183" t="s">
        <v>106</v>
      </c>
      <c r="C183" t="s">
        <v>15</v>
      </c>
      <c r="D183" t="s">
        <v>12</v>
      </c>
      <c r="E183">
        <v>36</v>
      </c>
      <c r="F183" s="8">
        <v>44019</v>
      </c>
      <c r="G183" s="19">
        <v>118840</v>
      </c>
      <c r="H183" t="s">
        <v>16</v>
      </c>
      <c r="I183" t="s">
        <v>204</v>
      </c>
      <c r="J183" s="9">
        <f ca="1">(TODAY()-Staff[[#This Row],[Date Joined]])/365</f>
        <v>3.515068493150685</v>
      </c>
      <c r="K183" s="19">
        <f ca="1">IF(Staff[[#This Row],[Tenure]]&gt;2,3%,2%)*Staff[[#This Row],[Salary]]</f>
        <v>3565.2</v>
      </c>
      <c r="L183">
        <f>_xlfn.XLOOKUP(Staff[[#This Row],[Rating]],Work!$B$3:$B$7,Work!$C$3:$C$7)</f>
        <v>3</v>
      </c>
      <c r="M183" s="9"/>
    </row>
    <row r="184" spans="2:13" x14ac:dyDescent="0.25">
      <c r="B184" t="s">
        <v>199</v>
      </c>
      <c r="C184" t="s">
        <v>15</v>
      </c>
      <c r="D184" t="s">
        <v>12</v>
      </c>
      <c r="E184">
        <v>36</v>
      </c>
      <c r="F184" s="8">
        <v>43958</v>
      </c>
      <c r="G184" s="19">
        <v>118840</v>
      </c>
      <c r="H184" t="s">
        <v>16</v>
      </c>
      <c r="I184" t="s">
        <v>206</v>
      </c>
      <c r="J184" s="9">
        <f ca="1">(TODAY()-Staff[[#This Row],[Date Joined]])/365</f>
        <v>3.6821917808219178</v>
      </c>
      <c r="K184" s="19">
        <f ca="1">IF(Staff[[#This Row],[Tenure]]&gt;2,3%,2%)*Staff[[#This Row],[Salary]]</f>
        <v>3565.2</v>
      </c>
      <c r="L184">
        <f>_xlfn.XLOOKUP(Staff[[#This Row],[Rating]],Work!$B$3:$B$7,Work!$C$3:$C$7)</f>
        <v>3</v>
      </c>
      <c r="M184" s="9"/>
    </row>
    <row r="185" spans="2:13" x14ac:dyDescent="0.25">
      <c r="B185" t="s">
        <v>60</v>
      </c>
      <c r="C185" t="s">
        <v>8</v>
      </c>
      <c r="D185" t="s">
        <v>56</v>
      </c>
      <c r="E185">
        <v>27</v>
      </c>
      <c r="F185" s="8">
        <v>44122</v>
      </c>
      <c r="G185" s="19">
        <v>119110</v>
      </c>
      <c r="H185" t="s">
        <v>16</v>
      </c>
      <c r="I185" t="s">
        <v>204</v>
      </c>
      <c r="J185" s="9">
        <f ca="1">(TODAY()-Staff[[#This Row],[Date Joined]])/365</f>
        <v>3.2328767123287672</v>
      </c>
      <c r="K185" s="19">
        <f ca="1">IF(Staff[[#This Row],[Tenure]]&gt;2,3%,2%)*Staff[[#This Row],[Salary]]</f>
        <v>3573.2999999999997</v>
      </c>
      <c r="L185">
        <f>_xlfn.XLOOKUP(Staff[[#This Row],[Rating]],Work!$B$3:$B$7,Work!$C$3:$C$7)</f>
        <v>3</v>
      </c>
      <c r="M185" s="9"/>
    </row>
    <row r="186" spans="2:13" x14ac:dyDescent="0.25">
      <c r="B186" t="s">
        <v>152</v>
      </c>
      <c r="C186" t="s">
        <v>8</v>
      </c>
      <c r="D186" t="s">
        <v>56</v>
      </c>
      <c r="E186">
        <v>27</v>
      </c>
      <c r="F186" s="8">
        <v>44061</v>
      </c>
      <c r="G186" s="19">
        <v>119110</v>
      </c>
      <c r="H186" t="s">
        <v>16</v>
      </c>
      <c r="I186" t="s">
        <v>206</v>
      </c>
      <c r="J186" s="9">
        <f ca="1">(TODAY()-Staff[[#This Row],[Date Joined]])/365</f>
        <v>3.4</v>
      </c>
      <c r="K186" s="19">
        <f ca="1">IF(Staff[[#This Row],[Tenure]]&gt;2,3%,2%)*Staff[[#This Row],[Salary]]</f>
        <v>3573.2999999999997</v>
      </c>
      <c r="L186">
        <f>_xlfn.XLOOKUP(Staff[[#This Row],[Rating]],Work!$B$3:$B$7,Work!$C$3:$C$7)</f>
        <v>3</v>
      </c>
      <c r="M186" s="9"/>
    </row>
  </sheetData>
  <conditionalFormatting sqref="G4:G186">
    <cfRule type="colorScale" priority="1">
      <colorScale>
        <cfvo type="min"/>
        <cfvo type="percentile" val="50"/>
        <cfvo type="max"/>
        <color rgb="FFF8696B"/>
        <color rgb="FFFCFCFF"/>
        <color rgb="FF5A8AC6"/>
      </colorScale>
    </cfRule>
  </conditionalFormatting>
  <dataValidations count="1">
    <dataValidation type="list" allowBlank="1" showInputMessage="1" showErrorMessage="1" sqref="P14" xr:uid="{C5A185EE-7097-4892-90AF-592C5E6FD717}">
      <formula1>$B$4:$B$186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CFD9F-53C1-43EB-A719-BAC946DC8EB9}">
  <sheetPr>
    <tabColor theme="4"/>
  </sheetPr>
  <dimension ref="A2:F35"/>
  <sheetViews>
    <sheetView workbookViewId="0">
      <selection activeCell="D4" sqref="D4"/>
    </sheetView>
  </sheetViews>
  <sheetFormatPr defaultRowHeight="15" x14ac:dyDescent="0.25"/>
  <cols>
    <col min="3" max="3" width="30" bestFit="1" customWidth="1"/>
  </cols>
  <sheetData>
    <row r="2" spans="1:6" x14ac:dyDescent="0.25">
      <c r="A2" s="14">
        <v>3</v>
      </c>
    </row>
    <row r="4" spans="1:6" ht="15.75" x14ac:dyDescent="0.25">
      <c r="C4" t="s">
        <v>215</v>
      </c>
      <c r="D4" s="15" t="s">
        <v>19</v>
      </c>
    </row>
    <row r="5" spans="1:6" x14ac:dyDescent="0.25">
      <c r="C5" t="s">
        <v>216</v>
      </c>
      <c r="D5" s="13">
        <f>COUNTIF(Staff[Department],D4)</f>
        <v>28</v>
      </c>
    </row>
    <row r="7" spans="1:6" x14ac:dyDescent="0.25">
      <c r="C7" t="s">
        <v>0</v>
      </c>
      <c r="D7" t="s">
        <v>5</v>
      </c>
      <c r="E7" t="s">
        <v>6</v>
      </c>
      <c r="F7" t="s">
        <v>3</v>
      </c>
    </row>
    <row r="8" spans="1:6" x14ac:dyDescent="0.25">
      <c r="C8" t="str" cm="1">
        <f t="array" aca="1" ref="C8:F35" ca="1">_xlfn._xlws.SORT(_xlfn.CHOOSECOLS(_xlfn._xlws.FILTER(Staff[],Staff[Department]=D4),1,6,7,4),2,-1)</f>
        <v>Lindy Guillet</v>
      </c>
      <c r="D8">
        <f ca="1"/>
        <v>112780</v>
      </c>
      <c r="E8" t="str">
        <f ca="1"/>
        <v>Above average</v>
      </c>
      <c r="F8">
        <f ca="1"/>
        <v>22</v>
      </c>
    </row>
    <row r="9" spans="1:6" x14ac:dyDescent="0.25">
      <c r="C9" t="str">
        <f ca="1"/>
        <v>Krishnakanta Vellanki</v>
      </c>
      <c r="D9">
        <f ca="1"/>
        <v>112780</v>
      </c>
      <c r="E9" t="str">
        <f ca="1"/>
        <v>Above average</v>
      </c>
      <c r="F9">
        <f ca="1"/>
        <v>22</v>
      </c>
    </row>
    <row r="10" spans="1:6" x14ac:dyDescent="0.25">
      <c r="C10" t="str">
        <f ca="1"/>
        <v>Rafaelita Blaksland</v>
      </c>
      <c r="D10">
        <f ca="1"/>
        <v>109160</v>
      </c>
      <c r="E10" t="str">
        <f ca="1"/>
        <v>Exceptional</v>
      </c>
      <c r="F10">
        <f ca="1"/>
        <v>38</v>
      </c>
    </row>
    <row r="11" spans="1:6" x14ac:dyDescent="0.25">
      <c r="C11" t="str">
        <f ca="1"/>
        <v>Sawini Chandan</v>
      </c>
      <c r="D11">
        <f ca="1"/>
        <v>109160</v>
      </c>
      <c r="E11" t="str">
        <f ca="1"/>
        <v>Exceptional</v>
      </c>
      <c r="F11">
        <f ca="1"/>
        <v>38</v>
      </c>
    </row>
    <row r="12" spans="1:6" x14ac:dyDescent="0.25">
      <c r="C12" t="str">
        <f ca="1"/>
        <v>Hinda Label</v>
      </c>
      <c r="D12">
        <f ca="1"/>
        <v>92700</v>
      </c>
      <c r="E12" t="str">
        <f ca="1"/>
        <v>Average</v>
      </c>
      <c r="F12">
        <f ca="1"/>
        <v>25</v>
      </c>
    </row>
    <row r="13" spans="1:6" x14ac:dyDescent="0.25">
      <c r="C13" t="str">
        <f ca="1"/>
        <v>Purnendu Vijayarangan</v>
      </c>
      <c r="D13">
        <f ca="1"/>
        <v>92700</v>
      </c>
      <c r="E13" t="str">
        <f ca="1"/>
        <v>Average</v>
      </c>
      <c r="F13">
        <f ca="1"/>
        <v>25</v>
      </c>
    </row>
    <row r="14" spans="1:6" x14ac:dyDescent="0.25">
      <c r="C14" t="str">
        <f ca="1"/>
        <v>Gray Seamon</v>
      </c>
      <c r="D14">
        <f ca="1"/>
        <v>78540</v>
      </c>
      <c r="E14" t="str">
        <f ca="1"/>
        <v>Average</v>
      </c>
      <c r="F14">
        <f ca="1"/>
        <v>36</v>
      </c>
    </row>
    <row r="15" spans="1:6" x14ac:dyDescent="0.25">
      <c r="C15" t="str">
        <f ca="1"/>
        <v>Shulabh Qutub Sundaramoorthy</v>
      </c>
      <c r="D15">
        <f ca="1"/>
        <v>78540</v>
      </c>
      <c r="E15" t="str">
        <f ca="1"/>
        <v>Average</v>
      </c>
      <c r="F15">
        <f ca="1"/>
        <v>36</v>
      </c>
    </row>
    <row r="16" spans="1:6" x14ac:dyDescent="0.25">
      <c r="C16" t="str">
        <f ca="1"/>
        <v>Gigi Bohling</v>
      </c>
      <c r="D16">
        <f ca="1"/>
        <v>74550</v>
      </c>
      <c r="E16" t="str">
        <f ca="1"/>
        <v>Average</v>
      </c>
      <c r="F16">
        <f ca="1"/>
        <v>33</v>
      </c>
    </row>
    <row r="17" spans="3:6" x14ac:dyDescent="0.25">
      <c r="C17" t="str">
        <f ca="1"/>
        <v>Yauvani Tarpa</v>
      </c>
      <c r="D17">
        <f ca="1"/>
        <v>74550</v>
      </c>
      <c r="E17" t="str">
        <f ca="1"/>
        <v>Average</v>
      </c>
      <c r="F17">
        <f ca="1"/>
        <v>33</v>
      </c>
    </row>
    <row r="18" spans="3:6" x14ac:dyDescent="0.25">
      <c r="C18" t="str">
        <f ca="1"/>
        <v>Hyacinthie Braybrooke</v>
      </c>
      <c r="D18">
        <f ca="1"/>
        <v>68900</v>
      </c>
      <c r="E18" t="str">
        <f ca="1"/>
        <v>Poor</v>
      </c>
      <c r="F18">
        <f ca="1"/>
        <v>20</v>
      </c>
    </row>
    <row r="19" spans="3:6" x14ac:dyDescent="0.25">
      <c r="C19" t="str">
        <f ca="1"/>
        <v>Devasree Fullara Saurin</v>
      </c>
      <c r="D19">
        <f ca="1"/>
        <v>68900</v>
      </c>
      <c r="E19" t="str">
        <f ca="1"/>
        <v>Poor</v>
      </c>
      <c r="F19">
        <f ca="1"/>
        <v>20</v>
      </c>
    </row>
    <row r="20" spans="3:6" x14ac:dyDescent="0.25">
      <c r="C20" t="str">
        <f ca="1"/>
        <v>Kath Bletsoe</v>
      </c>
      <c r="D20">
        <f ca="1"/>
        <v>65700</v>
      </c>
      <c r="E20" t="str">
        <f ca="1"/>
        <v>Average</v>
      </c>
      <c r="F20">
        <f ca="1"/>
        <v>25</v>
      </c>
    </row>
    <row r="21" spans="3:6" x14ac:dyDescent="0.25">
      <c r="C21" t="str">
        <f ca="1"/>
        <v>Abhaya Priyavardhan</v>
      </c>
      <c r="D21">
        <f ca="1"/>
        <v>65700</v>
      </c>
      <c r="E21" t="str">
        <f ca="1"/>
        <v>Average</v>
      </c>
      <c r="F21">
        <f ca="1"/>
        <v>25</v>
      </c>
    </row>
    <row r="22" spans="3:6" x14ac:dyDescent="0.25">
      <c r="C22" t="str">
        <f ca="1"/>
        <v>Oran Buxcy</v>
      </c>
      <c r="D22">
        <f ca="1"/>
        <v>56870</v>
      </c>
      <c r="E22" t="str">
        <f ca="1"/>
        <v>Above average</v>
      </c>
      <c r="F22">
        <f ca="1"/>
        <v>38</v>
      </c>
    </row>
    <row r="23" spans="3:6" x14ac:dyDescent="0.25">
      <c r="C23" t="str">
        <f ca="1"/>
        <v>Mirium Seemantini Shivakumar</v>
      </c>
      <c r="D23">
        <f ca="1"/>
        <v>56870</v>
      </c>
      <c r="E23" t="str">
        <f ca="1"/>
        <v>Above average</v>
      </c>
      <c r="F23">
        <f ca="1"/>
        <v>38</v>
      </c>
    </row>
    <row r="24" spans="3:6" x14ac:dyDescent="0.25">
      <c r="C24" t="str">
        <f ca="1"/>
        <v>Alta Kaszper</v>
      </c>
      <c r="D24">
        <f ca="1"/>
        <v>54970</v>
      </c>
      <c r="E24" t="str">
        <f ca="1"/>
        <v>Average</v>
      </c>
      <c r="F24">
        <f ca="1"/>
        <v>27</v>
      </c>
    </row>
    <row r="25" spans="3:6" x14ac:dyDescent="0.25">
      <c r="C25" t="str">
        <f ca="1"/>
        <v>Sanchali Shirish</v>
      </c>
      <c r="D25">
        <f ca="1"/>
        <v>54970</v>
      </c>
      <c r="E25" t="str">
        <f ca="1"/>
        <v>Average</v>
      </c>
      <c r="F25">
        <f ca="1"/>
        <v>27</v>
      </c>
    </row>
    <row r="26" spans="3:6" x14ac:dyDescent="0.25">
      <c r="C26" t="str">
        <f ca="1"/>
        <v>Hoyt D'Alesco</v>
      </c>
      <c r="D26">
        <f ca="1"/>
        <v>53540</v>
      </c>
      <c r="E26" t="str">
        <f ca="1"/>
        <v>Average</v>
      </c>
      <c r="F26">
        <f ca="1"/>
        <v>32</v>
      </c>
    </row>
    <row r="27" spans="3:6" x14ac:dyDescent="0.25">
      <c r="C27" t="str">
        <f ca="1"/>
        <v>Geena Raghavanpillai</v>
      </c>
      <c r="D27">
        <f ca="1"/>
        <v>53540</v>
      </c>
      <c r="E27" t="str">
        <f ca="1"/>
        <v>Average</v>
      </c>
      <c r="F27">
        <f ca="1"/>
        <v>32</v>
      </c>
    </row>
    <row r="28" spans="3:6" x14ac:dyDescent="0.25">
      <c r="C28" t="str">
        <f ca="1"/>
        <v>Tatum Hush</v>
      </c>
      <c r="D28">
        <f ca="1"/>
        <v>53240</v>
      </c>
      <c r="E28" t="str">
        <f ca="1"/>
        <v>Average</v>
      </c>
      <c r="F28">
        <f ca="1"/>
        <v>28</v>
      </c>
    </row>
    <row r="29" spans="3:6" x14ac:dyDescent="0.25">
      <c r="C29" t="str">
        <f ca="1"/>
        <v>Anumati Shyamari Meherhomji</v>
      </c>
      <c r="D29">
        <f ca="1"/>
        <v>53240</v>
      </c>
      <c r="E29" t="str">
        <f ca="1"/>
        <v>Average</v>
      </c>
      <c r="F29">
        <f ca="1"/>
        <v>28</v>
      </c>
    </row>
    <row r="30" spans="3:6" x14ac:dyDescent="0.25">
      <c r="C30" t="str">
        <f ca="1"/>
        <v>Violante Courtonne</v>
      </c>
      <c r="D30">
        <f ca="1"/>
        <v>49630</v>
      </c>
      <c r="E30" t="str">
        <f ca="1"/>
        <v>Poor</v>
      </c>
      <c r="F30">
        <f ca="1"/>
        <v>34</v>
      </c>
    </row>
    <row r="31" spans="3:6" x14ac:dyDescent="0.25">
      <c r="C31" t="str">
        <f ca="1"/>
        <v>Daruka Ghazali</v>
      </c>
      <c r="D31">
        <f ca="1"/>
        <v>49630</v>
      </c>
      <c r="E31" t="str">
        <f ca="1"/>
        <v>Poor</v>
      </c>
      <c r="F31">
        <f ca="1"/>
        <v>34</v>
      </c>
    </row>
    <row r="32" spans="3:6" x14ac:dyDescent="0.25">
      <c r="C32" t="str">
        <f ca="1"/>
        <v>Drusy MacCombe</v>
      </c>
      <c r="D32">
        <f ca="1"/>
        <v>43510</v>
      </c>
      <c r="E32" t="str">
        <f ca="1"/>
        <v>Very poor</v>
      </c>
      <c r="F32">
        <f ca="1"/>
        <v>28</v>
      </c>
    </row>
    <row r="33" spans="3:6" x14ac:dyDescent="0.25">
      <c r="C33" t="str">
        <f ca="1"/>
        <v>Rupak Mehra</v>
      </c>
      <c r="D33">
        <f ca="1"/>
        <v>43510</v>
      </c>
      <c r="E33" t="str">
        <f ca="1"/>
        <v>Very poor</v>
      </c>
      <c r="F33">
        <f ca="1"/>
        <v>28</v>
      </c>
    </row>
    <row r="34" spans="3:6" x14ac:dyDescent="0.25">
      <c r="C34" t="str">
        <f ca="1"/>
        <v>Waheeda Vasuman</v>
      </c>
      <c r="D34">
        <f ca="1"/>
        <v>36040</v>
      </c>
      <c r="E34" t="str">
        <f ca="1"/>
        <v>Average</v>
      </c>
      <c r="F34">
        <f ca="1"/>
        <v>43</v>
      </c>
    </row>
    <row r="35" spans="3:6" x14ac:dyDescent="0.25">
      <c r="C35" t="str">
        <f ca="1"/>
        <v>Bili Sizey</v>
      </c>
      <c r="D35">
        <f ca="1"/>
        <v>36040</v>
      </c>
      <c r="E35" t="str">
        <f ca="1"/>
        <v>Average</v>
      </c>
      <c r="F35">
        <f ca="1"/>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6E31-D918-4863-857B-8ECDE7A8DF8B}">
  <sheetPr>
    <tabColor rgb="FFC00000"/>
  </sheetPr>
  <dimension ref="A1:E14"/>
  <sheetViews>
    <sheetView workbookViewId="0">
      <selection activeCell="D17" sqref="D17"/>
    </sheetView>
  </sheetViews>
  <sheetFormatPr defaultRowHeight="15" x14ac:dyDescent="0.25"/>
  <cols>
    <col min="3" max="3" width="17.5703125" bestFit="1" customWidth="1"/>
    <col min="4" max="4" width="16.28515625" bestFit="1" customWidth="1"/>
    <col min="5" max="5" width="9.5703125" bestFit="1" customWidth="1"/>
    <col min="6" max="6" width="11.28515625" bestFit="1" customWidth="1"/>
    <col min="7" max="7" width="13.7109375" bestFit="1" customWidth="1"/>
    <col min="8" max="8" width="16.28515625" bestFit="1" customWidth="1"/>
    <col min="9" max="9" width="19.42578125" bestFit="1" customWidth="1"/>
    <col min="10" max="10" width="16" bestFit="1" customWidth="1"/>
  </cols>
  <sheetData>
    <row r="1" spans="1:5" x14ac:dyDescent="0.25">
      <c r="A1" s="14">
        <v>4</v>
      </c>
      <c r="B1" t="s">
        <v>217</v>
      </c>
    </row>
    <row r="9" spans="1:5" x14ac:dyDescent="0.25">
      <c r="D9" s="16" t="s">
        <v>218</v>
      </c>
    </row>
    <row r="10" spans="1:5" x14ac:dyDescent="0.25">
      <c r="C10" s="16" t="s">
        <v>221</v>
      </c>
      <c r="D10" t="s">
        <v>8</v>
      </c>
      <c r="E10" t="s">
        <v>15</v>
      </c>
    </row>
    <row r="11" spans="1:5" x14ac:dyDescent="0.25">
      <c r="C11" s="17" t="s">
        <v>219</v>
      </c>
      <c r="D11">
        <v>43</v>
      </c>
      <c r="E11">
        <v>44</v>
      </c>
    </row>
    <row r="12" spans="1:5" x14ac:dyDescent="0.25">
      <c r="C12" s="17" t="s">
        <v>220</v>
      </c>
      <c r="D12" s="18">
        <v>31.395348837209301</v>
      </c>
      <c r="E12" s="18">
        <v>29.34090909090909</v>
      </c>
    </row>
    <row r="13" spans="1:5" x14ac:dyDescent="0.25">
      <c r="C13" s="17" t="s">
        <v>222</v>
      </c>
      <c r="D13" s="18">
        <v>78284.186046511633</v>
      </c>
      <c r="E13" s="18">
        <v>74486.363636363632</v>
      </c>
    </row>
    <row r="14" spans="1:5" x14ac:dyDescent="0.25">
      <c r="C14" s="17" t="s">
        <v>223</v>
      </c>
      <c r="D14" s="18">
        <v>2.2971647021344381</v>
      </c>
      <c r="E14" s="18">
        <v>2.2942092154420921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1B3E-4F33-4641-8C9A-5AC758B31F9D}">
  <sheetPr>
    <tabColor theme="2" tint="-0.89999084444715716"/>
  </sheetPr>
  <dimension ref="A1"/>
  <sheetViews>
    <sheetView workbookViewId="0">
      <selection activeCell="R24" sqref="R24"/>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1EE9A-75D7-41A9-8033-B46E8E88A6E9}">
  <sheetPr>
    <tabColor theme="3" tint="0.39997558519241921"/>
  </sheetPr>
  <dimension ref="B3:D9"/>
  <sheetViews>
    <sheetView workbookViewId="0">
      <selection activeCell="I20" sqref="I20"/>
    </sheetView>
  </sheetViews>
  <sheetFormatPr defaultRowHeight="15" x14ac:dyDescent="0.25"/>
  <cols>
    <col min="2" max="2" width="14.28515625" bestFit="1" customWidth="1"/>
    <col min="3" max="3" width="14.42578125" bestFit="1" customWidth="1"/>
    <col min="4" max="4" width="16.42578125" bestFit="1" customWidth="1"/>
  </cols>
  <sheetData>
    <row r="3" spans="2:4" x14ac:dyDescent="0.25">
      <c r="B3" s="16" t="s">
        <v>225</v>
      </c>
      <c r="C3" t="s">
        <v>219</v>
      </c>
      <c r="D3" t="s">
        <v>222</v>
      </c>
    </row>
    <row r="4" spans="2:4" x14ac:dyDescent="0.25">
      <c r="B4" s="17" t="s">
        <v>10</v>
      </c>
      <c r="C4">
        <v>4</v>
      </c>
      <c r="D4" s="20">
        <v>92080</v>
      </c>
    </row>
    <row r="5" spans="2:4" x14ac:dyDescent="0.25">
      <c r="B5" s="17" t="s">
        <v>13</v>
      </c>
      <c r="C5">
        <v>20</v>
      </c>
      <c r="D5" s="20">
        <v>75933</v>
      </c>
    </row>
    <row r="6" spans="2:4" x14ac:dyDescent="0.25">
      <c r="B6" s="17" t="s">
        <v>16</v>
      </c>
      <c r="C6">
        <v>137</v>
      </c>
      <c r="D6" s="20">
        <v>76798.759124087592</v>
      </c>
    </row>
    <row r="7" spans="2:4" x14ac:dyDescent="0.25">
      <c r="B7" s="17" t="s">
        <v>24</v>
      </c>
      <c r="C7">
        <v>16</v>
      </c>
      <c r="D7" s="20">
        <v>78115</v>
      </c>
    </row>
    <row r="8" spans="2:4" x14ac:dyDescent="0.25">
      <c r="B8" s="17" t="s">
        <v>42</v>
      </c>
      <c r="C8">
        <v>6</v>
      </c>
      <c r="D8" s="20">
        <v>77423.333333333328</v>
      </c>
    </row>
    <row r="9" spans="2:4" x14ac:dyDescent="0.25">
      <c r="B9" s="17" t="s">
        <v>226</v>
      </c>
      <c r="C9">
        <v>183</v>
      </c>
      <c r="D9" s="20">
        <v>77173.715846994543</v>
      </c>
    </row>
  </sheetData>
  <conditionalFormatting pivot="1" sqref="D4:D8">
    <cfRule type="dataBar" priority="1">
      <dataBar>
        <cfvo type="min"/>
        <cfvo type="max"/>
        <color rgb="FF63C384"/>
      </dataBar>
      <extLst>
        <ext xmlns:x14="http://schemas.microsoft.com/office/spreadsheetml/2009/9/main" uri="{B025F937-C7B1-47D3-B67F-A62EFF666E3E}">
          <x14:id>{64828E6A-4CFA-4189-ACDA-3244E1C1672C}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4828E6A-4CFA-4189-ACDA-3244E1C1672C}">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4515F-9FB8-4FF1-967E-AE0D1C98C849}">
  <dimension ref="B5:C42"/>
  <sheetViews>
    <sheetView topLeftCell="A4" workbookViewId="0">
      <selection activeCell="B39" sqref="B39"/>
    </sheetView>
  </sheetViews>
  <sheetFormatPr defaultRowHeight="15" x14ac:dyDescent="0.25"/>
  <cols>
    <col min="2" max="2" width="13.140625" bestFit="1" customWidth="1"/>
    <col min="3" max="3" width="14.42578125" bestFit="1" customWidth="1"/>
  </cols>
  <sheetData>
    <row r="5" spans="2:3" x14ac:dyDescent="0.25">
      <c r="B5" s="16" t="s">
        <v>225</v>
      </c>
      <c r="C5" t="s">
        <v>219</v>
      </c>
    </row>
    <row r="6" spans="2:3" x14ac:dyDescent="0.25">
      <c r="B6" s="17" t="s">
        <v>228</v>
      </c>
    </row>
    <row r="7" spans="2:3" x14ac:dyDescent="0.25">
      <c r="B7" s="24" t="s">
        <v>229</v>
      </c>
      <c r="C7">
        <v>3</v>
      </c>
    </row>
    <row r="8" spans="2:3" x14ac:dyDescent="0.25">
      <c r="B8" s="24" t="s">
        <v>230</v>
      </c>
      <c r="C8">
        <v>4</v>
      </c>
    </row>
    <row r="9" spans="2:3" x14ac:dyDescent="0.25">
      <c r="B9" s="24" t="s">
        <v>231</v>
      </c>
      <c r="C9">
        <v>9</v>
      </c>
    </row>
    <row r="10" spans="2:3" x14ac:dyDescent="0.25">
      <c r="B10" s="24" t="s">
        <v>232</v>
      </c>
      <c r="C10">
        <v>12</v>
      </c>
    </row>
    <row r="11" spans="2:3" x14ac:dyDescent="0.25">
      <c r="B11" s="24" t="s">
        <v>233</v>
      </c>
      <c r="C11">
        <v>18</v>
      </c>
    </row>
    <row r="12" spans="2:3" x14ac:dyDescent="0.25">
      <c r="B12" s="24" t="s">
        <v>234</v>
      </c>
      <c r="C12">
        <v>24</v>
      </c>
    </row>
    <row r="13" spans="2:3" x14ac:dyDescent="0.25">
      <c r="B13" s="24" t="s">
        <v>235</v>
      </c>
      <c r="C13">
        <v>30</v>
      </c>
    </row>
    <row r="14" spans="2:3" x14ac:dyDescent="0.25">
      <c r="B14" s="24" t="s">
        <v>236</v>
      </c>
      <c r="C14">
        <v>37</v>
      </c>
    </row>
    <row r="15" spans="2:3" x14ac:dyDescent="0.25">
      <c r="B15" s="17" t="s">
        <v>237</v>
      </c>
    </row>
    <row r="16" spans="2:3" x14ac:dyDescent="0.25">
      <c r="B16" s="24" t="s">
        <v>238</v>
      </c>
      <c r="C16">
        <v>6</v>
      </c>
    </row>
    <row r="17" spans="2:3" x14ac:dyDescent="0.25">
      <c r="B17" s="24" t="s">
        <v>239</v>
      </c>
      <c r="C17">
        <v>10</v>
      </c>
    </row>
    <row r="18" spans="2:3" x14ac:dyDescent="0.25">
      <c r="B18" s="24" t="s">
        <v>240</v>
      </c>
      <c r="C18">
        <v>19</v>
      </c>
    </row>
    <row r="19" spans="2:3" x14ac:dyDescent="0.25">
      <c r="B19" s="24" t="s">
        <v>241</v>
      </c>
      <c r="C19">
        <v>24</v>
      </c>
    </row>
    <row r="20" spans="2:3" x14ac:dyDescent="0.25">
      <c r="B20" s="24" t="s">
        <v>229</v>
      </c>
      <c r="C20">
        <v>34</v>
      </c>
    </row>
    <row r="21" spans="2:3" x14ac:dyDescent="0.25">
      <c r="B21" s="24" t="s">
        <v>230</v>
      </c>
      <c r="C21">
        <v>40</v>
      </c>
    </row>
    <row r="22" spans="2:3" x14ac:dyDescent="0.25">
      <c r="B22" s="24" t="s">
        <v>231</v>
      </c>
      <c r="C22">
        <v>53</v>
      </c>
    </row>
    <row r="23" spans="2:3" x14ac:dyDescent="0.25">
      <c r="B23" s="24" t="s">
        <v>232</v>
      </c>
      <c r="C23">
        <v>57</v>
      </c>
    </row>
    <row r="24" spans="2:3" x14ac:dyDescent="0.25">
      <c r="B24" s="24" t="s">
        <v>233</v>
      </c>
      <c r="C24">
        <v>68</v>
      </c>
    </row>
    <row r="25" spans="2:3" x14ac:dyDescent="0.25">
      <c r="B25" s="24" t="s">
        <v>234</v>
      </c>
      <c r="C25">
        <v>71</v>
      </c>
    </row>
    <row r="26" spans="2:3" x14ac:dyDescent="0.25">
      <c r="B26" s="24" t="s">
        <v>235</v>
      </c>
      <c r="C26">
        <v>75</v>
      </c>
    </row>
    <row r="27" spans="2:3" x14ac:dyDescent="0.25">
      <c r="B27" s="24" t="s">
        <v>236</v>
      </c>
      <c r="C27">
        <v>82</v>
      </c>
    </row>
    <row r="28" spans="2:3" x14ac:dyDescent="0.25">
      <c r="B28" s="17" t="s">
        <v>242</v>
      </c>
    </row>
    <row r="29" spans="2:3" x14ac:dyDescent="0.25">
      <c r="B29" s="24" t="s">
        <v>238</v>
      </c>
      <c r="C29">
        <v>3</v>
      </c>
    </row>
    <row r="30" spans="2:3" x14ac:dyDescent="0.25">
      <c r="B30" s="24" t="s">
        <v>239</v>
      </c>
      <c r="C30">
        <v>13</v>
      </c>
    </row>
    <row r="31" spans="2:3" x14ac:dyDescent="0.25">
      <c r="B31" s="24" t="s">
        <v>240</v>
      </c>
      <c r="C31">
        <v>22</v>
      </c>
    </row>
    <row r="32" spans="2:3" x14ac:dyDescent="0.25">
      <c r="B32" s="24" t="s">
        <v>241</v>
      </c>
      <c r="C32">
        <v>31</v>
      </c>
    </row>
    <row r="33" spans="2:3" x14ac:dyDescent="0.25">
      <c r="B33" s="24" t="s">
        <v>229</v>
      </c>
      <c r="C33">
        <v>40</v>
      </c>
    </row>
    <row r="34" spans="2:3" x14ac:dyDescent="0.25">
      <c r="B34" s="24" t="s">
        <v>230</v>
      </c>
      <c r="C34">
        <v>47</v>
      </c>
    </row>
    <row r="35" spans="2:3" x14ac:dyDescent="0.25">
      <c r="B35" s="24" t="s">
        <v>231</v>
      </c>
      <c r="C35">
        <v>52</v>
      </c>
    </row>
    <row r="36" spans="2:3" x14ac:dyDescent="0.25">
      <c r="B36" s="24" t="s">
        <v>232</v>
      </c>
      <c r="C36">
        <v>57</v>
      </c>
    </row>
    <row r="37" spans="2:3" x14ac:dyDescent="0.25">
      <c r="B37" s="24" t="s">
        <v>233</v>
      </c>
      <c r="C37">
        <v>59</v>
      </c>
    </row>
    <row r="38" spans="2:3" x14ac:dyDescent="0.25">
      <c r="B38" s="24" t="s">
        <v>234</v>
      </c>
      <c r="C38">
        <v>62</v>
      </c>
    </row>
    <row r="39" spans="2:3" x14ac:dyDescent="0.25">
      <c r="B39" s="17" t="s">
        <v>243</v>
      </c>
    </row>
    <row r="40" spans="2:3" x14ac:dyDescent="0.25">
      <c r="B40" s="24" t="s">
        <v>239</v>
      </c>
      <c r="C40">
        <v>1</v>
      </c>
    </row>
    <row r="41" spans="2:3" x14ac:dyDescent="0.25">
      <c r="B41" s="24" t="s">
        <v>241</v>
      </c>
      <c r="C41">
        <v>2</v>
      </c>
    </row>
    <row r="42" spans="2:3" x14ac:dyDescent="0.25">
      <c r="B42" s="17" t="s">
        <v>226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B543F-5355-4104-BE38-1A9FEED042B0}">
  <dimension ref="C2:N23"/>
  <sheetViews>
    <sheetView showGridLines="0" tabSelected="1" zoomScale="66" zoomScaleNormal="66" workbookViewId="0">
      <selection activeCell="V32" sqref="V32"/>
    </sheetView>
  </sheetViews>
  <sheetFormatPr defaultRowHeight="15" x14ac:dyDescent="0.25"/>
  <cols>
    <col min="2" max="2" width="7.5703125" customWidth="1"/>
    <col min="3" max="3" width="25.7109375" customWidth="1"/>
    <col min="4" max="4" width="2.28515625" customWidth="1"/>
    <col min="5" max="5" width="25.7109375" customWidth="1"/>
    <col min="6" max="6" width="2.28515625" customWidth="1"/>
    <col min="7" max="7" width="25.7109375" customWidth="1"/>
    <col min="8" max="8" width="2.42578125" customWidth="1"/>
    <col min="9" max="9" width="15.85546875" customWidth="1"/>
    <col min="10" max="10" width="25.7109375" customWidth="1"/>
    <col min="11" max="11" width="2.28515625" customWidth="1"/>
    <col min="12" max="12" width="25.7109375" customWidth="1"/>
    <col min="13" max="13" width="2.28515625" customWidth="1"/>
    <col min="14" max="14" width="25.7109375" customWidth="1"/>
  </cols>
  <sheetData>
    <row r="2" spans="3:14" ht="36" x14ac:dyDescent="0.55000000000000004">
      <c r="C2" s="41" t="s">
        <v>204</v>
      </c>
      <c r="D2" s="42"/>
      <c r="E2" s="42"/>
      <c r="F2" s="42"/>
      <c r="G2" s="42"/>
      <c r="J2" s="41" t="s">
        <v>206</v>
      </c>
      <c r="K2" s="42"/>
      <c r="L2" s="42"/>
      <c r="M2" s="42"/>
      <c r="N2" s="42"/>
    </row>
    <row r="3" spans="3:14" x14ac:dyDescent="0.25">
      <c r="C3" s="39" t="s">
        <v>247</v>
      </c>
      <c r="E3" s="39" t="s">
        <v>244</v>
      </c>
      <c r="F3" s="39"/>
      <c r="G3" s="39" t="s">
        <v>245</v>
      </c>
      <c r="J3" s="39" t="s">
        <v>248</v>
      </c>
      <c r="K3" s="39"/>
      <c r="L3" s="39" t="s">
        <v>244</v>
      </c>
      <c r="M3" s="39"/>
      <c r="N3" s="39" t="s">
        <v>245</v>
      </c>
    </row>
    <row r="4" spans="3:14" ht="60" customHeight="1" x14ac:dyDescent="0.25">
      <c r="C4" s="33">
        <f>COUNTIF(Staff[Country],"NZ")</f>
        <v>91</v>
      </c>
      <c r="E4" s="35">
        <f>COUNTIFS(Staff[Country],"NZ",Staff[Gender],"Female")/C4</f>
        <v>0.47252747252747251</v>
      </c>
      <c r="G4" s="34">
        <f>AVERAGEIFS(Staff[Salary],Staff[Country],"NZ")</f>
        <v>76978.791208791212</v>
      </c>
      <c r="J4" s="36">
        <f>COUNTIF(Staff[Country],"IND")</f>
        <v>92</v>
      </c>
      <c r="L4" s="37">
        <f>COUNTIFS(Staff[Country],"IND",Staff[Gender],"Female")/J4</f>
        <v>0.46739130434782611</v>
      </c>
      <c r="N4" s="38">
        <f>AVERAGEIFS(Staff[Salary],Staff[Country],"IND")</f>
        <v>77366.521739130432</v>
      </c>
    </row>
    <row r="6" spans="3:14" ht="15.75" x14ac:dyDescent="0.25">
      <c r="C6" s="40" t="s">
        <v>246</v>
      </c>
      <c r="D6" s="40"/>
      <c r="E6" s="40"/>
      <c r="F6" s="40"/>
      <c r="G6" s="40"/>
      <c r="H6" s="40"/>
      <c r="I6" s="40"/>
      <c r="J6" s="40"/>
      <c r="K6" s="40"/>
      <c r="L6" s="40"/>
      <c r="M6" s="40"/>
      <c r="N6" s="40"/>
    </row>
    <row r="8" spans="3:14" x14ac:dyDescent="0.25">
      <c r="C8" s="25"/>
      <c r="D8" s="26"/>
      <c r="E8" s="26"/>
      <c r="F8" s="26"/>
      <c r="G8" s="27"/>
      <c r="J8" s="25"/>
      <c r="K8" s="26"/>
      <c r="L8" s="26"/>
      <c r="M8" s="26"/>
      <c r="N8" s="27"/>
    </row>
    <row r="9" spans="3:14" x14ac:dyDescent="0.25">
      <c r="C9" s="28"/>
      <c r="G9" s="29"/>
      <c r="J9" s="28"/>
      <c r="N9" s="29"/>
    </row>
    <row r="10" spans="3:14" x14ac:dyDescent="0.25">
      <c r="C10" s="28"/>
      <c r="G10" s="29"/>
      <c r="J10" s="28"/>
      <c r="N10" s="29"/>
    </row>
    <row r="11" spans="3:14" x14ac:dyDescent="0.25">
      <c r="C11" s="28"/>
      <c r="G11" s="29"/>
      <c r="J11" s="28"/>
      <c r="N11" s="29"/>
    </row>
    <row r="12" spans="3:14" x14ac:dyDescent="0.25">
      <c r="C12" s="28"/>
      <c r="G12" s="29"/>
      <c r="J12" s="28"/>
      <c r="N12" s="29"/>
    </row>
    <row r="13" spans="3:14" x14ac:dyDescent="0.25">
      <c r="C13" s="28"/>
      <c r="G13" s="29"/>
      <c r="J13" s="28"/>
      <c r="N13" s="29"/>
    </row>
    <row r="14" spans="3:14" x14ac:dyDescent="0.25">
      <c r="C14" s="28"/>
      <c r="G14" s="29"/>
      <c r="J14" s="28"/>
      <c r="N14" s="29"/>
    </row>
    <row r="15" spans="3:14" x14ac:dyDescent="0.25">
      <c r="C15" s="28"/>
      <c r="G15" s="29"/>
      <c r="J15" s="28"/>
      <c r="N15" s="29"/>
    </row>
    <row r="16" spans="3:14" x14ac:dyDescent="0.25">
      <c r="C16" s="28"/>
      <c r="G16" s="29"/>
      <c r="J16" s="28"/>
      <c r="N16" s="29"/>
    </row>
    <row r="17" spans="3:14" x14ac:dyDescent="0.25">
      <c r="C17" s="28"/>
      <c r="G17" s="29"/>
      <c r="J17" s="28"/>
      <c r="N17" s="29"/>
    </row>
    <row r="18" spans="3:14" x14ac:dyDescent="0.25">
      <c r="C18" s="28"/>
      <c r="G18" s="29"/>
      <c r="J18" s="28"/>
      <c r="N18" s="29"/>
    </row>
    <row r="19" spans="3:14" x14ac:dyDescent="0.25">
      <c r="C19" s="28"/>
      <c r="G19" s="29"/>
      <c r="J19" s="28"/>
      <c r="N19" s="29"/>
    </row>
    <row r="20" spans="3:14" x14ac:dyDescent="0.25">
      <c r="C20" s="28"/>
      <c r="G20" s="29"/>
      <c r="J20" s="28"/>
      <c r="N20" s="29"/>
    </row>
    <row r="21" spans="3:14" x14ac:dyDescent="0.25">
      <c r="C21" s="28"/>
      <c r="G21" s="29"/>
      <c r="J21" s="28"/>
      <c r="N21" s="29"/>
    </row>
    <row r="22" spans="3:14" x14ac:dyDescent="0.25">
      <c r="C22" s="28"/>
      <c r="G22" s="29"/>
      <c r="J22" s="28"/>
      <c r="N22" s="29"/>
    </row>
    <row r="23" spans="3:14" x14ac:dyDescent="0.25">
      <c r="C23" s="30"/>
      <c r="D23" s="31"/>
      <c r="E23" s="31"/>
      <c r="F23" s="31"/>
      <c r="G23" s="32"/>
      <c r="J23" s="30"/>
      <c r="K23" s="31"/>
      <c r="L23" s="31"/>
      <c r="M23" s="31"/>
      <c r="N23" s="32"/>
    </row>
  </sheetData>
  <mergeCells count="3">
    <mergeCell ref="C6:N6"/>
    <mergeCell ref="C2:G2"/>
    <mergeCell ref="J2:N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65B6F-AFD6-4DD3-BF87-9C3167943750}">
  <dimension ref="B3:G18"/>
  <sheetViews>
    <sheetView topLeftCell="A8" workbookViewId="0">
      <selection activeCell="F13" sqref="F13"/>
    </sheetView>
  </sheetViews>
  <sheetFormatPr defaultRowHeight="15" x14ac:dyDescent="0.25"/>
  <cols>
    <col min="2" max="2" width="13.140625" bestFit="1" customWidth="1"/>
    <col min="3" max="3" width="14.42578125" bestFit="1" customWidth="1"/>
    <col min="6" max="6" width="13.140625" bestFit="1" customWidth="1"/>
    <col min="7" max="7" width="14.42578125" bestFit="1" customWidth="1"/>
  </cols>
  <sheetData>
    <row r="3" spans="2:7" x14ac:dyDescent="0.25">
      <c r="B3" s="22" t="s">
        <v>10</v>
      </c>
      <c r="C3" s="23">
        <v>5</v>
      </c>
    </row>
    <row r="4" spans="2:7" x14ac:dyDescent="0.25">
      <c r="B4" s="22" t="s">
        <v>13</v>
      </c>
      <c r="C4" s="23">
        <v>4</v>
      </c>
    </row>
    <row r="5" spans="2:7" x14ac:dyDescent="0.25">
      <c r="B5" s="22" t="s">
        <v>16</v>
      </c>
      <c r="C5" s="23">
        <v>3</v>
      </c>
    </row>
    <row r="6" spans="2:7" x14ac:dyDescent="0.25">
      <c r="B6" s="22" t="s">
        <v>24</v>
      </c>
      <c r="C6" s="23">
        <v>2</v>
      </c>
    </row>
    <row r="7" spans="2:7" x14ac:dyDescent="0.25">
      <c r="B7" s="22" t="s">
        <v>42</v>
      </c>
      <c r="C7" s="23">
        <v>1</v>
      </c>
    </row>
    <row r="10" spans="2:7" x14ac:dyDescent="0.25">
      <c r="B10" s="16" t="s">
        <v>203</v>
      </c>
      <c r="C10" t="s" vm="1">
        <v>206</v>
      </c>
      <c r="F10" s="16" t="s">
        <v>203</v>
      </c>
      <c r="G10" t="s" vm="2">
        <v>204</v>
      </c>
    </row>
    <row r="12" spans="2:7" x14ac:dyDescent="0.25">
      <c r="B12" s="16" t="s">
        <v>225</v>
      </c>
      <c r="C12" t="s">
        <v>219</v>
      </c>
      <c r="F12" s="16" t="s">
        <v>225</v>
      </c>
      <c r="G12" t="s">
        <v>219</v>
      </c>
    </row>
    <row r="13" spans="2:7" x14ac:dyDescent="0.25">
      <c r="B13" s="17" t="s">
        <v>9</v>
      </c>
      <c r="C13">
        <v>28</v>
      </c>
      <c r="F13" s="17" t="s">
        <v>12</v>
      </c>
      <c r="G13">
        <v>27</v>
      </c>
    </row>
    <row r="14" spans="2:7" x14ac:dyDescent="0.25">
      <c r="B14" s="17" t="s">
        <v>12</v>
      </c>
      <c r="C14">
        <v>27</v>
      </c>
      <c r="F14" s="17" t="s">
        <v>9</v>
      </c>
      <c r="G14">
        <v>27</v>
      </c>
    </row>
    <row r="15" spans="2:7" x14ac:dyDescent="0.25">
      <c r="B15" s="17" t="s">
        <v>21</v>
      </c>
      <c r="C15">
        <v>19</v>
      </c>
      <c r="F15" s="17" t="s">
        <v>21</v>
      </c>
      <c r="G15">
        <v>19</v>
      </c>
    </row>
    <row r="16" spans="2:7" x14ac:dyDescent="0.25">
      <c r="B16" s="17" t="s">
        <v>19</v>
      </c>
      <c r="C16">
        <v>14</v>
      </c>
      <c r="F16" s="17" t="s">
        <v>19</v>
      </c>
      <c r="G16">
        <v>14</v>
      </c>
    </row>
    <row r="17" spans="2:7" x14ac:dyDescent="0.25">
      <c r="B17" s="17" t="s">
        <v>56</v>
      </c>
      <c r="C17">
        <v>4</v>
      </c>
      <c r="F17" s="17" t="s">
        <v>56</v>
      </c>
      <c r="G17">
        <v>4</v>
      </c>
    </row>
    <row r="18" spans="2:7" x14ac:dyDescent="0.25">
      <c r="B18" s="17" t="s">
        <v>226</v>
      </c>
      <c r="C18">
        <v>92</v>
      </c>
      <c r="F18" s="17" t="s">
        <v>226</v>
      </c>
      <c r="G18">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1A26AD-E2B0-4534-B3EA-8DFB711E9D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India Staff</vt:lpstr>
      <vt:lpstr>All Staff</vt:lpstr>
      <vt:lpstr>Info finder 2.0</vt:lpstr>
      <vt:lpstr>Male Vs Female</vt:lpstr>
      <vt:lpstr>Salary Spread</vt:lpstr>
      <vt:lpstr>Salary Vs Rating </vt:lpstr>
      <vt:lpstr>Employee Trend</vt:lpstr>
      <vt:lpstr>Report</vt:lpstr>
      <vt:lpstr>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Ayyub khan</cp:lastModifiedBy>
  <dcterms:created xsi:type="dcterms:W3CDTF">2021-03-14T20:21:32Z</dcterms:created>
  <dcterms:modified xsi:type="dcterms:W3CDTF">2024-01-11T12:47:13Z</dcterms:modified>
</cp:coreProperties>
</file>