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0mc\Documents\Master Sword\Tools\Quick Bridge Analysis\"/>
    </mc:Choice>
  </mc:AlternateContent>
  <bookViews>
    <workbookView xWindow="0" yWindow="0" windowWidth="25200" windowHeight="11892"/>
  </bookViews>
  <sheets>
    <sheet name="Sheet1" sheetId="1" r:id="rId1"/>
    <sheet name="Span 1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0" i="3" l="1"/>
  <c r="G140" i="3"/>
  <c r="F140" i="3"/>
  <c r="E140" i="3"/>
  <c r="H139" i="3"/>
  <c r="G139" i="3"/>
  <c r="F139" i="3"/>
  <c r="E139" i="3"/>
  <c r="H138" i="3"/>
  <c r="G138" i="3"/>
  <c r="F138" i="3"/>
  <c r="E138" i="3"/>
  <c r="H137" i="3"/>
  <c r="G137" i="3"/>
  <c r="F137" i="3"/>
  <c r="E137" i="3"/>
  <c r="H136" i="3"/>
  <c r="G136" i="3"/>
  <c r="F136" i="3"/>
  <c r="E136" i="3"/>
  <c r="H135" i="3"/>
  <c r="G135" i="3"/>
  <c r="F135" i="3"/>
  <c r="E135" i="3"/>
  <c r="H134" i="3"/>
  <c r="G134" i="3"/>
  <c r="F134" i="3"/>
  <c r="E134" i="3"/>
  <c r="H133" i="3"/>
  <c r="G133" i="3"/>
  <c r="F133" i="3"/>
  <c r="E133" i="3"/>
  <c r="H132" i="3"/>
  <c r="G132" i="3"/>
  <c r="F132" i="3"/>
  <c r="E132" i="3"/>
  <c r="H131" i="3"/>
  <c r="G131" i="3"/>
  <c r="F131" i="3"/>
  <c r="E131" i="3"/>
  <c r="H130" i="3"/>
  <c r="G130" i="3"/>
  <c r="F130" i="3"/>
  <c r="E130" i="3"/>
  <c r="H129" i="3"/>
  <c r="G129" i="3"/>
  <c r="F129" i="3"/>
  <c r="E129" i="3"/>
  <c r="H128" i="3"/>
  <c r="G128" i="3"/>
  <c r="F128" i="3"/>
  <c r="E128" i="3"/>
  <c r="H127" i="3"/>
  <c r="G127" i="3"/>
  <c r="F127" i="3"/>
  <c r="E127" i="3"/>
  <c r="H126" i="3"/>
  <c r="G126" i="3"/>
  <c r="F126" i="3"/>
  <c r="E126" i="3"/>
  <c r="H125" i="3"/>
  <c r="G125" i="3"/>
  <c r="F125" i="3"/>
  <c r="E125" i="3"/>
  <c r="H124" i="3"/>
  <c r="G124" i="3"/>
  <c r="F124" i="3"/>
  <c r="E124" i="3"/>
  <c r="H123" i="3"/>
  <c r="G123" i="3"/>
  <c r="F123" i="3"/>
  <c r="E123" i="3"/>
  <c r="H122" i="3"/>
  <c r="G122" i="3"/>
  <c r="F122" i="3"/>
  <c r="E122" i="3"/>
  <c r="H121" i="3"/>
  <c r="G121" i="3"/>
  <c r="F121" i="3"/>
  <c r="E121" i="3"/>
  <c r="H120" i="3"/>
  <c r="G120" i="3"/>
  <c r="F120" i="3"/>
  <c r="E120" i="3"/>
  <c r="H119" i="3"/>
  <c r="G119" i="3"/>
  <c r="F119" i="3"/>
  <c r="E119" i="3"/>
  <c r="H118" i="3"/>
  <c r="G118" i="3"/>
  <c r="F118" i="3"/>
  <c r="E118" i="3"/>
  <c r="H117" i="3"/>
  <c r="G117" i="3"/>
  <c r="F117" i="3"/>
  <c r="E117" i="3"/>
  <c r="H116" i="3"/>
  <c r="G116" i="3"/>
  <c r="F116" i="3"/>
  <c r="E116" i="3"/>
  <c r="H115" i="3"/>
  <c r="G115" i="3"/>
  <c r="F115" i="3"/>
  <c r="E115" i="3"/>
  <c r="H114" i="3"/>
  <c r="G114" i="3"/>
  <c r="F114" i="3"/>
  <c r="E114" i="3"/>
  <c r="H113" i="3"/>
  <c r="G113" i="3"/>
  <c r="F113" i="3"/>
  <c r="E113" i="3"/>
  <c r="H112" i="3"/>
  <c r="G112" i="3"/>
  <c r="F112" i="3"/>
  <c r="E112" i="3"/>
  <c r="H111" i="3"/>
  <c r="G111" i="3"/>
  <c r="F111" i="3"/>
  <c r="E111" i="3"/>
  <c r="H110" i="3"/>
  <c r="G110" i="3"/>
  <c r="F110" i="3"/>
  <c r="E110" i="3"/>
  <c r="H109" i="3"/>
  <c r="G109" i="3"/>
  <c r="F109" i="3"/>
  <c r="E109" i="3"/>
  <c r="H108" i="3"/>
  <c r="G108" i="3"/>
  <c r="F108" i="3"/>
  <c r="E108" i="3"/>
  <c r="H107" i="3"/>
  <c r="G107" i="3"/>
  <c r="F107" i="3"/>
  <c r="E107" i="3"/>
  <c r="H106" i="3"/>
  <c r="G106" i="3"/>
  <c r="F106" i="3"/>
  <c r="E106" i="3"/>
  <c r="H105" i="3"/>
  <c r="G105" i="3"/>
  <c r="F105" i="3"/>
  <c r="E105" i="3"/>
  <c r="H104" i="3"/>
  <c r="G104" i="3"/>
  <c r="F104" i="3"/>
  <c r="E104" i="3"/>
  <c r="H103" i="3"/>
  <c r="G103" i="3"/>
  <c r="F103" i="3"/>
  <c r="E103" i="3"/>
  <c r="H102" i="3"/>
  <c r="G102" i="3"/>
  <c r="F102" i="3"/>
  <c r="E102" i="3"/>
  <c r="H101" i="3"/>
  <c r="G101" i="3"/>
  <c r="F101" i="3"/>
  <c r="E101" i="3"/>
  <c r="H100" i="3"/>
  <c r="G100" i="3"/>
  <c r="F100" i="3"/>
  <c r="E100" i="3"/>
  <c r="H99" i="3"/>
  <c r="G99" i="3"/>
  <c r="F99" i="3"/>
  <c r="E99" i="3"/>
  <c r="H98" i="3"/>
  <c r="G98" i="3"/>
  <c r="F98" i="3"/>
  <c r="E98" i="3"/>
  <c r="H97" i="3"/>
  <c r="G97" i="3"/>
  <c r="F97" i="3"/>
  <c r="E97" i="3"/>
  <c r="H96" i="3"/>
  <c r="G96" i="3"/>
  <c r="F96" i="3"/>
  <c r="E96" i="3"/>
  <c r="H95" i="3"/>
  <c r="G95" i="3"/>
  <c r="F95" i="3"/>
  <c r="E95" i="3"/>
  <c r="H94" i="3"/>
  <c r="G94" i="3"/>
  <c r="F94" i="3"/>
  <c r="E94" i="3"/>
  <c r="H93" i="3"/>
  <c r="G93" i="3"/>
  <c r="F93" i="3"/>
  <c r="E93" i="3"/>
  <c r="H92" i="3"/>
  <c r="G92" i="3"/>
  <c r="F92" i="3"/>
  <c r="E92" i="3"/>
  <c r="H91" i="3"/>
  <c r="G91" i="3"/>
  <c r="F91" i="3"/>
  <c r="E91" i="3"/>
  <c r="H90" i="3"/>
  <c r="G90" i="3"/>
  <c r="F90" i="3"/>
  <c r="E90" i="3"/>
  <c r="H89" i="3"/>
  <c r="G89" i="3"/>
  <c r="F89" i="3"/>
  <c r="E89" i="3"/>
  <c r="H88" i="3"/>
  <c r="G88" i="3"/>
  <c r="F88" i="3"/>
  <c r="E88" i="3"/>
  <c r="H87" i="3"/>
  <c r="G87" i="3"/>
  <c r="F87" i="3"/>
  <c r="E87" i="3"/>
  <c r="H86" i="3"/>
  <c r="G86" i="3"/>
  <c r="F86" i="3"/>
  <c r="E86" i="3"/>
  <c r="H85" i="3"/>
  <c r="G85" i="3"/>
  <c r="F85" i="3"/>
  <c r="E85" i="3"/>
  <c r="H84" i="3"/>
  <c r="G84" i="3"/>
  <c r="F84" i="3"/>
  <c r="E84" i="3"/>
  <c r="H83" i="3"/>
  <c r="G83" i="3"/>
  <c r="F83" i="3"/>
  <c r="E83" i="3"/>
  <c r="H82" i="3"/>
  <c r="G82" i="3"/>
  <c r="F82" i="3"/>
  <c r="E82" i="3"/>
  <c r="H81" i="3"/>
  <c r="G81" i="3"/>
  <c r="F81" i="3"/>
  <c r="E81" i="3"/>
  <c r="H80" i="3"/>
  <c r="G80" i="3"/>
  <c r="F80" i="3"/>
  <c r="E80" i="3"/>
  <c r="H79" i="3"/>
  <c r="G79" i="3"/>
  <c r="F79" i="3"/>
  <c r="E79" i="3"/>
  <c r="H78" i="3"/>
  <c r="G78" i="3"/>
  <c r="F78" i="3"/>
  <c r="E78" i="3"/>
  <c r="H77" i="3"/>
  <c r="G77" i="3"/>
  <c r="F77" i="3"/>
  <c r="E77" i="3"/>
  <c r="H76" i="3"/>
  <c r="G76" i="3"/>
  <c r="F76" i="3"/>
  <c r="E76" i="3"/>
  <c r="H75" i="3"/>
  <c r="G75" i="3"/>
  <c r="F75" i="3"/>
  <c r="E75" i="3"/>
  <c r="H74" i="3"/>
  <c r="G74" i="3"/>
  <c r="F74" i="3"/>
  <c r="E74" i="3"/>
  <c r="H73" i="3"/>
  <c r="G73" i="3"/>
  <c r="F73" i="3"/>
  <c r="E73" i="3"/>
  <c r="H72" i="3"/>
  <c r="G72" i="3"/>
  <c r="F72" i="3"/>
  <c r="E72" i="3"/>
  <c r="H71" i="3"/>
  <c r="G71" i="3"/>
  <c r="F71" i="3"/>
  <c r="E71" i="3"/>
  <c r="H70" i="3"/>
  <c r="G70" i="3"/>
  <c r="F70" i="3"/>
  <c r="E70" i="3"/>
  <c r="H69" i="3"/>
  <c r="G69" i="3"/>
  <c r="F69" i="3"/>
  <c r="E69" i="3"/>
  <c r="H68" i="3"/>
  <c r="G68" i="3"/>
  <c r="F68" i="3"/>
  <c r="E68" i="3"/>
  <c r="H67" i="3"/>
  <c r="G67" i="3"/>
  <c r="F67" i="3"/>
  <c r="E67" i="3"/>
  <c r="H66" i="3"/>
  <c r="G66" i="3"/>
  <c r="F66" i="3"/>
  <c r="E66" i="3"/>
  <c r="H65" i="3"/>
  <c r="G65" i="3"/>
  <c r="F65" i="3"/>
  <c r="E65" i="3"/>
  <c r="H64" i="3"/>
  <c r="G64" i="3"/>
  <c r="F64" i="3"/>
  <c r="E64" i="3"/>
  <c r="H63" i="3"/>
  <c r="G63" i="3"/>
  <c r="F63" i="3"/>
  <c r="E63" i="3"/>
  <c r="H62" i="3"/>
  <c r="G62" i="3"/>
  <c r="F62" i="3"/>
  <c r="E62" i="3"/>
  <c r="H61" i="3"/>
  <c r="G61" i="3"/>
  <c r="F61" i="3"/>
  <c r="E61" i="3"/>
  <c r="H60" i="3"/>
  <c r="G60" i="3"/>
  <c r="F60" i="3"/>
  <c r="E60" i="3"/>
  <c r="H59" i="3"/>
  <c r="G59" i="3"/>
  <c r="F59" i="3"/>
  <c r="E59" i="3"/>
  <c r="H58" i="3"/>
  <c r="G58" i="3"/>
  <c r="F58" i="3"/>
  <c r="E58" i="3"/>
  <c r="H57" i="3"/>
  <c r="G57" i="3"/>
  <c r="F57" i="3"/>
  <c r="E57" i="3"/>
  <c r="H56" i="3"/>
  <c r="G56" i="3"/>
  <c r="F56" i="3"/>
  <c r="E56" i="3"/>
  <c r="H55" i="3"/>
  <c r="G55" i="3"/>
  <c r="F55" i="3"/>
  <c r="E55" i="3"/>
  <c r="H54" i="3"/>
  <c r="G54" i="3"/>
  <c r="F54" i="3"/>
  <c r="E54" i="3"/>
  <c r="H53" i="3"/>
  <c r="G53" i="3"/>
  <c r="F53" i="3"/>
  <c r="E53" i="3"/>
  <c r="H52" i="3"/>
  <c r="G52" i="3"/>
  <c r="F52" i="3"/>
  <c r="E52" i="3"/>
  <c r="H51" i="3"/>
  <c r="G51" i="3"/>
  <c r="F51" i="3"/>
  <c r="E51" i="3"/>
  <c r="H50" i="3"/>
  <c r="G50" i="3"/>
  <c r="F50" i="3"/>
  <c r="E50" i="3"/>
  <c r="H49" i="3"/>
  <c r="G49" i="3"/>
  <c r="F49" i="3"/>
  <c r="E49" i="3"/>
  <c r="H48" i="3"/>
  <c r="G48" i="3"/>
  <c r="F48" i="3"/>
  <c r="E48" i="3"/>
  <c r="H47" i="3"/>
  <c r="G47" i="3"/>
  <c r="F47" i="3"/>
  <c r="E47" i="3"/>
  <c r="H46" i="3"/>
  <c r="G46" i="3"/>
  <c r="F46" i="3"/>
  <c r="E46" i="3"/>
  <c r="H45" i="3"/>
  <c r="G45" i="3"/>
  <c r="F45" i="3"/>
  <c r="E45" i="3"/>
  <c r="H44" i="3"/>
  <c r="G44" i="3"/>
  <c r="F44" i="3"/>
  <c r="E44" i="3"/>
  <c r="H43" i="3"/>
  <c r="G43" i="3"/>
  <c r="F43" i="3"/>
  <c r="E43" i="3"/>
  <c r="H42" i="3"/>
  <c r="G42" i="3"/>
  <c r="F42" i="3"/>
  <c r="E42" i="3"/>
  <c r="H41" i="3"/>
  <c r="G41" i="3"/>
  <c r="F41" i="3"/>
  <c r="E41" i="3"/>
  <c r="H40" i="3"/>
  <c r="G40" i="3"/>
  <c r="F40" i="3"/>
  <c r="E40" i="3"/>
  <c r="H39" i="3"/>
  <c r="G39" i="3"/>
  <c r="F39" i="3"/>
  <c r="E39" i="3"/>
  <c r="H38" i="3"/>
  <c r="G38" i="3"/>
  <c r="F38" i="3"/>
  <c r="E38" i="3"/>
  <c r="H37" i="3"/>
  <c r="G37" i="3"/>
  <c r="F37" i="3"/>
  <c r="E37" i="3"/>
  <c r="H36" i="3"/>
  <c r="G36" i="3"/>
  <c r="F36" i="3"/>
  <c r="E36" i="3"/>
  <c r="H35" i="3"/>
  <c r="G35" i="3"/>
  <c r="F35" i="3"/>
  <c r="E35" i="3"/>
  <c r="H34" i="3"/>
  <c r="G34" i="3"/>
  <c r="F34" i="3"/>
  <c r="E34" i="3"/>
  <c r="H33" i="3"/>
  <c r="G33" i="3"/>
  <c r="F33" i="3"/>
  <c r="E33" i="3"/>
  <c r="H32" i="3"/>
  <c r="G32" i="3"/>
  <c r="F32" i="3"/>
  <c r="E32" i="3"/>
  <c r="H31" i="3"/>
  <c r="G31" i="3"/>
  <c r="F31" i="3"/>
  <c r="E31" i="3"/>
  <c r="H30" i="3"/>
  <c r="G30" i="3"/>
  <c r="F30" i="3"/>
  <c r="E30" i="3"/>
  <c r="H29" i="3"/>
  <c r="G29" i="3"/>
  <c r="F29" i="3"/>
  <c r="E29" i="3"/>
  <c r="H28" i="3"/>
  <c r="G28" i="3"/>
  <c r="F28" i="3"/>
  <c r="E28" i="3"/>
  <c r="H27" i="3"/>
  <c r="G27" i="3"/>
  <c r="F27" i="3"/>
  <c r="E27" i="3"/>
  <c r="H26" i="3"/>
  <c r="G26" i="3"/>
  <c r="F26" i="3"/>
  <c r="E26" i="3"/>
  <c r="H25" i="3"/>
  <c r="G25" i="3"/>
  <c r="F25" i="3"/>
  <c r="E25" i="3"/>
  <c r="H24" i="3"/>
  <c r="G24" i="3"/>
  <c r="F24" i="3"/>
  <c r="E24" i="3"/>
  <c r="H23" i="3"/>
  <c r="G23" i="3"/>
  <c r="F23" i="3"/>
  <c r="E23" i="3"/>
  <c r="H22" i="3"/>
  <c r="G22" i="3"/>
  <c r="F22" i="3"/>
  <c r="E22" i="3"/>
  <c r="H21" i="3"/>
  <c r="G21" i="3"/>
  <c r="F21" i="3"/>
  <c r="E21" i="3"/>
  <c r="H20" i="3"/>
  <c r="G20" i="3"/>
  <c r="F20" i="3"/>
  <c r="E20" i="3"/>
  <c r="H19" i="3"/>
  <c r="G19" i="3"/>
  <c r="F19" i="3"/>
  <c r="E19" i="3"/>
  <c r="H18" i="3"/>
  <c r="G18" i="3"/>
  <c r="F18" i="3"/>
  <c r="E18" i="3"/>
  <c r="H17" i="3"/>
  <c r="G17" i="3"/>
  <c r="F17" i="3"/>
  <c r="E17" i="3"/>
  <c r="H16" i="3"/>
  <c r="G16" i="3"/>
  <c r="F16" i="3"/>
  <c r="E16" i="3"/>
  <c r="S12" i="3"/>
  <c r="R12" i="3"/>
  <c r="Q12" i="3"/>
  <c r="P12" i="3"/>
  <c r="J222" i="2"/>
  <c r="I222" i="2"/>
  <c r="H222" i="2"/>
  <c r="G222" i="2"/>
  <c r="F222" i="2"/>
  <c r="E222" i="2"/>
  <c r="D222" i="2"/>
  <c r="L222" i="2" s="1"/>
  <c r="J221" i="2"/>
  <c r="I221" i="2"/>
  <c r="H221" i="2"/>
  <c r="G221" i="2"/>
  <c r="F221" i="2"/>
  <c r="E221" i="2"/>
  <c r="K221" i="2" s="1"/>
  <c r="D221" i="2"/>
  <c r="L221" i="2" s="1"/>
  <c r="J220" i="2"/>
  <c r="I220" i="2"/>
  <c r="H220" i="2"/>
  <c r="G220" i="2"/>
  <c r="F220" i="2"/>
  <c r="E220" i="2"/>
  <c r="D220" i="2"/>
  <c r="L220" i="2" s="1"/>
  <c r="K219" i="2"/>
  <c r="J219" i="2"/>
  <c r="I219" i="2"/>
  <c r="H219" i="2"/>
  <c r="G219" i="2"/>
  <c r="F219" i="2"/>
  <c r="E219" i="2"/>
  <c r="D219" i="2"/>
  <c r="L219" i="2" s="1"/>
  <c r="L218" i="2"/>
  <c r="J218" i="2"/>
  <c r="I218" i="2"/>
  <c r="H218" i="2"/>
  <c r="G218" i="2"/>
  <c r="F218" i="2"/>
  <c r="E218" i="2"/>
  <c r="D218" i="2"/>
  <c r="K218" i="2" s="1"/>
  <c r="J217" i="2"/>
  <c r="I217" i="2"/>
  <c r="H217" i="2"/>
  <c r="G217" i="2"/>
  <c r="F217" i="2"/>
  <c r="E217" i="2"/>
  <c r="D217" i="2"/>
  <c r="L217" i="2" s="1"/>
  <c r="J216" i="2"/>
  <c r="I216" i="2"/>
  <c r="H216" i="2"/>
  <c r="G216" i="2"/>
  <c r="F216" i="2"/>
  <c r="E216" i="2"/>
  <c r="K216" i="2" s="1"/>
  <c r="D216" i="2"/>
  <c r="L216" i="2" s="1"/>
  <c r="J215" i="2"/>
  <c r="I215" i="2"/>
  <c r="H215" i="2"/>
  <c r="G215" i="2"/>
  <c r="F215" i="2"/>
  <c r="E215" i="2"/>
  <c r="D215" i="2"/>
  <c r="L215" i="2" s="1"/>
  <c r="J214" i="2"/>
  <c r="I214" i="2"/>
  <c r="H214" i="2"/>
  <c r="G214" i="2"/>
  <c r="F214" i="2"/>
  <c r="E214" i="2"/>
  <c r="D214" i="2"/>
  <c r="L214" i="2" s="1"/>
  <c r="J213" i="2"/>
  <c r="I213" i="2"/>
  <c r="H213" i="2"/>
  <c r="G213" i="2"/>
  <c r="F213" i="2"/>
  <c r="E213" i="2"/>
  <c r="K213" i="2" s="1"/>
  <c r="D213" i="2"/>
  <c r="L213" i="2" s="1"/>
  <c r="J212" i="2"/>
  <c r="I212" i="2"/>
  <c r="H212" i="2"/>
  <c r="G212" i="2"/>
  <c r="F212" i="2"/>
  <c r="E212" i="2"/>
  <c r="D212" i="2"/>
  <c r="L212" i="2" s="1"/>
  <c r="K211" i="2"/>
  <c r="J211" i="2"/>
  <c r="I211" i="2"/>
  <c r="H211" i="2"/>
  <c r="G211" i="2"/>
  <c r="F211" i="2"/>
  <c r="E211" i="2"/>
  <c r="D211" i="2"/>
  <c r="L211" i="2" s="1"/>
  <c r="L205" i="2"/>
  <c r="J205" i="2"/>
  <c r="I205" i="2"/>
  <c r="H205" i="2"/>
  <c r="G205" i="2"/>
  <c r="F205" i="2"/>
  <c r="E205" i="2"/>
  <c r="D205" i="2"/>
  <c r="K205" i="2" s="1"/>
  <c r="J204" i="2"/>
  <c r="I204" i="2"/>
  <c r="H204" i="2"/>
  <c r="G204" i="2"/>
  <c r="F204" i="2"/>
  <c r="E204" i="2"/>
  <c r="D204" i="2"/>
  <c r="L204" i="2" s="1"/>
  <c r="J203" i="2"/>
  <c r="I203" i="2"/>
  <c r="H203" i="2"/>
  <c r="G203" i="2"/>
  <c r="F203" i="2"/>
  <c r="E203" i="2"/>
  <c r="K203" i="2" s="1"/>
  <c r="D203" i="2"/>
  <c r="L203" i="2" s="1"/>
  <c r="J202" i="2"/>
  <c r="I202" i="2"/>
  <c r="H202" i="2"/>
  <c r="G202" i="2"/>
  <c r="F202" i="2"/>
  <c r="E202" i="2"/>
  <c r="D202" i="2"/>
  <c r="L202" i="2" s="1"/>
  <c r="J201" i="2"/>
  <c r="I201" i="2"/>
  <c r="H201" i="2"/>
  <c r="G201" i="2"/>
  <c r="F201" i="2"/>
  <c r="E201" i="2"/>
  <c r="D201" i="2"/>
  <c r="L201" i="2" s="1"/>
  <c r="J200" i="2"/>
  <c r="I200" i="2"/>
  <c r="H200" i="2"/>
  <c r="G200" i="2"/>
  <c r="F200" i="2"/>
  <c r="E200" i="2"/>
  <c r="K200" i="2" s="1"/>
  <c r="D200" i="2"/>
  <c r="L200" i="2" s="1"/>
  <c r="J199" i="2"/>
  <c r="I199" i="2"/>
  <c r="H199" i="2"/>
  <c r="G199" i="2"/>
  <c r="F199" i="2"/>
  <c r="E199" i="2"/>
  <c r="D199" i="2"/>
  <c r="L199" i="2" s="1"/>
  <c r="K198" i="2"/>
  <c r="J198" i="2"/>
  <c r="I198" i="2"/>
  <c r="H198" i="2"/>
  <c r="G198" i="2"/>
  <c r="F198" i="2"/>
  <c r="E198" i="2"/>
  <c r="D198" i="2"/>
  <c r="L198" i="2" s="1"/>
  <c r="J197" i="2"/>
  <c r="I197" i="2"/>
  <c r="H197" i="2"/>
  <c r="G197" i="2"/>
  <c r="F197" i="2"/>
  <c r="E197" i="2"/>
  <c r="D197" i="2"/>
  <c r="K197" i="2" s="1"/>
  <c r="J196" i="2"/>
  <c r="I196" i="2"/>
  <c r="H196" i="2"/>
  <c r="G196" i="2"/>
  <c r="F196" i="2"/>
  <c r="E196" i="2"/>
  <c r="D196" i="2"/>
  <c r="L196" i="2" s="1"/>
  <c r="J195" i="2"/>
  <c r="I195" i="2"/>
  <c r="H195" i="2"/>
  <c r="G195" i="2"/>
  <c r="F195" i="2"/>
  <c r="E195" i="2"/>
  <c r="K195" i="2" s="1"/>
  <c r="D195" i="2"/>
  <c r="L195" i="2" s="1"/>
  <c r="J194" i="2"/>
  <c r="I194" i="2"/>
  <c r="H194" i="2"/>
  <c r="G194" i="2"/>
  <c r="F194" i="2"/>
  <c r="E194" i="2"/>
  <c r="D194" i="2"/>
  <c r="L194" i="2" s="1"/>
  <c r="J179" i="2"/>
  <c r="I179" i="2"/>
  <c r="H179" i="2"/>
  <c r="G179" i="2"/>
  <c r="F179" i="2"/>
  <c r="E179" i="2"/>
  <c r="D179" i="2"/>
  <c r="L179" i="2" s="1"/>
  <c r="J178" i="2"/>
  <c r="I178" i="2"/>
  <c r="H178" i="2"/>
  <c r="G178" i="2"/>
  <c r="F178" i="2"/>
  <c r="E178" i="2"/>
  <c r="K178" i="2" s="1"/>
  <c r="D178" i="2"/>
  <c r="L178" i="2" s="1"/>
  <c r="J177" i="2"/>
  <c r="I177" i="2"/>
  <c r="H177" i="2"/>
  <c r="G177" i="2"/>
  <c r="F177" i="2"/>
  <c r="E177" i="2"/>
  <c r="D177" i="2"/>
  <c r="L177" i="2" s="1"/>
  <c r="K176" i="2"/>
  <c r="J176" i="2"/>
  <c r="I176" i="2"/>
  <c r="H176" i="2"/>
  <c r="G176" i="2"/>
  <c r="F176" i="2"/>
  <c r="E176" i="2"/>
  <c r="D176" i="2"/>
  <c r="L176" i="2" s="1"/>
  <c r="L175" i="2"/>
  <c r="J175" i="2"/>
  <c r="I175" i="2"/>
  <c r="H175" i="2"/>
  <c r="G175" i="2"/>
  <c r="F175" i="2"/>
  <c r="E175" i="2"/>
  <c r="D175" i="2"/>
  <c r="K175" i="2" s="1"/>
  <c r="J174" i="2"/>
  <c r="I174" i="2"/>
  <c r="H174" i="2"/>
  <c r="G174" i="2"/>
  <c r="F174" i="2"/>
  <c r="E174" i="2"/>
  <c r="D174" i="2"/>
  <c r="L174" i="2" s="1"/>
  <c r="J173" i="2"/>
  <c r="I173" i="2"/>
  <c r="H173" i="2"/>
  <c r="G173" i="2"/>
  <c r="F173" i="2"/>
  <c r="E173" i="2"/>
  <c r="K173" i="2" s="1"/>
  <c r="D173" i="2"/>
  <c r="L173" i="2" s="1"/>
  <c r="J172" i="2"/>
  <c r="I172" i="2"/>
  <c r="H172" i="2"/>
  <c r="G172" i="2"/>
  <c r="F172" i="2"/>
  <c r="E172" i="2"/>
  <c r="D172" i="2"/>
  <c r="L172" i="2" s="1"/>
  <c r="J171" i="2"/>
  <c r="I171" i="2"/>
  <c r="H171" i="2"/>
  <c r="G171" i="2"/>
  <c r="F171" i="2"/>
  <c r="E171" i="2"/>
  <c r="D171" i="2"/>
  <c r="L171" i="2" s="1"/>
  <c r="J170" i="2"/>
  <c r="I170" i="2"/>
  <c r="H170" i="2"/>
  <c r="G170" i="2"/>
  <c r="F170" i="2"/>
  <c r="E170" i="2"/>
  <c r="K170" i="2" s="1"/>
  <c r="D170" i="2"/>
  <c r="L170" i="2" s="1"/>
  <c r="J169" i="2"/>
  <c r="I169" i="2"/>
  <c r="H169" i="2"/>
  <c r="G169" i="2"/>
  <c r="F169" i="2"/>
  <c r="E169" i="2"/>
  <c r="D169" i="2"/>
  <c r="L169" i="2" s="1"/>
  <c r="K168" i="2"/>
  <c r="J168" i="2"/>
  <c r="I168" i="2"/>
  <c r="H168" i="2"/>
  <c r="G168" i="2"/>
  <c r="F168" i="2"/>
  <c r="E168" i="2"/>
  <c r="D168" i="2"/>
  <c r="L168" i="2" s="1"/>
  <c r="J162" i="2"/>
  <c r="I162" i="2"/>
  <c r="H162" i="2"/>
  <c r="G162" i="2"/>
  <c r="F162" i="2"/>
  <c r="E162" i="2"/>
  <c r="D162" i="2"/>
  <c r="K162" i="2" s="1"/>
  <c r="J161" i="2"/>
  <c r="I161" i="2"/>
  <c r="H161" i="2"/>
  <c r="G161" i="2"/>
  <c r="F161" i="2"/>
  <c r="E161" i="2"/>
  <c r="D161" i="2"/>
  <c r="L161" i="2" s="1"/>
  <c r="J160" i="2"/>
  <c r="I160" i="2"/>
  <c r="H160" i="2"/>
  <c r="G160" i="2"/>
  <c r="F160" i="2"/>
  <c r="E160" i="2"/>
  <c r="K160" i="2" s="1"/>
  <c r="D160" i="2"/>
  <c r="L160" i="2" s="1"/>
  <c r="J159" i="2"/>
  <c r="I159" i="2"/>
  <c r="H159" i="2"/>
  <c r="G159" i="2"/>
  <c r="F159" i="2"/>
  <c r="E159" i="2"/>
  <c r="D159" i="2"/>
  <c r="L159" i="2" s="1"/>
  <c r="J158" i="2"/>
  <c r="I158" i="2"/>
  <c r="H158" i="2"/>
  <c r="G158" i="2"/>
  <c r="F158" i="2"/>
  <c r="E158" i="2"/>
  <c r="D158" i="2"/>
  <c r="L158" i="2" s="1"/>
  <c r="J157" i="2"/>
  <c r="I157" i="2"/>
  <c r="H157" i="2"/>
  <c r="G157" i="2"/>
  <c r="F157" i="2"/>
  <c r="E157" i="2"/>
  <c r="K157" i="2" s="1"/>
  <c r="D157" i="2"/>
  <c r="L157" i="2" s="1"/>
  <c r="J156" i="2"/>
  <c r="I156" i="2"/>
  <c r="H156" i="2"/>
  <c r="G156" i="2"/>
  <c r="F156" i="2"/>
  <c r="E156" i="2"/>
  <c r="D156" i="2"/>
  <c r="L156" i="2" s="1"/>
  <c r="K155" i="2"/>
  <c r="J155" i="2"/>
  <c r="I155" i="2"/>
  <c r="H155" i="2"/>
  <c r="G155" i="2"/>
  <c r="F155" i="2"/>
  <c r="E155" i="2"/>
  <c r="D155" i="2"/>
  <c r="L155" i="2" s="1"/>
  <c r="J154" i="2"/>
  <c r="I154" i="2"/>
  <c r="H154" i="2"/>
  <c r="G154" i="2"/>
  <c r="F154" i="2"/>
  <c r="E154" i="2"/>
  <c r="D154" i="2"/>
  <c r="K154" i="2" s="1"/>
  <c r="J153" i="2"/>
  <c r="I153" i="2"/>
  <c r="H153" i="2"/>
  <c r="G153" i="2"/>
  <c r="F153" i="2"/>
  <c r="E153" i="2"/>
  <c r="D153" i="2"/>
  <c r="L153" i="2" s="1"/>
  <c r="J152" i="2"/>
  <c r="I152" i="2"/>
  <c r="H152" i="2"/>
  <c r="G152" i="2"/>
  <c r="F152" i="2"/>
  <c r="E152" i="2"/>
  <c r="K152" i="2" s="1"/>
  <c r="D152" i="2"/>
  <c r="L152" i="2" s="1"/>
  <c r="J151" i="2"/>
  <c r="I151" i="2"/>
  <c r="H151" i="2"/>
  <c r="G151" i="2"/>
  <c r="F151" i="2"/>
  <c r="E151" i="2"/>
  <c r="D151" i="2"/>
  <c r="L151" i="2" s="1"/>
  <c r="J136" i="2"/>
  <c r="I136" i="2"/>
  <c r="H136" i="2"/>
  <c r="G136" i="2"/>
  <c r="F136" i="2"/>
  <c r="E136" i="2"/>
  <c r="D136" i="2"/>
  <c r="L136" i="2" s="1"/>
  <c r="J135" i="2"/>
  <c r="I135" i="2"/>
  <c r="H135" i="2"/>
  <c r="G135" i="2"/>
  <c r="F135" i="2"/>
  <c r="E135" i="2"/>
  <c r="K135" i="2" s="1"/>
  <c r="D135" i="2"/>
  <c r="L135" i="2" s="1"/>
  <c r="J134" i="2"/>
  <c r="I134" i="2"/>
  <c r="H134" i="2"/>
  <c r="G134" i="2"/>
  <c r="F134" i="2"/>
  <c r="E134" i="2"/>
  <c r="D134" i="2"/>
  <c r="L134" i="2" s="1"/>
  <c r="K133" i="2"/>
  <c r="J133" i="2"/>
  <c r="I133" i="2"/>
  <c r="H133" i="2"/>
  <c r="G133" i="2"/>
  <c r="F133" i="2"/>
  <c r="E133" i="2"/>
  <c r="D133" i="2"/>
  <c r="L133" i="2" s="1"/>
  <c r="J132" i="2"/>
  <c r="I132" i="2"/>
  <c r="H132" i="2"/>
  <c r="G132" i="2"/>
  <c r="F132" i="2"/>
  <c r="E132" i="2"/>
  <c r="D132" i="2"/>
  <c r="K132" i="2" s="1"/>
  <c r="J131" i="2"/>
  <c r="I131" i="2"/>
  <c r="H131" i="2"/>
  <c r="G131" i="2"/>
  <c r="F131" i="2"/>
  <c r="E131" i="2"/>
  <c r="D131" i="2"/>
  <c r="L131" i="2" s="1"/>
  <c r="J130" i="2"/>
  <c r="I130" i="2"/>
  <c r="H130" i="2"/>
  <c r="G130" i="2"/>
  <c r="F130" i="2"/>
  <c r="E130" i="2"/>
  <c r="K130" i="2" s="1"/>
  <c r="D130" i="2"/>
  <c r="L130" i="2" s="1"/>
  <c r="J129" i="2"/>
  <c r="I129" i="2"/>
  <c r="H129" i="2"/>
  <c r="G129" i="2"/>
  <c r="F129" i="2"/>
  <c r="E129" i="2"/>
  <c r="D129" i="2"/>
  <c r="L129" i="2" s="1"/>
  <c r="J128" i="2"/>
  <c r="I128" i="2"/>
  <c r="H128" i="2"/>
  <c r="G128" i="2"/>
  <c r="F128" i="2"/>
  <c r="E128" i="2"/>
  <c r="D128" i="2"/>
  <c r="L128" i="2" s="1"/>
  <c r="J127" i="2"/>
  <c r="I127" i="2"/>
  <c r="H127" i="2"/>
  <c r="G127" i="2"/>
  <c r="F127" i="2"/>
  <c r="E127" i="2"/>
  <c r="K127" i="2" s="1"/>
  <c r="D127" i="2"/>
  <c r="L127" i="2" s="1"/>
  <c r="J126" i="2"/>
  <c r="I126" i="2"/>
  <c r="H126" i="2"/>
  <c r="G126" i="2"/>
  <c r="F126" i="2"/>
  <c r="E126" i="2"/>
  <c r="D126" i="2"/>
  <c r="L126" i="2" s="1"/>
  <c r="K125" i="2"/>
  <c r="J125" i="2"/>
  <c r="I125" i="2"/>
  <c r="H125" i="2"/>
  <c r="G125" i="2"/>
  <c r="F125" i="2"/>
  <c r="E125" i="2"/>
  <c r="D125" i="2"/>
  <c r="L125" i="2" s="1"/>
  <c r="J124" i="2"/>
  <c r="I124" i="2"/>
  <c r="H124" i="2"/>
  <c r="G124" i="2"/>
  <c r="F124" i="2"/>
  <c r="E124" i="2"/>
  <c r="D124" i="2"/>
  <c r="K124" i="2" s="1"/>
  <c r="J118" i="2"/>
  <c r="I118" i="2"/>
  <c r="H118" i="2"/>
  <c r="G118" i="2"/>
  <c r="F118" i="2"/>
  <c r="E118" i="2"/>
  <c r="D118" i="2"/>
  <c r="L118" i="2" s="1"/>
  <c r="J117" i="2"/>
  <c r="I117" i="2"/>
  <c r="H117" i="2"/>
  <c r="G117" i="2"/>
  <c r="F117" i="2"/>
  <c r="E117" i="2"/>
  <c r="K117" i="2" s="1"/>
  <c r="D117" i="2"/>
  <c r="L117" i="2" s="1"/>
  <c r="J116" i="2"/>
  <c r="I116" i="2"/>
  <c r="H116" i="2"/>
  <c r="G116" i="2"/>
  <c r="F116" i="2"/>
  <c r="E116" i="2"/>
  <c r="D116" i="2"/>
  <c r="L116" i="2" s="1"/>
  <c r="J115" i="2"/>
  <c r="I115" i="2"/>
  <c r="H115" i="2"/>
  <c r="G115" i="2"/>
  <c r="F115" i="2"/>
  <c r="E115" i="2"/>
  <c r="D115" i="2"/>
  <c r="L115" i="2" s="1"/>
  <c r="J114" i="2"/>
  <c r="I114" i="2"/>
  <c r="H114" i="2"/>
  <c r="G114" i="2"/>
  <c r="F114" i="2"/>
  <c r="E114" i="2"/>
  <c r="K114" i="2" s="1"/>
  <c r="D114" i="2"/>
  <c r="L114" i="2" s="1"/>
  <c r="J113" i="2"/>
  <c r="I113" i="2"/>
  <c r="H113" i="2"/>
  <c r="G113" i="2"/>
  <c r="F113" i="2"/>
  <c r="E113" i="2"/>
  <c r="D113" i="2"/>
  <c r="L113" i="2" s="1"/>
  <c r="K112" i="2"/>
  <c r="J112" i="2"/>
  <c r="I112" i="2"/>
  <c r="H112" i="2"/>
  <c r="G112" i="2"/>
  <c r="F112" i="2"/>
  <c r="E112" i="2"/>
  <c r="D112" i="2"/>
  <c r="L112" i="2" s="1"/>
  <c r="L111" i="2"/>
  <c r="J111" i="2"/>
  <c r="I111" i="2"/>
  <c r="H111" i="2"/>
  <c r="G111" i="2"/>
  <c r="F111" i="2"/>
  <c r="E111" i="2"/>
  <c r="D111" i="2"/>
  <c r="K111" i="2" s="1"/>
  <c r="J110" i="2"/>
  <c r="I110" i="2"/>
  <c r="H110" i="2"/>
  <c r="G110" i="2"/>
  <c r="F110" i="2"/>
  <c r="E110" i="2"/>
  <c r="D110" i="2"/>
  <c r="L110" i="2" s="1"/>
  <c r="J109" i="2"/>
  <c r="I109" i="2"/>
  <c r="H109" i="2"/>
  <c r="G109" i="2"/>
  <c r="F109" i="2"/>
  <c r="E109" i="2"/>
  <c r="K109" i="2" s="1"/>
  <c r="D109" i="2"/>
  <c r="L109" i="2" s="1"/>
  <c r="J108" i="2"/>
  <c r="I108" i="2"/>
  <c r="H108" i="2"/>
  <c r="G108" i="2"/>
  <c r="F108" i="2"/>
  <c r="E108" i="2"/>
  <c r="D108" i="2"/>
  <c r="L108" i="2" s="1"/>
  <c r="J107" i="2"/>
  <c r="I107" i="2"/>
  <c r="H107" i="2"/>
  <c r="G107" i="2"/>
  <c r="F107" i="2"/>
  <c r="E107" i="2"/>
  <c r="D107" i="2"/>
  <c r="L107" i="2" s="1"/>
  <c r="J106" i="2"/>
  <c r="I106" i="2"/>
  <c r="H106" i="2"/>
  <c r="G106" i="2"/>
  <c r="F106" i="2"/>
  <c r="E106" i="2"/>
  <c r="K106" i="2" s="1"/>
  <c r="D106" i="2"/>
  <c r="L106" i="2" s="1"/>
  <c r="J91" i="2"/>
  <c r="I91" i="2"/>
  <c r="H91" i="2"/>
  <c r="G91" i="2"/>
  <c r="F91" i="2"/>
  <c r="E91" i="2"/>
  <c r="D91" i="2"/>
  <c r="L91" i="2" s="1"/>
  <c r="K90" i="2"/>
  <c r="J90" i="2"/>
  <c r="I90" i="2"/>
  <c r="H90" i="2"/>
  <c r="G90" i="2"/>
  <c r="F90" i="2"/>
  <c r="E90" i="2"/>
  <c r="D90" i="2"/>
  <c r="L90" i="2" s="1"/>
  <c r="J89" i="2"/>
  <c r="I89" i="2"/>
  <c r="H89" i="2"/>
  <c r="G89" i="2"/>
  <c r="F89" i="2"/>
  <c r="E89" i="2"/>
  <c r="D89" i="2"/>
  <c r="K89" i="2" s="1"/>
  <c r="J88" i="2"/>
  <c r="I88" i="2"/>
  <c r="H88" i="2"/>
  <c r="G88" i="2"/>
  <c r="F88" i="2"/>
  <c r="E88" i="2"/>
  <c r="D88" i="2"/>
  <c r="L88" i="2" s="1"/>
  <c r="J87" i="2"/>
  <c r="I87" i="2"/>
  <c r="H87" i="2"/>
  <c r="G87" i="2"/>
  <c r="F87" i="2"/>
  <c r="E87" i="2"/>
  <c r="K87" i="2" s="1"/>
  <c r="D87" i="2"/>
  <c r="L87" i="2" s="1"/>
  <c r="J86" i="2"/>
  <c r="I86" i="2"/>
  <c r="H86" i="2"/>
  <c r="G86" i="2"/>
  <c r="F86" i="2"/>
  <c r="E86" i="2"/>
  <c r="D86" i="2"/>
  <c r="L86" i="2" s="1"/>
  <c r="J85" i="2"/>
  <c r="I85" i="2"/>
  <c r="H85" i="2"/>
  <c r="G85" i="2"/>
  <c r="F85" i="2"/>
  <c r="E85" i="2"/>
  <c r="D85" i="2"/>
  <c r="L85" i="2" s="1"/>
  <c r="J84" i="2"/>
  <c r="I84" i="2"/>
  <c r="H84" i="2"/>
  <c r="G84" i="2"/>
  <c r="F84" i="2"/>
  <c r="E84" i="2"/>
  <c r="K84" i="2" s="1"/>
  <c r="D84" i="2"/>
  <c r="L84" i="2" s="1"/>
  <c r="J83" i="2"/>
  <c r="I83" i="2"/>
  <c r="H83" i="2"/>
  <c r="G83" i="2"/>
  <c r="F83" i="2"/>
  <c r="E83" i="2"/>
  <c r="D83" i="2"/>
  <c r="L83" i="2" s="1"/>
  <c r="K82" i="2"/>
  <c r="J82" i="2"/>
  <c r="I82" i="2"/>
  <c r="H82" i="2"/>
  <c r="G82" i="2"/>
  <c r="F82" i="2"/>
  <c r="E82" i="2"/>
  <c r="D82" i="2"/>
  <c r="L82" i="2" s="1"/>
  <c r="J81" i="2"/>
  <c r="I81" i="2"/>
  <c r="H81" i="2"/>
  <c r="G81" i="2"/>
  <c r="F81" i="2"/>
  <c r="E81" i="2"/>
  <c r="D81" i="2"/>
  <c r="K81" i="2" s="1"/>
  <c r="J80" i="2"/>
  <c r="I80" i="2"/>
  <c r="H80" i="2"/>
  <c r="G80" i="2"/>
  <c r="F80" i="2"/>
  <c r="E80" i="2"/>
  <c r="D80" i="2"/>
  <c r="L80" i="2" s="1"/>
  <c r="J79" i="2"/>
  <c r="I79" i="2"/>
  <c r="H79" i="2"/>
  <c r="G79" i="2"/>
  <c r="F79" i="2"/>
  <c r="E79" i="2"/>
  <c r="K79" i="2" s="1"/>
  <c r="D79" i="2"/>
  <c r="L79" i="2" s="1"/>
  <c r="J73" i="2"/>
  <c r="I73" i="2"/>
  <c r="H73" i="2"/>
  <c r="G73" i="2"/>
  <c r="F73" i="2"/>
  <c r="E73" i="2"/>
  <c r="D73" i="2"/>
  <c r="L73" i="2" s="1"/>
  <c r="J72" i="2"/>
  <c r="I72" i="2"/>
  <c r="H72" i="2"/>
  <c r="G72" i="2"/>
  <c r="F72" i="2"/>
  <c r="E72" i="2"/>
  <c r="D72" i="2"/>
  <c r="L72" i="2" s="1"/>
  <c r="J71" i="2"/>
  <c r="I71" i="2"/>
  <c r="H71" i="2"/>
  <c r="G71" i="2"/>
  <c r="F71" i="2"/>
  <c r="E71" i="2"/>
  <c r="K71" i="2" s="1"/>
  <c r="D71" i="2"/>
  <c r="L71" i="2" s="1"/>
  <c r="J70" i="2"/>
  <c r="I70" i="2"/>
  <c r="H70" i="2"/>
  <c r="G70" i="2"/>
  <c r="F70" i="2"/>
  <c r="E70" i="2"/>
  <c r="D70" i="2"/>
  <c r="L70" i="2" s="1"/>
  <c r="K69" i="2"/>
  <c r="J69" i="2"/>
  <c r="I69" i="2"/>
  <c r="H69" i="2"/>
  <c r="G69" i="2"/>
  <c r="F69" i="2"/>
  <c r="E69" i="2"/>
  <c r="D69" i="2"/>
  <c r="L69" i="2" s="1"/>
  <c r="J68" i="2"/>
  <c r="I68" i="2"/>
  <c r="H68" i="2"/>
  <c r="G68" i="2"/>
  <c r="F68" i="2"/>
  <c r="E68" i="2"/>
  <c r="D68" i="2"/>
  <c r="K68" i="2" s="1"/>
  <c r="J67" i="2"/>
  <c r="I67" i="2"/>
  <c r="H67" i="2"/>
  <c r="G67" i="2"/>
  <c r="F67" i="2"/>
  <c r="E67" i="2"/>
  <c r="D67" i="2"/>
  <c r="L67" i="2" s="1"/>
  <c r="J66" i="2"/>
  <c r="I66" i="2"/>
  <c r="H66" i="2"/>
  <c r="G66" i="2"/>
  <c r="F66" i="2"/>
  <c r="E66" i="2"/>
  <c r="K66" i="2" s="1"/>
  <c r="D66" i="2"/>
  <c r="L66" i="2" s="1"/>
  <c r="J65" i="2"/>
  <c r="I65" i="2"/>
  <c r="H65" i="2"/>
  <c r="G65" i="2"/>
  <c r="F65" i="2"/>
  <c r="E65" i="2"/>
  <c r="D65" i="2"/>
  <c r="L65" i="2" s="1"/>
  <c r="J64" i="2"/>
  <c r="I64" i="2"/>
  <c r="H64" i="2"/>
  <c r="G64" i="2"/>
  <c r="F64" i="2"/>
  <c r="E64" i="2"/>
  <c r="D64" i="2"/>
  <c r="L64" i="2" s="1"/>
  <c r="J63" i="2"/>
  <c r="I63" i="2"/>
  <c r="H63" i="2"/>
  <c r="G63" i="2"/>
  <c r="F63" i="2"/>
  <c r="E63" i="2"/>
  <c r="K63" i="2" s="1"/>
  <c r="D63" i="2"/>
  <c r="L63" i="2" s="1"/>
  <c r="J62" i="2"/>
  <c r="I62" i="2"/>
  <c r="H62" i="2"/>
  <c r="G62" i="2"/>
  <c r="F62" i="2"/>
  <c r="E62" i="2"/>
  <c r="D62" i="2"/>
  <c r="L62" i="2" s="1"/>
  <c r="J61" i="2"/>
  <c r="K61" i="2" s="1"/>
  <c r="I61" i="2"/>
  <c r="H61" i="2"/>
  <c r="G61" i="2"/>
  <c r="F61" i="2"/>
  <c r="E61" i="2"/>
  <c r="D61" i="2"/>
  <c r="L61" i="2" s="1"/>
  <c r="K46" i="2"/>
  <c r="J46" i="2"/>
  <c r="I46" i="2"/>
  <c r="H46" i="2"/>
  <c r="G46" i="2"/>
  <c r="F46" i="2"/>
  <c r="E46" i="2"/>
  <c r="D46" i="2"/>
  <c r="L46" i="2" s="1"/>
  <c r="J45" i="2"/>
  <c r="I45" i="2"/>
  <c r="H45" i="2"/>
  <c r="G45" i="2"/>
  <c r="F45" i="2"/>
  <c r="E45" i="2"/>
  <c r="D45" i="2"/>
  <c r="L45" i="2" s="1"/>
  <c r="J44" i="2"/>
  <c r="I44" i="2"/>
  <c r="H44" i="2"/>
  <c r="G44" i="2"/>
  <c r="F44" i="2"/>
  <c r="E44" i="2"/>
  <c r="K44" i="2" s="1"/>
  <c r="D44" i="2"/>
  <c r="L44" i="2" s="1"/>
  <c r="J43" i="2"/>
  <c r="I43" i="2"/>
  <c r="H43" i="2"/>
  <c r="G43" i="2"/>
  <c r="F43" i="2"/>
  <c r="E43" i="2"/>
  <c r="D43" i="2"/>
  <c r="L43" i="2" s="1"/>
  <c r="J42" i="2"/>
  <c r="I42" i="2"/>
  <c r="H42" i="2"/>
  <c r="G42" i="2"/>
  <c r="F42" i="2"/>
  <c r="E42" i="2"/>
  <c r="D42" i="2"/>
  <c r="L42" i="2" s="1"/>
  <c r="J41" i="2"/>
  <c r="I41" i="2"/>
  <c r="H41" i="2"/>
  <c r="G41" i="2"/>
  <c r="F41" i="2"/>
  <c r="E41" i="2"/>
  <c r="K41" i="2" s="1"/>
  <c r="D41" i="2"/>
  <c r="L41" i="2" s="1"/>
  <c r="J40" i="2"/>
  <c r="I40" i="2"/>
  <c r="H40" i="2"/>
  <c r="G40" i="2"/>
  <c r="F40" i="2"/>
  <c r="E40" i="2"/>
  <c r="D40" i="2"/>
  <c r="L40" i="2" s="1"/>
  <c r="J39" i="2"/>
  <c r="K39" i="2" s="1"/>
  <c r="I39" i="2"/>
  <c r="H39" i="2"/>
  <c r="G39" i="2"/>
  <c r="F39" i="2"/>
  <c r="E39" i="2"/>
  <c r="D39" i="2"/>
  <c r="L39" i="2" s="1"/>
  <c r="K38" i="2"/>
  <c r="J38" i="2"/>
  <c r="I38" i="2"/>
  <c r="H38" i="2"/>
  <c r="G38" i="2"/>
  <c r="F38" i="2"/>
  <c r="E38" i="2"/>
  <c r="D38" i="2"/>
  <c r="L38" i="2" s="1"/>
  <c r="J37" i="2"/>
  <c r="I37" i="2"/>
  <c r="H37" i="2"/>
  <c r="G37" i="2"/>
  <c r="F37" i="2"/>
  <c r="E37" i="2"/>
  <c r="D37" i="2"/>
  <c r="L37" i="2" s="1"/>
  <c r="J36" i="2"/>
  <c r="I36" i="2"/>
  <c r="H36" i="2"/>
  <c r="G36" i="2"/>
  <c r="F36" i="2"/>
  <c r="E36" i="2"/>
  <c r="K36" i="2" s="1"/>
  <c r="D36" i="2"/>
  <c r="L36" i="2" s="1"/>
  <c r="J35" i="2"/>
  <c r="I35" i="2"/>
  <c r="H35" i="2"/>
  <c r="G35" i="2"/>
  <c r="F35" i="2"/>
  <c r="E35" i="2"/>
  <c r="D35" i="2"/>
  <c r="L35" i="2" s="1"/>
  <c r="J34" i="2"/>
  <c r="I34" i="2"/>
  <c r="H34" i="2"/>
  <c r="G34" i="2"/>
  <c r="F34" i="2"/>
  <c r="E34" i="2"/>
  <c r="D34" i="2"/>
  <c r="L34" i="2" s="1"/>
  <c r="J28" i="2"/>
  <c r="I28" i="2"/>
  <c r="H28" i="2"/>
  <c r="G28" i="2"/>
  <c r="F28" i="2"/>
  <c r="E28" i="2"/>
  <c r="K28" i="2" s="1"/>
  <c r="D28" i="2"/>
  <c r="L28" i="2" s="1"/>
  <c r="J27" i="2"/>
  <c r="I27" i="2"/>
  <c r="H27" i="2"/>
  <c r="G27" i="2"/>
  <c r="F27" i="2"/>
  <c r="E27" i="2"/>
  <c r="D27" i="2"/>
  <c r="L27" i="2" s="1"/>
  <c r="J26" i="2"/>
  <c r="K26" i="2" s="1"/>
  <c r="I26" i="2"/>
  <c r="H26" i="2"/>
  <c r="G26" i="2"/>
  <c r="F26" i="2"/>
  <c r="E26" i="2"/>
  <c r="D26" i="2"/>
  <c r="L26" i="2" s="1"/>
  <c r="K25" i="2"/>
  <c r="J25" i="2"/>
  <c r="I25" i="2"/>
  <c r="H25" i="2"/>
  <c r="G25" i="2"/>
  <c r="F25" i="2"/>
  <c r="E25" i="2"/>
  <c r="D25" i="2"/>
  <c r="L25" i="2" s="1"/>
  <c r="J24" i="2"/>
  <c r="I24" i="2"/>
  <c r="H24" i="2"/>
  <c r="G24" i="2"/>
  <c r="F24" i="2"/>
  <c r="E24" i="2"/>
  <c r="D24" i="2"/>
  <c r="K24" i="2" s="1"/>
  <c r="J23" i="2"/>
  <c r="I23" i="2"/>
  <c r="H23" i="2"/>
  <c r="G23" i="2"/>
  <c r="F23" i="2"/>
  <c r="E23" i="2"/>
  <c r="K23" i="2" s="1"/>
  <c r="D23" i="2"/>
  <c r="L23" i="2" s="1"/>
  <c r="J22" i="2"/>
  <c r="I22" i="2"/>
  <c r="H22" i="2"/>
  <c r="G22" i="2"/>
  <c r="K22" i="2" s="1"/>
  <c r="F22" i="2"/>
  <c r="E22" i="2"/>
  <c r="D22" i="2"/>
  <c r="L22" i="2" s="1"/>
  <c r="J21" i="2"/>
  <c r="I21" i="2"/>
  <c r="H21" i="2"/>
  <c r="G21" i="2"/>
  <c r="F21" i="2"/>
  <c r="E21" i="2"/>
  <c r="D21" i="2"/>
  <c r="L21" i="2" s="1"/>
  <c r="J20" i="2"/>
  <c r="I20" i="2"/>
  <c r="H20" i="2"/>
  <c r="G20" i="2"/>
  <c r="F20" i="2"/>
  <c r="E20" i="2"/>
  <c r="K20" i="2" s="1"/>
  <c r="D20" i="2"/>
  <c r="L20" i="2" s="1"/>
  <c r="J19" i="2"/>
  <c r="I19" i="2"/>
  <c r="H19" i="2"/>
  <c r="G19" i="2"/>
  <c r="F19" i="2"/>
  <c r="E19" i="2"/>
  <c r="D19" i="2"/>
  <c r="L19" i="2" s="1"/>
  <c r="J18" i="2"/>
  <c r="K18" i="2" s="1"/>
  <c r="I18" i="2"/>
  <c r="H18" i="2"/>
  <c r="G18" i="2"/>
  <c r="F18" i="2"/>
  <c r="E18" i="2"/>
  <c r="D18" i="2"/>
  <c r="L18" i="2" s="1"/>
  <c r="K17" i="2"/>
  <c r="J17" i="2"/>
  <c r="I17" i="2"/>
  <c r="H17" i="2"/>
  <c r="G17" i="2"/>
  <c r="F17" i="2"/>
  <c r="E17" i="2"/>
  <c r="D17" i="2"/>
  <c r="L17" i="2" s="1"/>
  <c r="J16" i="2"/>
  <c r="I16" i="2"/>
  <c r="H16" i="2"/>
  <c r="G16" i="2"/>
  <c r="F16" i="2"/>
  <c r="E16" i="2"/>
  <c r="D16" i="2"/>
  <c r="K16" i="2" s="1"/>
  <c r="L68" i="2" l="1"/>
  <c r="L81" i="2"/>
  <c r="L89" i="2"/>
  <c r="L197" i="2"/>
  <c r="K19" i="2"/>
  <c r="K27" i="2"/>
  <c r="K40" i="2"/>
  <c r="K62" i="2"/>
  <c r="K70" i="2"/>
  <c r="K83" i="2"/>
  <c r="K91" i="2"/>
  <c r="K113" i="2"/>
  <c r="K126" i="2"/>
  <c r="K134" i="2"/>
  <c r="K156" i="2"/>
  <c r="K169" i="2"/>
  <c r="K177" i="2"/>
  <c r="K199" i="2"/>
  <c r="K212" i="2"/>
  <c r="K220" i="2"/>
  <c r="L124" i="2"/>
  <c r="L16" i="2"/>
  <c r="L24" i="2"/>
  <c r="L154" i="2"/>
  <c r="K21" i="2"/>
  <c r="K34" i="2"/>
  <c r="K42" i="2"/>
  <c r="K64" i="2"/>
  <c r="K72" i="2"/>
  <c r="K85" i="2"/>
  <c r="K107" i="2"/>
  <c r="K115" i="2"/>
  <c r="K128" i="2"/>
  <c r="K136" i="2"/>
  <c r="K158" i="2"/>
  <c r="K171" i="2"/>
  <c r="K179" i="2"/>
  <c r="K201" i="2"/>
  <c r="K214" i="2"/>
  <c r="K222" i="2"/>
  <c r="K35" i="2"/>
  <c r="K43" i="2"/>
  <c r="K65" i="2"/>
  <c r="K73" i="2"/>
  <c r="K86" i="2"/>
  <c r="K108" i="2"/>
  <c r="K116" i="2"/>
  <c r="K129" i="2"/>
  <c r="K151" i="2"/>
  <c r="K159" i="2"/>
  <c r="K172" i="2"/>
  <c r="K194" i="2"/>
  <c r="K202" i="2"/>
  <c r="K215" i="2"/>
  <c r="L132" i="2"/>
  <c r="L162" i="2"/>
  <c r="K37" i="2"/>
  <c r="K45" i="2"/>
  <c r="K67" i="2"/>
  <c r="K80" i="2"/>
  <c r="K88" i="2"/>
  <c r="K110" i="2"/>
  <c r="K118" i="2"/>
  <c r="K131" i="2"/>
  <c r="K153" i="2"/>
  <c r="K161" i="2"/>
  <c r="K174" i="2"/>
  <c r="K196" i="2"/>
  <c r="K204" i="2"/>
  <c r="K217" i="2"/>
</calcChain>
</file>

<file path=xl/sharedStrings.xml><?xml version="1.0" encoding="utf-8"?>
<sst xmlns="http://schemas.openxmlformats.org/spreadsheetml/2006/main" count="168" uniqueCount="60">
  <si>
    <t>Bobj Array</t>
  </si>
  <si>
    <t>Span Array</t>
  </si>
  <si>
    <t>Girder Array for each span</t>
  </si>
  <si>
    <t>Station Array for each span</t>
  </si>
  <si>
    <t>Output Case Array</t>
  </si>
  <si>
    <t>DLA</t>
  </si>
  <si>
    <t>FT,M</t>
  </si>
  <si>
    <t>FT,V</t>
  </si>
  <si>
    <t>Frame 1 Moment Table</t>
  </si>
  <si>
    <t>Factors</t>
  </si>
  <si>
    <t>Stations</t>
  </si>
  <si>
    <t>BARRIER</t>
  </si>
  <si>
    <t>CL-625-ON (Max)</t>
  </si>
  <si>
    <t>CL-625-ON (Min)</t>
  </si>
  <si>
    <t>DEAD</t>
  </si>
  <si>
    <t>SAFTEY_CURB</t>
  </si>
  <si>
    <t>SIDEWALK</t>
  </si>
  <si>
    <t>WEARING_SURFACE</t>
  </si>
  <si>
    <t>TOTAL (Max)</t>
  </si>
  <si>
    <t>TOTAL (Min)</t>
  </si>
  <si>
    <t>Frame 1 Shear Table</t>
  </si>
  <si>
    <t>Frame 2 Moment Table</t>
  </si>
  <si>
    <t>Frame 2 Shear Table</t>
  </si>
  <si>
    <t>Frame 3 Moment Table</t>
  </si>
  <si>
    <t>Frame 3 Shear Table</t>
  </si>
  <si>
    <t>Frame 4 Moment Table</t>
  </si>
  <si>
    <t>Frame 4 Shear Table</t>
  </si>
  <si>
    <t>Frame 5 Moment Table</t>
  </si>
  <si>
    <t>Frame 5 Shear Table</t>
  </si>
  <si>
    <t>Left Exterior Girder</t>
  </si>
  <si>
    <t>Interior Girder 1</t>
  </si>
  <si>
    <t>Interior Girder 2</t>
  </si>
  <si>
    <t>Interior Girder 3</t>
  </si>
  <si>
    <t>Right Exterior Girder</t>
  </si>
  <si>
    <t>Input Station</t>
  </si>
  <si>
    <t>X</t>
  </si>
  <si>
    <t>Location</t>
  </si>
  <si>
    <t>Station</t>
  </si>
  <si>
    <t>Max M</t>
  </si>
  <si>
    <t>Min M</t>
  </si>
  <si>
    <t>Max V</t>
  </si>
  <si>
    <t>Min V</t>
  </si>
  <si>
    <t>X1</t>
  </si>
  <si>
    <t>X2</t>
  </si>
  <si>
    <t>Frame</t>
  </si>
  <si>
    <t>Moment (Max)</t>
  </si>
  <si>
    <t>Moment (Min)</t>
  </si>
  <si>
    <t>Shear (Max)</t>
  </si>
  <si>
    <t>Shear (Min)</t>
  </si>
  <si>
    <t>Features:</t>
  </si>
  <si>
    <t>Create Envelopes</t>
  </si>
  <si>
    <t>Analyze by Span and Girder</t>
  </si>
  <si>
    <t>Create summary tables for each span</t>
  </si>
  <si>
    <t>go through table 1 by and sort into various arrays</t>
  </si>
  <si>
    <t>go through table 1 by 1 and sort into various excel tables</t>
  </si>
  <si>
    <t>create pivot table and extract that data (not ideal)</t>
  </si>
  <si>
    <t>(probably the fastest,)</t>
  </si>
  <si>
    <t>Determine ALL meta data first (boj,spans,girders,stations,cases)</t>
  </si>
  <si>
    <t>(would have to have two massive loops? Maybe can paste straight from arrays. lots of memeory usage)</t>
  </si>
  <si>
    <t>go through table 1 by 1 sort into intermediate arrya sand then sort into tables (combo of 1 and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</si>
</sst>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4" borderId="0" xfId="0" applyFont="1" applyFill="1"/>
    <xf numFmtId="0" fontId="1" fillId="0" borderId="0" xfId="0" applyFont="1"/>
    <xf numFmtId="0" fontId="1" fillId="5" borderId="1" xfId="0" applyFont="1" applyFill="1" applyBorder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1'!$C$16:$C$28</c:f>
              <c:numCache>
                <c:formatCode>General</c:formatCode>
                <c:ptCount val="13"/>
                <c:pt idx="0">
                  <c:v>0</c:v>
                </c:pt>
                <c:pt idx="1">
                  <c:v>0.48237999999999998</c:v>
                </c:pt>
                <c:pt idx="2">
                  <c:v>0.96475</c:v>
                </c:pt>
                <c:pt idx="3">
                  <c:v>1.44713</c:v>
                </c:pt>
                <c:pt idx="4">
                  <c:v>1.5692299999999999</c:v>
                </c:pt>
                <c:pt idx="5">
                  <c:v>1.9295</c:v>
                </c:pt>
                <c:pt idx="6">
                  <c:v>2.41188</c:v>
                </c:pt>
                <c:pt idx="7">
                  <c:v>2.68154</c:v>
                </c:pt>
                <c:pt idx="8">
                  <c:v>2.89425</c:v>
                </c:pt>
                <c:pt idx="9">
                  <c:v>3.37663</c:v>
                </c:pt>
                <c:pt idx="10">
                  <c:v>3.7938399999999999</c:v>
                </c:pt>
                <c:pt idx="11">
                  <c:v>3.859</c:v>
                </c:pt>
                <c:pt idx="12">
                  <c:v>3.86</c:v>
                </c:pt>
              </c:numCache>
            </c:numRef>
          </c:xVal>
          <c:yVal>
            <c:numRef>
              <c:f>'[1]Simplified Analysis 1'!$K$16:$K$28</c:f>
              <c:numCache>
                <c:formatCode>General</c:formatCode>
                <c:ptCount val="13"/>
                <c:pt idx="0">
                  <c:v>-2.1315000000000002E-14</c:v>
                </c:pt>
                <c:pt idx="1">
                  <c:v>167.07490000000001</c:v>
                </c:pt>
                <c:pt idx="2">
                  <c:v>309.3938</c:v>
                </c:pt>
                <c:pt idx="3">
                  <c:v>427.6789</c:v>
                </c:pt>
                <c:pt idx="4">
                  <c:v>444.92919999999998</c:v>
                </c:pt>
                <c:pt idx="5">
                  <c:v>522.74770000000001</c:v>
                </c:pt>
                <c:pt idx="6">
                  <c:v>597.00130000000001</c:v>
                </c:pt>
                <c:pt idx="7">
                  <c:v>619.37139999999999</c:v>
                </c:pt>
                <c:pt idx="8">
                  <c:v>656.96069999999997</c:v>
                </c:pt>
                <c:pt idx="9">
                  <c:v>698.89570000000015</c:v>
                </c:pt>
                <c:pt idx="10">
                  <c:v>713.73629999999991</c:v>
                </c:pt>
                <c:pt idx="11">
                  <c:v>723.64739999999983</c:v>
                </c:pt>
                <c:pt idx="12">
                  <c:v>723.65909999999997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98256"/>
        <c:axId val="1536110224"/>
      </c:scatterChart>
      <c:valAx>
        <c:axId val="15360982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10224"/>
        <c:crosses val="autoZero"/>
        <c:crossBetween val="midCat"/>
      </c:valAx>
      <c:valAx>
        <c:axId val="15361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1'!$C$211:$C$222</c:f>
              <c:numCache>
                <c:formatCode>General</c:formatCode>
                <c:ptCount val="12"/>
                <c:pt idx="0">
                  <c:v>0</c:v>
                </c:pt>
                <c:pt idx="1">
                  <c:v>0.47525000000000001</c:v>
                </c:pt>
                <c:pt idx="2">
                  <c:v>0.76200000000000001</c:v>
                </c:pt>
                <c:pt idx="3">
                  <c:v>0.95150000000000001</c:v>
                </c:pt>
                <c:pt idx="4">
                  <c:v>1.4277500000000001</c:v>
                </c:pt>
                <c:pt idx="5">
                  <c:v>1.9039999999999999</c:v>
                </c:pt>
                <c:pt idx="6">
                  <c:v>2.286</c:v>
                </c:pt>
                <c:pt idx="7">
                  <c:v>2.3802500000000002</c:v>
                </c:pt>
                <c:pt idx="8">
                  <c:v>2.8565</c:v>
                </c:pt>
                <c:pt idx="9">
                  <c:v>3.3327499999999999</c:v>
                </c:pt>
                <c:pt idx="10">
                  <c:v>3.8090000000000002</c:v>
                </c:pt>
                <c:pt idx="11">
                  <c:v>3.81</c:v>
                </c:pt>
              </c:numCache>
            </c:numRef>
          </c:xVal>
          <c:yVal>
            <c:numRef>
              <c:f>'[1]Simplified Analysis 1'!$K$211:$K$222</c:f>
              <c:numCache>
                <c:formatCode>General</c:formatCode>
                <c:ptCount val="12"/>
                <c:pt idx="0">
                  <c:v>-20.953000000000003</c:v>
                </c:pt>
                <c:pt idx="1">
                  <c:v>-0.94699999999999918</c:v>
                </c:pt>
                <c:pt idx="2">
                  <c:v>4.9030000000000022</c:v>
                </c:pt>
                <c:pt idx="3">
                  <c:v>19.114000000000004</c:v>
                </c:pt>
                <c:pt idx="4">
                  <c:v>40.182000000000009</c:v>
                </c:pt>
                <c:pt idx="5">
                  <c:v>61.476000000000013</c:v>
                </c:pt>
                <c:pt idx="6">
                  <c:v>68.666000000000011</c:v>
                </c:pt>
                <c:pt idx="7">
                  <c:v>82.887999999999991</c:v>
                </c:pt>
                <c:pt idx="8">
                  <c:v>104.456</c:v>
                </c:pt>
                <c:pt idx="9">
                  <c:v>126.14300000000001</c:v>
                </c:pt>
                <c:pt idx="10">
                  <c:v>147.85745509999998</c:v>
                </c:pt>
                <c:pt idx="11">
                  <c:v>147.87573447999998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00432"/>
        <c:axId val="1536102064"/>
      </c:scatterChart>
      <c:valAx>
        <c:axId val="15361004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2064"/>
        <c:crosses val="autoZero"/>
        <c:crossBetween val="midCat"/>
      </c:valAx>
      <c:valAx>
        <c:axId val="15361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Simplified Analysis Moments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 Moment</c:v>
          </c:tx>
          <c:marker>
            <c:symbol val="none"/>
          </c:marker>
          <c:dPt>
            <c:idx val="40"/>
            <c:bubble3D val="0"/>
          </c:dPt>
          <c:dPt>
            <c:idx val="70"/>
            <c:marker>
              <c:symbol val="diamond"/>
              <c:size val="10"/>
              <c:spPr>
                <a:solidFill>
                  <a:srgbClr val="FF0000"/>
                </a:solidFill>
              </c:spPr>
            </c:marker>
            <c:bubble3D val="0"/>
          </c:dPt>
          <c:dPt>
            <c:idx val="124"/>
            <c:bubble3D val="0"/>
          </c:dPt>
          <c:xVal>
            <c:numRef>
              <c:f>'[1]Simplfied Analysis 2'!$D$16:$D$140</c:f>
              <c:numCache>
                <c:formatCode>General</c:formatCode>
                <c:ptCount val="125"/>
                <c:pt idx="0">
                  <c:v>0</c:v>
                </c:pt>
                <c:pt idx="1">
                  <c:v>0.48237999999999998</c:v>
                </c:pt>
                <c:pt idx="2">
                  <c:v>0.96475</c:v>
                </c:pt>
                <c:pt idx="3">
                  <c:v>1.44713</c:v>
                </c:pt>
                <c:pt idx="4">
                  <c:v>1.5692299999999999</c:v>
                </c:pt>
                <c:pt idx="5">
                  <c:v>1.9295</c:v>
                </c:pt>
                <c:pt idx="6">
                  <c:v>2.41188</c:v>
                </c:pt>
                <c:pt idx="7">
                  <c:v>2.68154</c:v>
                </c:pt>
                <c:pt idx="8">
                  <c:v>2.89425</c:v>
                </c:pt>
                <c:pt idx="9">
                  <c:v>3.37663</c:v>
                </c:pt>
                <c:pt idx="10">
                  <c:v>3.7938399999999999</c:v>
                </c:pt>
                <c:pt idx="11">
                  <c:v>3.859</c:v>
                </c:pt>
                <c:pt idx="12">
                  <c:v>3.86</c:v>
                </c:pt>
                <c:pt idx="13">
                  <c:v>3.86</c:v>
                </c:pt>
                <c:pt idx="14">
                  <c:v>4.3414999999999999</c:v>
                </c:pt>
                <c:pt idx="15">
                  <c:v>4.8239999999999998</c:v>
                </c:pt>
                <c:pt idx="16">
                  <c:v>4.9061500000000002</c:v>
                </c:pt>
                <c:pt idx="17">
                  <c:v>5.3064999999999998</c:v>
                </c:pt>
                <c:pt idx="18">
                  <c:v>5.7889999999999997</c:v>
                </c:pt>
                <c:pt idx="19">
                  <c:v>6.0184599999999993</c:v>
                </c:pt>
                <c:pt idx="20">
                  <c:v>6.2714999999999996</c:v>
                </c:pt>
                <c:pt idx="21">
                  <c:v>6.7539999999999996</c:v>
                </c:pt>
                <c:pt idx="22">
                  <c:v>7.1307700000000001</c:v>
                </c:pt>
                <c:pt idx="23">
                  <c:v>7.2364999999999995</c:v>
                </c:pt>
                <c:pt idx="24">
                  <c:v>7.7189999999999994</c:v>
                </c:pt>
                <c:pt idx="25">
                  <c:v>7.72</c:v>
                </c:pt>
                <c:pt idx="26">
                  <c:v>7.72</c:v>
                </c:pt>
                <c:pt idx="27">
                  <c:v>8.2014999999999993</c:v>
                </c:pt>
                <c:pt idx="28">
                  <c:v>8.2430799999999991</c:v>
                </c:pt>
                <c:pt idx="29">
                  <c:v>8.6839999999999993</c:v>
                </c:pt>
                <c:pt idx="30">
                  <c:v>9.1664999999999992</c:v>
                </c:pt>
                <c:pt idx="31">
                  <c:v>9.3553800000000003</c:v>
                </c:pt>
                <c:pt idx="32">
                  <c:v>9.6489999999999991</c:v>
                </c:pt>
                <c:pt idx="33">
                  <c:v>10.131499999999999</c:v>
                </c:pt>
                <c:pt idx="34">
                  <c:v>10.467689999999999</c:v>
                </c:pt>
                <c:pt idx="35">
                  <c:v>10.614000000000001</c:v>
                </c:pt>
                <c:pt idx="36">
                  <c:v>11.096499999999999</c:v>
                </c:pt>
                <c:pt idx="37">
                  <c:v>11.579000000000001</c:v>
                </c:pt>
                <c:pt idx="38">
                  <c:v>11.58</c:v>
                </c:pt>
                <c:pt idx="39">
                  <c:v>11.58</c:v>
                </c:pt>
                <c:pt idx="40">
                  <c:v>12.055250000000001</c:v>
                </c:pt>
                <c:pt idx="41">
                  <c:v>12.531499999999999</c:v>
                </c:pt>
                <c:pt idx="42">
                  <c:v>13.00775</c:v>
                </c:pt>
                <c:pt idx="43">
                  <c:v>13.103999999999999</c:v>
                </c:pt>
                <c:pt idx="44">
                  <c:v>13.484</c:v>
                </c:pt>
                <c:pt idx="45">
                  <c:v>13.96025</c:v>
                </c:pt>
                <c:pt idx="46">
                  <c:v>14.436500000000001</c:v>
                </c:pt>
                <c:pt idx="47">
                  <c:v>14.628</c:v>
                </c:pt>
                <c:pt idx="48">
                  <c:v>14.912749999999999</c:v>
                </c:pt>
                <c:pt idx="49">
                  <c:v>15.388999999999999</c:v>
                </c:pt>
                <c:pt idx="50">
                  <c:v>15.39</c:v>
                </c:pt>
                <c:pt idx="51">
                  <c:v>15.39</c:v>
                </c:pt>
                <c:pt idx="52">
                  <c:v>15.865250000000001</c:v>
                </c:pt>
                <c:pt idx="53">
                  <c:v>16.152000000000001</c:v>
                </c:pt>
                <c:pt idx="54">
                  <c:v>16.3415</c:v>
                </c:pt>
                <c:pt idx="55">
                  <c:v>16.81775</c:v>
                </c:pt>
                <c:pt idx="56">
                  <c:v>17.294</c:v>
                </c:pt>
                <c:pt idx="57">
                  <c:v>17.676000000000002</c:v>
                </c:pt>
                <c:pt idx="58">
                  <c:v>17.770250000000001</c:v>
                </c:pt>
                <c:pt idx="59">
                  <c:v>18.246500000000001</c:v>
                </c:pt>
                <c:pt idx="60">
                  <c:v>18.722750000000001</c:v>
                </c:pt>
                <c:pt idx="61">
                  <c:v>19.199000000000002</c:v>
                </c:pt>
                <c:pt idx="62">
                  <c:v>19.2</c:v>
                </c:pt>
                <c:pt idx="63">
                  <c:v>19.2</c:v>
                </c:pt>
                <c:pt idx="64">
                  <c:v>19.675249999999998</c:v>
                </c:pt>
                <c:pt idx="65">
                  <c:v>20.151499999999999</c:v>
                </c:pt>
                <c:pt idx="66">
                  <c:v>20.627749999999999</c:v>
                </c:pt>
                <c:pt idx="67">
                  <c:v>20.724</c:v>
                </c:pt>
                <c:pt idx="68">
                  <c:v>21.103999999999999</c:v>
                </c:pt>
                <c:pt idx="69">
                  <c:v>21.580249999999999</c:v>
                </c:pt>
                <c:pt idx="70">
                  <c:v>22.0565</c:v>
                </c:pt>
                <c:pt idx="71">
                  <c:v>22.247999999999998</c:v>
                </c:pt>
                <c:pt idx="72">
                  <c:v>22.53275</c:v>
                </c:pt>
                <c:pt idx="73">
                  <c:v>23.009</c:v>
                </c:pt>
                <c:pt idx="74">
                  <c:v>23.009999999999998</c:v>
                </c:pt>
                <c:pt idx="75">
                  <c:v>23.009999999999998</c:v>
                </c:pt>
                <c:pt idx="76">
                  <c:v>23.485249999999997</c:v>
                </c:pt>
                <c:pt idx="77">
                  <c:v>23.771999999999998</c:v>
                </c:pt>
                <c:pt idx="78">
                  <c:v>23.961499999999997</c:v>
                </c:pt>
                <c:pt idx="79">
                  <c:v>24.437749999999998</c:v>
                </c:pt>
                <c:pt idx="80">
                  <c:v>24.913999999999998</c:v>
                </c:pt>
                <c:pt idx="81">
                  <c:v>25.295999999999999</c:v>
                </c:pt>
                <c:pt idx="82">
                  <c:v>25.390249999999998</c:v>
                </c:pt>
                <c:pt idx="83">
                  <c:v>25.866499999999998</c:v>
                </c:pt>
                <c:pt idx="84">
                  <c:v>26.342749999999999</c:v>
                </c:pt>
                <c:pt idx="85">
                  <c:v>26.818999999999999</c:v>
                </c:pt>
                <c:pt idx="86">
                  <c:v>26.819999999999997</c:v>
                </c:pt>
                <c:pt idx="87">
                  <c:v>26.819999999999997</c:v>
                </c:pt>
                <c:pt idx="88">
                  <c:v>27.301499999999997</c:v>
                </c:pt>
                <c:pt idx="89">
                  <c:v>27.783999999999995</c:v>
                </c:pt>
                <c:pt idx="90">
                  <c:v>27.932309999999998</c:v>
                </c:pt>
                <c:pt idx="91">
                  <c:v>28.266499999999997</c:v>
                </c:pt>
                <c:pt idx="92">
                  <c:v>28.748999999999995</c:v>
                </c:pt>
                <c:pt idx="93">
                  <c:v>29.044619999999995</c:v>
                </c:pt>
                <c:pt idx="94">
                  <c:v>29.231499999999997</c:v>
                </c:pt>
                <c:pt idx="95">
                  <c:v>29.713999999999999</c:v>
                </c:pt>
                <c:pt idx="96">
                  <c:v>30.156919999999996</c:v>
                </c:pt>
                <c:pt idx="97">
                  <c:v>30.196499999999997</c:v>
                </c:pt>
                <c:pt idx="98">
                  <c:v>30.678999999999995</c:v>
                </c:pt>
                <c:pt idx="99">
                  <c:v>30.679999999999996</c:v>
                </c:pt>
                <c:pt idx="100">
                  <c:v>30.679999999999996</c:v>
                </c:pt>
                <c:pt idx="101">
                  <c:v>31.161499999999997</c:v>
                </c:pt>
                <c:pt idx="102">
                  <c:v>31.269229999999997</c:v>
                </c:pt>
                <c:pt idx="103">
                  <c:v>31.643999999999995</c:v>
                </c:pt>
                <c:pt idx="104">
                  <c:v>32.126499999999993</c:v>
                </c:pt>
                <c:pt idx="105">
                  <c:v>32.381539999999994</c:v>
                </c:pt>
                <c:pt idx="106">
                  <c:v>32.608999999999995</c:v>
                </c:pt>
                <c:pt idx="107">
                  <c:v>33.091499999999996</c:v>
                </c:pt>
                <c:pt idx="108">
                  <c:v>33.493849999999995</c:v>
                </c:pt>
                <c:pt idx="109">
                  <c:v>33.573999999999998</c:v>
                </c:pt>
                <c:pt idx="110">
                  <c:v>34.0565</c:v>
                </c:pt>
                <c:pt idx="111">
                  <c:v>34.538999999999994</c:v>
                </c:pt>
                <c:pt idx="112">
                  <c:v>34.54</c:v>
                </c:pt>
                <c:pt idx="113">
                  <c:v>34.54</c:v>
                </c:pt>
                <c:pt idx="114">
                  <c:v>34.606160000000003</c:v>
                </c:pt>
                <c:pt idx="115">
                  <c:v>35.021630000000002</c:v>
                </c:pt>
                <c:pt idx="116">
                  <c:v>35.504249999999999</c:v>
                </c:pt>
                <c:pt idx="117">
                  <c:v>35.71846</c:v>
                </c:pt>
                <c:pt idx="118">
                  <c:v>35.986879999999999</c:v>
                </c:pt>
                <c:pt idx="119">
                  <c:v>36.469499999999996</c:v>
                </c:pt>
                <c:pt idx="120">
                  <c:v>36.830770000000001</c:v>
                </c:pt>
                <c:pt idx="121">
                  <c:v>36.952129999999997</c:v>
                </c:pt>
                <c:pt idx="122">
                  <c:v>37.434750000000001</c:v>
                </c:pt>
                <c:pt idx="123">
                  <c:v>37.917380000000001</c:v>
                </c:pt>
                <c:pt idx="124">
                  <c:v>38.4</c:v>
                </c:pt>
              </c:numCache>
            </c:numRef>
          </c:xVal>
          <c:yVal>
            <c:numRef>
              <c:f>'[1]Simplfied Analysis 2'!$E$16:$E$140</c:f>
              <c:numCache>
                <c:formatCode>General</c:formatCode>
                <c:ptCount val="125"/>
                <c:pt idx="0">
                  <c:v>-2.1315000000000002E-14</c:v>
                </c:pt>
                <c:pt idx="1">
                  <c:v>167.07490000000001</c:v>
                </c:pt>
                <c:pt idx="2">
                  <c:v>309.3938</c:v>
                </c:pt>
                <c:pt idx="3">
                  <c:v>427.6789</c:v>
                </c:pt>
                <c:pt idx="4">
                  <c:v>444.92919999999998</c:v>
                </c:pt>
                <c:pt idx="5">
                  <c:v>522.74770000000001</c:v>
                </c:pt>
                <c:pt idx="6">
                  <c:v>597.00130000000001</c:v>
                </c:pt>
                <c:pt idx="7">
                  <c:v>619.37139999999999</c:v>
                </c:pt>
                <c:pt idx="8">
                  <c:v>656.96069999999997</c:v>
                </c:pt>
                <c:pt idx="9">
                  <c:v>698.89570000000015</c:v>
                </c:pt>
                <c:pt idx="10">
                  <c:v>713.73629999999991</c:v>
                </c:pt>
                <c:pt idx="11">
                  <c:v>723.64739999999983</c:v>
                </c:pt>
                <c:pt idx="12">
                  <c:v>723.65909999999997</c:v>
                </c:pt>
                <c:pt idx="13">
                  <c:v>723.65909999999997</c:v>
                </c:pt>
                <c:pt idx="14">
                  <c:v>732.05420000000004</c:v>
                </c:pt>
                <c:pt idx="15">
                  <c:v>727.57620000000009</c:v>
                </c:pt>
                <c:pt idx="16">
                  <c:v>723.0637999999999</c:v>
                </c:pt>
                <c:pt idx="17">
                  <c:v>714.78599999999994</c:v>
                </c:pt>
                <c:pt idx="18">
                  <c:v>687.077</c:v>
                </c:pt>
                <c:pt idx="19">
                  <c:v>664.3289000000002</c:v>
                </c:pt>
                <c:pt idx="20">
                  <c:v>645.39609999999993</c:v>
                </c:pt>
                <c:pt idx="21">
                  <c:v>589.62450000000013</c:v>
                </c:pt>
                <c:pt idx="22">
                  <c:v>535.26779999999985</c:v>
                </c:pt>
                <c:pt idx="23">
                  <c:v>521.08640000000003</c:v>
                </c:pt>
                <c:pt idx="24">
                  <c:v>443.42859999999996</c:v>
                </c:pt>
                <c:pt idx="25">
                  <c:v>443.12909999999999</c:v>
                </c:pt>
                <c:pt idx="26">
                  <c:v>443.12909999999999</c:v>
                </c:pt>
                <c:pt idx="27">
                  <c:v>352.31119999999999</c:v>
                </c:pt>
                <c:pt idx="28">
                  <c:v>338.83289999999994</c:v>
                </c:pt>
                <c:pt idx="29">
                  <c:v>248.25390000000002</c:v>
                </c:pt>
                <c:pt idx="30">
                  <c:v>136.88250000000005</c:v>
                </c:pt>
                <c:pt idx="31">
                  <c:v>83.960200000000015</c:v>
                </c:pt>
                <c:pt idx="32">
                  <c:v>18.049299999999992</c:v>
                </c:pt>
                <c:pt idx="33">
                  <c:v>-95.585399999999979</c:v>
                </c:pt>
                <c:pt idx="34">
                  <c:v>-139.1514</c:v>
                </c:pt>
                <c:pt idx="35">
                  <c:v>-159.11130000000003</c:v>
                </c:pt>
                <c:pt idx="36">
                  <c:v>-229.3398</c:v>
                </c:pt>
                <c:pt idx="37">
                  <c:v>-306.51530000000002</c:v>
                </c:pt>
                <c:pt idx="38">
                  <c:v>-306.68270000000001</c:v>
                </c:pt>
                <c:pt idx="39">
                  <c:v>-306.68270000000001</c:v>
                </c:pt>
                <c:pt idx="40">
                  <c:v>-247.70740000000006</c:v>
                </c:pt>
                <c:pt idx="41">
                  <c:v>-195.28739999999999</c:v>
                </c:pt>
                <c:pt idx="42">
                  <c:v>-149.22950000000003</c:v>
                </c:pt>
                <c:pt idx="43">
                  <c:v>-140.6652</c:v>
                </c:pt>
                <c:pt idx="44">
                  <c:v>-87.634499999999989</c:v>
                </c:pt>
                <c:pt idx="45">
                  <c:v>14.348199999999981</c:v>
                </c:pt>
                <c:pt idx="46">
                  <c:v>107.64950000000002</c:v>
                </c:pt>
                <c:pt idx="47">
                  <c:v>138.15219999999999</c:v>
                </c:pt>
                <c:pt idx="48">
                  <c:v>190.63059999999999</c:v>
                </c:pt>
                <c:pt idx="49">
                  <c:v>263.49549999999994</c:v>
                </c:pt>
                <c:pt idx="50">
                  <c:v>263.51649999999995</c:v>
                </c:pt>
                <c:pt idx="51">
                  <c:v>263.51649999999995</c:v>
                </c:pt>
                <c:pt idx="52">
                  <c:v>329.28790000000009</c:v>
                </c:pt>
                <c:pt idx="53">
                  <c:v>363.83769999999998</c:v>
                </c:pt>
                <c:pt idx="54">
                  <c:v>393.2865000000001</c:v>
                </c:pt>
                <c:pt idx="55">
                  <c:v>449.82490000000001</c:v>
                </c:pt>
                <c:pt idx="56">
                  <c:v>501.55820000000006</c:v>
                </c:pt>
                <c:pt idx="57">
                  <c:v>533.0068</c:v>
                </c:pt>
                <c:pt idx="58">
                  <c:v>541.71879999999999</c:v>
                </c:pt>
                <c:pt idx="59">
                  <c:v>568.63850000000002</c:v>
                </c:pt>
                <c:pt idx="60">
                  <c:v>582.22450000000003</c:v>
                </c:pt>
                <c:pt idx="61">
                  <c:v>582.50609999999995</c:v>
                </c:pt>
                <c:pt idx="62">
                  <c:v>582.46619999999996</c:v>
                </c:pt>
                <c:pt idx="63">
                  <c:v>582.46619999999996</c:v>
                </c:pt>
                <c:pt idx="64">
                  <c:v>582.25909999999999</c:v>
                </c:pt>
                <c:pt idx="65">
                  <c:v>568.7322999999999</c:v>
                </c:pt>
                <c:pt idx="66">
                  <c:v>541.87099999999998</c:v>
                </c:pt>
                <c:pt idx="67">
                  <c:v>532.98310000000004</c:v>
                </c:pt>
                <c:pt idx="68">
                  <c:v>501.76799999999992</c:v>
                </c:pt>
                <c:pt idx="69">
                  <c:v>450.08109999999999</c:v>
                </c:pt>
                <c:pt idx="70">
                  <c:v>393.55260000000004</c:v>
                </c:pt>
                <c:pt idx="71">
                  <c:v>363.80679999999995</c:v>
                </c:pt>
                <c:pt idx="72">
                  <c:v>329.59379999999993</c:v>
                </c:pt>
                <c:pt idx="73">
                  <c:v>263.79719999999998</c:v>
                </c:pt>
                <c:pt idx="74">
                  <c:v>263.63629999999995</c:v>
                </c:pt>
                <c:pt idx="75">
                  <c:v>263.63629999999995</c:v>
                </c:pt>
                <c:pt idx="76">
                  <c:v>190.97439999999997</c:v>
                </c:pt>
                <c:pt idx="77">
                  <c:v>138.14619999999996</c:v>
                </c:pt>
                <c:pt idx="78">
                  <c:v>108.0354</c:v>
                </c:pt>
                <c:pt idx="79">
                  <c:v>14.770300000000024</c:v>
                </c:pt>
                <c:pt idx="80">
                  <c:v>-87.191199999999995</c:v>
                </c:pt>
                <c:pt idx="81">
                  <c:v>-140.65509999999998</c:v>
                </c:pt>
                <c:pt idx="82">
                  <c:v>-149.03890000000001</c:v>
                </c:pt>
                <c:pt idx="83">
                  <c:v>-195.06990000000002</c:v>
                </c:pt>
                <c:pt idx="84">
                  <c:v>-247.4615</c:v>
                </c:pt>
                <c:pt idx="85">
                  <c:v>-306.5376</c:v>
                </c:pt>
                <c:pt idx="86">
                  <c:v>-306.66879999999998</c:v>
                </c:pt>
                <c:pt idx="87">
                  <c:v>-306.66879999999998</c:v>
                </c:pt>
                <c:pt idx="88">
                  <c:v>-229.63190000000003</c:v>
                </c:pt>
                <c:pt idx="89">
                  <c:v>-159.37580000000003</c:v>
                </c:pt>
                <c:pt idx="90">
                  <c:v>-139.1387</c:v>
                </c:pt>
                <c:pt idx="91">
                  <c:v>-95.823000000000008</c:v>
                </c:pt>
                <c:pt idx="92">
                  <c:v>17.547099999999965</c:v>
                </c:pt>
                <c:pt idx="93">
                  <c:v>83.924800000000005</c:v>
                </c:pt>
                <c:pt idx="94">
                  <c:v>136.42440000000002</c:v>
                </c:pt>
                <c:pt idx="95">
                  <c:v>247.80810000000002</c:v>
                </c:pt>
                <c:pt idx="96">
                  <c:v>339.08510000000001</c:v>
                </c:pt>
                <c:pt idx="97">
                  <c:v>351.9178</c:v>
                </c:pt>
                <c:pt idx="98">
                  <c:v>443.08920000000001</c:v>
                </c:pt>
                <c:pt idx="99">
                  <c:v>443.24890000000005</c:v>
                </c:pt>
                <c:pt idx="100">
                  <c:v>443.24890000000005</c:v>
                </c:pt>
                <c:pt idx="101">
                  <c:v>520.80359999999996</c:v>
                </c:pt>
                <c:pt idx="102">
                  <c:v>535.26129999999989</c:v>
                </c:pt>
                <c:pt idx="103">
                  <c:v>589.37430000000006</c:v>
                </c:pt>
                <c:pt idx="104">
                  <c:v>645.20240000000001</c:v>
                </c:pt>
                <c:pt idx="105">
                  <c:v>664.37479999999994</c:v>
                </c:pt>
                <c:pt idx="106">
                  <c:v>686.94229999999993</c:v>
                </c:pt>
                <c:pt idx="107">
                  <c:v>714.70749999999998</c:v>
                </c:pt>
                <c:pt idx="108">
                  <c:v>723.05840000000012</c:v>
                </c:pt>
                <c:pt idx="109">
                  <c:v>727.56299999999999</c:v>
                </c:pt>
                <c:pt idx="110">
                  <c:v>732.06220000000008</c:v>
                </c:pt>
                <c:pt idx="111">
                  <c:v>723.7208999999998</c:v>
                </c:pt>
                <c:pt idx="112">
                  <c:v>723.56950000000006</c:v>
                </c:pt>
                <c:pt idx="113">
                  <c:v>723.56950000000006</c:v>
                </c:pt>
                <c:pt idx="114">
                  <c:v>713.51069999999993</c:v>
                </c:pt>
                <c:pt idx="115">
                  <c:v>699.02069999999992</c:v>
                </c:pt>
                <c:pt idx="116">
                  <c:v>657.12260000000003</c:v>
                </c:pt>
                <c:pt idx="117">
                  <c:v>619.43660000000011</c:v>
                </c:pt>
                <c:pt idx="118">
                  <c:v>597.18430000000001</c:v>
                </c:pt>
                <c:pt idx="119">
                  <c:v>522.92370000000005</c:v>
                </c:pt>
                <c:pt idx="120">
                  <c:v>444.98600000000005</c:v>
                </c:pt>
                <c:pt idx="121">
                  <c:v>427.84620000000007</c:v>
                </c:pt>
                <c:pt idx="122">
                  <c:v>309.52979999999997</c:v>
                </c:pt>
                <c:pt idx="123">
                  <c:v>167.15549999999999</c:v>
                </c:pt>
                <c:pt idx="124">
                  <c:v>7.8809999999999994E-14</c:v>
                </c:pt>
              </c:numCache>
            </c:numRef>
          </c:yVal>
          <c:smooth val="1"/>
        </c:ser>
        <c:ser>
          <c:idx val="1"/>
          <c:order val="1"/>
          <c:tx>
            <c:v>Min Moment</c:v>
          </c:tx>
          <c:marker>
            <c:symbol val="none"/>
          </c:marker>
          <c:dPt>
            <c:idx val="40"/>
            <c:bubble3D val="0"/>
          </c:dPt>
          <c:dPt>
            <c:idx val="70"/>
            <c:marker>
              <c:symbol val="diamond"/>
              <c:size val="10"/>
              <c:spPr>
                <a:solidFill>
                  <a:srgbClr val="FF0000"/>
                </a:solidFill>
              </c:spPr>
            </c:marker>
            <c:bubble3D val="0"/>
          </c:dPt>
          <c:dPt>
            <c:idx val="124"/>
            <c:bubble3D val="0"/>
          </c:dPt>
          <c:xVal>
            <c:numRef>
              <c:f>'[1]Simplfied Analysis 2'!$D$16:$D$140</c:f>
              <c:numCache>
                <c:formatCode>General</c:formatCode>
                <c:ptCount val="125"/>
                <c:pt idx="0">
                  <c:v>0</c:v>
                </c:pt>
                <c:pt idx="1">
                  <c:v>0.48237999999999998</c:v>
                </c:pt>
                <c:pt idx="2">
                  <c:v>0.96475</c:v>
                </c:pt>
                <c:pt idx="3">
                  <c:v>1.44713</c:v>
                </c:pt>
                <c:pt idx="4">
                  <c:v>1.5692299999999999</c:v>
                </c:pt>
                <c:pt idx="5">
                  <c:v>1.9295</c:v>
                </c:pt>
                <c:pt idx="6">
                  <c:v>2.41188</c:v>
                </c:pt>
                <c:pt idx="7">
                  <c:v>2.68154</c:v>
                </c:pt>
                <c:pt idx="8">
                  <c:v>2.89425</c:v>
                </c:pt>
                <c:pt idx="9">
                  <c:v>3.37663</c:v>
                </c:pt>
                <c:pt idx="10">
                  <c:v>3.7938399999999999</c:v>
                </c:pt>
                <c:pt idx="11">
                  <c:v>3.859</c:v>
                </c:pt>
                <c:pt idx="12">
                  <c:v>3.86</c:v>
                </c:pt>
                <c:pt idx="13">
                  <c:v>3.86</c:v>
                </c:pt>
                <c:pt idx="14">
                  <c:v>4.3414999999999999</c:v>
                </c:pt>
                <c:pt idx="15">
                  <c:v>4.8239999999999998</c:v>
                </c:pt>
                <c:pt idx="16">
                  <c:v>4.9061500000000002</c:v>
                </c:pt>
                <c:pt idx="17">
                  <c:v>5.3064999999999998</c:v>
                </c:pt>
                <c:pt idx="18">
                  <c:v>5.7889999999999997</c:v>
                </c:pt>
                <c:pt idx="19">
                  <c:v>6.0184599999999993</c:v>
                </c:pt>
                <c:pt idx="20">
                  <c:v>6.2714999999999996</c:v>
                </c:pt>
                <c:pt idx="21">
                  <c:v>6.7539999999999996</c:v>
                </c:pt>
                <c:pt idx="22">
                  <c:v>7.1307700000000001</c:v>
                </c:pt>
                <c:pt idx="23">
                  <c:v>7.2364999999999995</c:v>
                </c:pt>
                <c:pt idx="24">
                  <c:v>7.7189999999999994</c:v>
                </c:pt>
                <c:pt idx="25">
                  <c:v>7.72</c:v>
                </c:pt>
                <c:pt idx="26">
                  <c:v>7.72</c:v>
                </c:pt>
                <c:pt idx="27">
                  <c:v>8.2014999999999993</c:v>
                </c:pt>
                <c:pt idx="28">
                  <c:v>8.2430799999999991</c:v>
                </c:pt>
                <c:pt idx="29">
                  <c:v>8.6839999999999993</c:v>
                </c:pt>
                <c:pt idx="30">
                  <c:v>9.1664999999999992</c:v>
                </c:pt>
                <c:pt idx="31">
                  <c:v>9.3553800000000003</c:v>
                </c:pt>
                <c:pt idx="32">
                  <c:v>9.6489999999999991</c:v>
                </c:pt>
                <c:pt idx="33">
                  <c:v>10.131499999999999</c:v>
                </c:pt>
                <c:pt idx="34">
                  <c:v>10.467689999999999</c:v>
                </c:pt>
                <c:pt idx="35">
                  <c:v>10.614000000000001</c:v>
                </c:pt>
                <c:pt idx="36">
                  <c:v>11.096499999999999</c:v>
                </c:pt>
                <c:pt idx="37">
                  <c:v>11.579000000000001</c:v>
                </c:pt>
                <c:pt idx="38">
                  <c:v>11.58</c:v>
                </c:pt>
                <c:pt idx="39">
                  <c:v>11.58</c:v>
                </c:pt>
                <c:pt idx="40">
                  <c:v>12.055250000000001</c:v>
                </c:pt>
                <c:pt idx="41">
                  <c:v>12.531499999999999</c:v>
                </c:pt>
                <c:pt idx="42">
                  <c:v>13.00775</c:v>
                </c:pt>
                <c:pt idx="43">
                  <c:v>13.103999999999999</c:v>
                </c:pt>
                <c:pt idx="44">
                  <c:v>13.484</c:v>
                </c:pt>
                <c:pt idx="45">
                  <c:v>13.96025</c:v>
                </c:pt>
                <c:pt idx="46">
                  <c:v>14.436500000000001</c:v>
                </c:pt>
                <c:pt idx="47">
                  <c:v>14.628</c:v>
                </c:pt>
                <c:pt idx="48">
                  <c:v>14.912749999999999</c:v>
                </c:pt>
                <c:pt idx="49">
                  <c:v>15.388999999999999</c:v>
                </c:pt>
                <c:pt idx="50">
                  <c:v>15.39</c:v>
                </c:pt>
                <c:pt idx="51">
                  <c:v>15.39</c:v>
                </c:pt>
                <c:pt idx="52">
                  <c:v>15.865250000000001</c:v>
                </c:pt>
                <c:pt idx="53">
                  <c:v>16.152000000000001</c:v>
                </c:pt>
                <c:pt idx="54">
                  <c:v>16.3415</c:v>
                </c:pt>
                <c:pt idx="55">
                  <c:v>16.81775</c:v>
                </c:pt>
                <c:pt idx="56">
                  <c:v>17.294</c:v>
                </c:pt>
                <c:pt idx="57">
                  <c:v>17.676000000000002</c:v>
                </c:pt>
                <c:pt idx="58">
                  <c:v>17.770250000000001</c:v>
                </c:pt>
                <c:pt idx="59">
                  <c:v>18.246500000000001</c:v>
                </c:pt>
                <c:pt idx="60">
                  <c:v>18.722750000000001</c:v>
                </c:pt>
                <c:pt idx="61">
                  <c:v>19.199000000000002</c:v>
                </c:pt>
                <c:pt idx="62">
                  <c:v>19.2</c:v>
                </c:pt>
                <c:pt idx="63">
                  <c:v>19.2</c:v>
                </c:pt>
                <c:pt idx="64">
                  <c:v>19.675249999999998</c:v>
                </c:pt>
                <c:pt idx="65">
                  <c:v>20.151499999999999</c:v>
                </c:pt>
                <c:pt idx="66">
                  <c:v>20.627749999999999</c:v>
                </c:pt>
                <c:pt idx="67">
                  <c:v>20.724</c:v>
                </c:pt>
                <c:pt idx="68">
                  <c:v>21.103999999999999</c:v>
                </c:pt>
                <c:pt idx="69">
                  <c:v>21.580249999999999</c:v>
                </c:pt>
                <c:pt idx="70">
                  <c:v>22.0565</c:v>
                </c:pt>
                <c:pt idx="71">
                  <c:v>22.247999999999998</c:v>
                </c:pt>
                <c:pt idx="72">
                  <c:v>22.53275</c:v>
                </c:pt>
                <c:pt idx="73">
                  <c:v>23.009</c:v>
                </c:pt>
                <c:pt idx="74">
                  <c:v>23.009999999999998</c:v>
                </c:pt>
                <c:pt idx="75">
                  <c:v>23.009999999999998</c:v>
                </c:pt>
                <c:pt idx="76">
                  <c:v>23.485249999999997</c:v>
                </c:pt>
                <c:pt idx="77">
                  <c:v>23.771999999999998</c:v>
                </c:pt>
                <c:pt idx="78">
                  <c:v>23.961499999999997</c:v>
                </c:pt>
                <c:pt idx="79">
                  <c:v>24.437749999999998</c:v>
                </c:pt>
                <c:pt idx="80">
                  <c:v>24.913999999999998</c:v>
                </c:pt>
                <c:pt idx="81">
                  <c:v>25.295999999999999</c:v>
                </c:pt>
                <c:pt idx="82">
                  <c:v>25.390249999999998</c:v>
                </c:pt>
                <c:pt idx="83">
                  <c:v>25.866499999999998</c:v>
                </c:pt>
                <c:pt idx="84">
                  <c:v>26.342749999999999</c:v>
                </c:pt>
                <c:pt idx="85">
                  <c:v>26.818999999999999</c:v>
                </c:pt>
                <c:pt idx="86">
                  <c:v>26.819999999999997</c:v>
                </c:pt>
                <c:pt idx="87">
                  <c:v>26.819999999999997</c:v>
                </c:pt>
                <c:pt idx="88">
                  <c:v>27.301499999999997</c:v>
                </c:pt>
                <c:pt idx="89">
                  <c:v>27.783999999999995</c:v>
                </c:pt>
                <c:pt idx="90">
                  <c:v>27.932309999999998</c:v>
                </c:pt>
                <c:pt idx="91">
                  <c:v>28.266499999999997</c:v>
                </c:pt>
                <c:pt idx="92">
                  <c:v>28.748999999999995</c:v>
                </c:pt>
                <c:pt idx="93">
                  <c:v>29.044619999999995</c:v>
                </c:pt>
                <c:pt idx="94">
                  <c:v>29.231499999999997</c:v>
                </c:pt>
                <c:pt idx="95">
                  <c:v>29.713999999999999</c:v>
                </c:pt>
                <c:pt idx="96">
                  <c:v>30.156919999999996</c:v>
                </c:pt>
                <c:pt idx="97">
                  <c:v>30.196499999999997</c:v>
                </c:pt>
                <c:pt idx="98">
                  <c:v>30.678999999999995</c:v>
                </c:pt>
                <c:pt idx="99">
                  <c:v>30.679999999999996</c:v>
                </c:pt>
                <c:pt idx="100">
                  <c:v>30.679999999999996</c:v>
                </c:pt>
                <c:pt idx="101">
                  <c:v>31.161499999999997</c:v>
                </c:pt>
                <c:pt idx="102">
                  <c:v>31.269229999999997</c:v>
                </c:pt>
                <c:pt idx="103">
                  <c:v>31.643999999999995</c:v>
                </c:pt>
                <c:pt idx="104">
                  <c:v>32.126499999999993</c:v>
                </c:pt>
                <c:pt idx="105">
                  <c:v>32.381539999999994</c:v>
                </c:pt>
                <c:pt idx="106">
                  <c:v>32.608999999999995</c:v>
                </c:pt>
                <c:pt idx="107">
                  <c:v>33.091499999999996</c:v>
                </c:pt>
                <c:pt idx="108">
                  <c:v>33.493849999999995</c:v>
                </c:pt>
                <c:pt idx="109">
                  <c:v>33.573999999999998</c:v>
                </c:pt>
                <c:pt idx="110">
                  <c:v>34.0565</c:v>
                </c:pt>
                <c:pt idx="111">
                  <c:v>34.538999999999994</c:v>
                </c:pt>
                <c:pt idx="112">
                  <c:v>34.54</c:v>
                </c:pt>
                <c:pt idx="113">
                  <c:v>34.54</c:v>
                </c:pt>
                <c:pt idx="114">
                  <c:v>34.606160000000003</c:v>
                </c:pt>
                <c:pt idx="115">
                  <c:v>35.021630000000002</c:v>
                </c:pt>
                <c:pt idx="116">
                  <c:v>35.504249999999999</c:v>
                </c:pt>
                <c:pt idx="117">
                  <c:v>35.71846</c:v>
                </c:pt>
                <c:pt idx="118">
                  <c:v>35.986879999999999</c:v>
                </c:pt>
                <c:pt idx="119">
                  <c:v>36.469499999999996</c:v>
                </c:pt>
                <c:pt idx="120">
                  <c:v>36.830770000000001</c:v>
                </c:pt>
                <c:pt idx="121">
                  <c:v>36.952129999999997</c:v>
                </c:pt>
                <c:pt idx="122">
                  <c:v>37.434750000000001</c:v>
                </c:pt>
                <c:pt idx="123">
                  <c:v>37.917380000000001</c:v>
                </c:pt>
                <c:pt idx="124">
                  <c:v>38.4</c:v>
                </c:pt>
              </c:numCache>
            </c:numRef>
          </c:xVal>
          <c:yVal>
            <c:numRef>
              <c:f>'[1]Simplfied Analysis 2'!$F$16:$F$140</c:f>
              <c:numCache>
                <c:formatCode>General</c:formatCode>
                <c:ptCount val="125"/>
                <c:pt idx="0">
                  <c:v>-2.1315000000000002E-14</c:v>
                </c:pt>
                <c:pt idx="1">
                  <c:v>3.8894999999999982</c:v>
                </c:pt>
                <c:pt idx="2">
                  <c:v>3.5589000000000013</c:v>
                </c:pt>
                <c:pt idx="3">
                  <c:v>-1.0000000000000053</c:v>
                </c:pt>
                <c:pt idx="4">
                  <c:v>-2.8256999999999923</c:v>
                </c:pt>
                <c:pt idx="5">
                  <c:v>-9.798</c:v>
                </c:pt>
                <c:pt idx="6">
                  <c:v>-22.865900000000003</c:v>
                </c:pt>
                <c:pt idx="7">
                  <c:v>-32.047899999999991</c:v>
                </c:pt>
                <c:pt idx="8">
                  <c:v>-40.246600000000001</c:v>
                </c:pt>
                <c:pt idx="9">
                  <c:v>-61.991199999999999</c:v>
                </c:pt>
                <c:pt idx="10">
                  <c:v>-84.364999999999981</c:v>
                </c:pt>
                <c:pt idx="11">
                  <c:v>-88.160399999999996</c:v>
                </c:pt>
                <c:pt idx="12">
                  <c:v>-88.219199999999987</c:v>
                </c:pt>
                <c:pt idx="13">
                  <c:v>-88.219199999999987</c:v>
                </c:pt>
                <c:pt idx="14">
                  <c:v>-118.83170000000001</c:v>
                </c:pt>
                <c:pt idx="15">
                  <c:v>-154.08740000000006</c:v>
                </c:pt>
                <c:pt idx="16">
                  <c:v>-160.55360000000002</c:v>
                </c:pt>
                <c:pt idx="17">
                  <c:v>-194.02230000000003</c:v>
                </c:pt>
                <c:pt idx="18">
                  <c:v>-238.74569999999997</c:v>
                </c:pt>
                <c:pt idx="19">
                  <c:v>-261.72820000000007</c:v>
                </c:pt>
                <c:pt idx="20">
                  <c:v>-288.37360000000001</c:v>
                </c:pt>
                <c:pt idx="21">
                  <c:v>-343.02719999999999</c:v>
                </c:pt>
                <c:pt idx="22">
                  <c:v>-389.28049999999996</c:v>
                </c:pt>
                <c:pt idx="23">
                  <c:v>-402.83339999999998</c:v>
                </c:pt>
                <c:pt idx="24">
                  <c:v>-467.93330000000003</c:v>
                </c:pt>
                <c:pt idx="25">
                  <c:v>-468.07370000000003</c:v>
                </c:pt>
                <c:pt idx="26">
                  <c:v>-468.07370000000003</c:v>
                </c:pt>
                <c:pt idx="27">
                  <c:v>-538.50020000000006</c:v>
                </c:pt>
                <c:pt idx="28">
                  <c:v>-544.84250000000009</c:v>
                </c:pt>
                <c:pt idx="29">
                  <c:v>-614.71439999999996</c:v>
                </c:pt>
                <c:pt idx="30">
                  <c:v>-696.77429999999993</c:v>
                </c:pt>
                <c:pt idx="31">
                  <c:v>-730.5347999999999</c:v>
                </c:pt>
                <c:pt idx="32">
                  <c:v>-784.88470000000007</c:v>
                </c:pt>
                <c:pt idx="33">
                  <c:v>-889.8966999999999</c:v>
                </c:pt>
                <c:pt idx="34">
                  <c:v>-974.65359999999998</c:v>
                </c:pt>
                <c:pt idx="35">
                  <c:v>-1012.7430000000001</c:v>
                </c:pt>
                <c:pt idx="36">
                  <c:v>-1179.3936999999999</c:v>
                </c:pt>
                <c:pt idx="37">
                  <c:v>-1383.7949000000001</c:v>
                </c:pt>
                <c:pt idx="38">
                  <c:v>-1384.2287999999999</c:v>
                </c:pt>
                <c:pt idx="39">
                  <c:v>-1384.2287999999999</c:v>
                </c:pt>
                <c:pt idx="40">
                  <c:v>-1193.17</c:v>
                </c:pt>
                <c:pt idx="41">
                  <c:v>-1012.0299000000001</c:v>
                </c:pt>
                <c:pt idx="42">
                  <c:v>-840.56389999999999</c:v>
                </c:pt>
                <c:pt idx="43">
                  <c:v>-807.02650000000017</c:v>
                </c:pt>
                <c:pt idx="44">
                  <c:v>-679.34789999999998</c:v>
                </c:pt>
                <c:pt idx="45">
                  <c:v>-581.0652</c:v>
                </c:pt>
                <c:pt idx="46">
                  <c:v>-490.41859999999991</c:v>
                </c:pt>
                <c:pt idx="47">
                  <c:v>-455.6078</c:v>
                </c:pt>
                <c:pt idx="48">
                  <c:v>-405.47359999999998</c:v>
                </c:pt>
                <c:pt idx="49">
                  <c:v>-326.84810000000004</c:v>
                </c:pt>
                <c:pt idx="50">
                  <c:v>-326.69010000000003</c:v>
                </c:pt>
                <c:pt idx="51">
                  <c:v>-326.69010000000003</c:v>
                </c:pt>
                <c:pt idx="52">
                  <c:v>-256.7525</c:v>
                </c:pt>
                <c:pt idx="53">
                  <c:v>-227.977</c:v>
                </c:pt>
                <c:pt idx="54">
                  <c:v>-209.8733</c:v>
                </c:pt>
                <c:pt idx="55">
                  <c:v>-167.52579999999998</c:v>
                </c:pt>
                <c:pt idx="56">
                  <c:v>-129.59970000000001</c:v>
                </c:pt>
                <c:pt idx="57">
                  <c:v>-102.3017</c:v>
                </c:pt>
                <c:pt idx="58">
                  <c:v>-95.986899999999977</c:v>
                </c:pt>
                <c:pt idx="59">
                  <c:v>-66.599000000000018</c:v>
                </c:pt>
                <c:pt idx="60">
                  <c:v>-41.392499999999984</c:v>
                </c:pt>
                <c:pt idx="61">
                  <c:v>-20.329599999999992</c:v>
                </c:pt>
                <c:pt idx="62">
                  <c:v>-20.289699999999989</c:v>
                </c:pt>
                <c:pt idx="63">
                  <c:v>-20.289699999999989</c:v>
                </c:pt>
                <c:pt idx="64">
                  <c:v>-41.293599999999991</c:v>
                </c:pt>
                <c:pt idx="65">
                  <c:v>-66.481300000000005</c:v>
                </c:pt>
                <c:pt idx="66">
                  <c:v>-95.850499999999982</c:v>
                </c:pt>
                <c:pt idx="67">
                  <c:v>-102.29720000000002</c:v>
                </c:pt>
                <c:pt idx="68">
                  <c:v>-129.4444</c:v>
                </c:pt>
                <c:pt idx="69">
                  <c:v>-167.35149999999999</c:v>
                </c:pt>
                <c:pt idx="70">
                  <c:v>-209.67929999999998</c:v>
                </c:pt>
                <c:pt idx="71">
                  <c:v>-227.96979999999999</c:v>
                </c:pt>
                <c:pt idx="72">
                  <c:v>-256.5385</c:v>
                </c:pt>
                <c:pt idx="73">
                  <c:v>-326.51620000000003</c:v>
                </c:pt>
                <c:pt idx="74">
                  <c:v>-326.67400000000004</c:v>
                </c:pt>
                <c:pt idx="75">
                  <c:v>-326.67400000000004</c:v>
                </c:pt>
                <c:pt idx="76">
                  <c:v>-405.11559999999997</c:v>
                </c:pt>
                <c:pt idx="77">
                  <c:v>-455.59639999999996</c:v>
                </c:pt>
                <c:pt idx="78">
                  <c:v>-490.03590000000003</c:v>
                </c:pt>
                <c:pt idx="79">
                  <c:v>-580.6567</c:v>
                </c:pt>
                <c:pt idx="80">
                  <c:v>-678.66369999999995</c:v>
                </c:pt>
                <c:pt idx="81">
                  <c:v>-807.00109999999995</c:v>
                </c:pt>
                <c:pt idx="82">
                  <c:v>-839.83299999999986</c:v>
                </c:pt>
                <c:pt idx="83">
                  <c:v>-1011.2545000000001</c:v>
                </c:pt>
                <c:pt idx="84">
                  <c:v>-1192.3485000000001</c:v>
                </c:pt>
                <c:pt idx="85">
                  <c:v>-1383.7752999999998</c:v>
                </c:pt>
                <c:pt idx="86">
                  <c:v>-1384.1869000000002</c:v>
                </c:pt>
                <c:pt idx="87">
                  <c:v>-1384.1869000000002</c:v>
                </c:pt>
                <c:pt idx="88">
                  <c:v>-1180.1811</c:v>
                </c:pt>
                <c:pt idx="89">
                  <c:v>-1013.2264</c:v>
                </c:pt>
                <c:pt idx="90">
                  <c:v>-974.60919999999999</c:v>
                </c:pt>
                <c:pt idx="91">
                  <c:v>-890.35649999999998</c:v>
                </c:pt>
                <c:pt idx="92">
                  <c:v>-785.22600000000011</c:v>
                </c:pt>
                <c:pt idx="93">
                  <c:v>-730.49919999999986</c:v>
                </c:pt>
                <c:pt idx="94">
                  <c:v>-697.09190000000001</c:v>
                </c:pt>
                <c:pt idx="95">
                  <c:v>-615.00929999999994</c:v>
                </c:pt>
                <c:pt idx="96">
                  <c:v>-544.81089999999983</c:v>
                </c:pt>
                <c:pt idx="97">
                  <c:v>-538.77310000000011</c:v>
                </c:pt>
                <c:pt idx="98">
                  <c:v>-468.185</c:v>
                </c:pt>
                <c:pt idx="99">
                  <c:v>-468.04449999999997</c:v>
                </c:pt>
                <c:pt idx="100">
                  <c:v>-468.04449999999997</c:v>
                </c:pt>
                <c:pt idx="101">
                  <c:v>-403.06449999999995</c:v>
                </c:pt>
                <c:pt idx="102">
                  <c:v>-389.25329999999997</c:v>
                </c:pt>
                <c:pt idx="103">
                  <c:v>-343.23860000000002</c:v>
                </c:pt>
                <c:pt idx="104">
                  <c:v>-288.56569999999999</c:v>
                </c:pt>
                <c:pt idx="105">
                  <c:v>-261.70549999999997</c:v>
                </c:pt>
                <c:pt idx="106">
                  <c:v>-238.91909999999996</c:v>
                </c:pt>
                <c:pt idx="107">
                  <c:v>-194.17760000000004</c:v>
                </c:pt>
                <c:pt idx="108">
                  <c:v>-160.535</c:v>
                </c:pt>
                <c:pt idx="109">
                  <c:v>-154.22489999999999</c:v>
                </c:pt>
                <c:pt idx="110">
                  <c:v>-118.95160000000008</c:v>
                </c:pt>
                <c:pt idx="111">
                  <c:v>-88.263400000000004</c:v>
                </c:pt>
                <c:pt idx="112">
                  <c:v>-88.204499999999996</c:v>
                </c:pt>
                <c:pt idx="113">
                  <c:v>-88.204499999999996</c:v>
                </c:pt>
                <c:pt idx="114">
                  <c:v>-84.3506</c:v>
                </c:pt>
                <c:pt idx="115">
                  <c:v>-62.06519999999999</c:v>
                </c:pt>
                <c:pt idx="116">
                  <c:v>-40.29649999999998</c:v>
                </c:pt>
                <c:pt idx="117">
                  <c:v>-32.037600000000012</c:v>
                </c:pt>
                <c:pt idx="118">
                  <c:v>-22.896100000000008</c:v>
                </c:pt>
                <c:pt idx="119">
                  <c:v>-9.8131999999999966</c:v>
                </c:pt>
                <c:pt idx="120">
                  <c:v>-2.8196999999999939</c:v>
                </c:pt>
                <c:pt idx="121">
                  <c:v>-1.0049000000000046</c:v>
                </c:pt>
                <c:pt idx="122">
                  <c:v>3.5599999999999987</c:v>
                </c:pt>
                <c:pt idx="123">
                  <c:v>3.892199999999999</c:v>
                </c:pt>
                <c:pt idx="124">
                  <c:v>7.8809999999999994E-14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09680"/>
        <c:axId val="1536104240"/>
      </c:scatterChart>
      <c:valAx>
        <c:axId val="153610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Station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104240"/>
        <c:crosses val="autoZero"/>
        <c:crossBetween val="midCat"/>
      </c:valAx>
      <c:valAx>
        <c:axId val="153610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Moment (kN-m)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10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Simplified Analysis Shears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 Shear</c:v>
          </c:tx>
          <c:marker>
            <c:symbol val="none"/>
          </c:marker>
          <c:dPt>
            <c:idx val="40"/>
            <c:bubble3D val="0"/>
          </c:dPt>
          <c:dPt>
            <c:idx val="70"/>
            <c:marker>
              <c:symbol val="diamond"/>
              <c:size val="10"/>
              <c:spPr>
                <a:solidFill>
                  <a:srgbClr val="FF0000"/>
                </a:solidFill>
              </c:spPr>
            </c:marker>
            <c:bubble3D val="0"/>
          </c:dPt>
          <c:dPt>
            <c:idx val="124"/>
            <c:bubble3D val="0"/>
          </c:dPt>
          <c:xVal>
            <c:numRef>
              <c:f>'[1]Simplfied Analysis 2'!$D$16:$D$140</c:f>
              <c:numCache>
                <c:formatCode>General</c:formatCode>
                <c:ptCount val="125"/>
                <c:pt idx="0">
                  <c:v>0</c:v>
                </c:pt>
                <c:pt idx="1">
                  <c:v>0.48237999999999998</c:v>
                </c:pt>
                <c:pt idx="2">
                  <c:v>0.96475</c:v>
                </c:pt>
                <c:pt idx="3">
                  <c:v>1.44713</c:v>
                </c:pt>
                <c:pt idx="4">
                  <c:v>1.5692299999999999</c:v>
                </c:pt>
                <c:pt idx="5">
                  <c:v>1.9295</c:v>
                </c:pt>
                <c:pt idx="6">
                  <c:v>2.41188</c:v>
                </c:pt>
                <c:pt idx="7">
                  <c:v>2.68154</c:v>
                </c:pt>
                <c:pt idx="8">
                  <c:v>2.89425</c:v>
                </c:pt>
                <c:pt idx="9">
                  <c:v>3.37663</c:v>
                </c:pt>
                <c:pt idx="10">
                  <c:v>3.7938399999999999</c:v>
                </c:pt>
                <c:pt idx="11">
                  <c:v>3.859</c:v>
                </c:pt>
                <c:pt idx="12">
                  <c:v>3.86</c:v>
                </c:pt>
                <c:pt idx="13">
                  <c:v>3.86</c:v>
                </c:pt>
                <c:pt idx="14">
                  <c:v>4.3414999999999999</c:v>
                </c:pt>
                <c:pt idx="15">
                  <c:v>4.8239999999999998</c:v>
                </c:pt>
                <c:pt idx="16">
                  <c:v>4.9061500000000002</c:v>
                </c:pt>
                <c:pt idx="17">
                  <c:v>5.3064999999999998</c:v>
                </c:pt>
                <c:pt idx="18">
                  <c:v>5.7889999999999997</c:v>
                </c:pt>
                <c:pt idx="19">
                  <c:v>6.0184599999999993</c:v>
                </c:pt>
                <c:pt idx="20">
                  <c:v>6.2714999999999996</c:v>
                </c:pt>
                <c:pt idx="21">
                  <c:v>6.7539999999999996</c:v>
                </c:pt>
                <c:pt idx="22">
                  <c:v>7.1307700000000001</c:v>
                </c:pt>
                <c:pt idx="23">
                  <c:v>7.2364999999999995</c:v>
                </c:pt>
                <c:pt idx="24">
                  <c:v>7.7189999999999994</c:v>
                </c:pt>
                <c:pt idx="25">
                  <c:v>7.72</c:v>
                </c:pt>
                <c:pt idx="26">
                  <c:v>7.72</c:v>
                </c:pt>
                <c:pt idx="27">
                  <c:v>8.2014999999999993</c:v>
                </c:pt>
                <c:pt idx="28">
                  <c:v>8.2430799999999991</c:v>
                </c:pt>
                <c:pt idx="29">
                  <c:v>8.6839999999999993</c:v>
                </c:pt>
                <c:pt idx="30">
                  <c:v>9.1664999999999992</c:v>
                </c:pt>
                <c:pt idx="31">
                  <c:v>9.3553800000000003</c:v>
                </c:pt>
                <c:pt idx="32">
                  <c:v>9.6489999999999991</c:v>
                </c:pt>
                <c:pt idx="33">
                  <c:v>10.131499999999999</c:v>
                </c:pt>
                <c:pt idx="34">
                  <c:v>10.467689999999999</c:v>
                </c:pt>
                <c:pt idx="35">
                  <c:v>10.614000000000001</c:v>
                </c:pt>
                <c:pt idx="36">
                  <c:v>11.096499999999999</c:v>
                </c:pt>
                <c:pt idx="37">
                  <c:v>11.579000000000001</c:v>
                </c:pt>
                <c:pt idx="38">
                  <c:v>11.58</c:v>
                </c:pt>
                <c:pt idx="39">
                  <c:v>11.58</c:v>
                </c:pt>
                <c:pt idx="40">
                  <c:v>12.055250000000001</c:v>
                </c:pt>
                <c:pt idx="41">
                  <c:v>12.531499999999999</c:v>
                </c:pt>
                <c:pt idx="42">
                  <c:v>13.00775</c:v>
                </c:pt>
                <c:pt idx="43">
                  <c:v>13.103999999999999</c:v>
                </c:pt>
                <c:pt idx="44">
                  <c:v>13.484</c:v>
                </c:pt>
                <c:pt idx="45">
                  <c:v>13.96025</c:v>
                </c:pt>
                <c:pt idx="46">
                  <c:v>14.436500000000001</c:v>
                </c:pt>
                <c:pt idx="47">
                  <c:v>14.628</c:v>
                </c:pt>
                <c:pt idx="48">
                  <c:v>14.912749999999999</c:v>
                </c:pt>
                <c:pt idx="49">
                  <c:v>15.388999999999999</c:v>
                </c:pt>
                <c:pt idx="50">
                  <c:v>15.39</c:v>
                </c:pt>
                <c:pt idx="51">
                  <c:v>15.39</c:v>
                </c:pt>
                <c:pt idx="52">
                  <c:v>15.865250000000001</c:v>
                </c:pt>
                <c:pt idx="53">
                  <c:v>16.152000000000001</c:v>
                </c:pt>
                <c:pt idx="54">
                  <c:v>16.3415</c:v>
                </c:pt>
                <c:pt idx="55">
                  <c:v>16.81775</c:v>
                </c:pt>
                <c:pt idx="56">
                  <c:v>17.294</c:v>
                </c:pt>
                <c:pt idx="57">
                  <c:v>17.676000000000002</c:v>
                </c:pt>
                <c:pt idx="58">
                  <c:v>17.770250000000001</c:v>
                </c:pt>
                <c:pt idx="59">
                  <c:v>18.246500000000001</c:v>
                </c:pt>
                <c:pt idx="60">
                  <c:v>18.722750000000001</c:v>
                </c:pt>
                <c:pt idx="61">
                  <c:v>19.199000000000002</c:v>
                </c:pt>
                <c:pt idx="62">
                  <c:v>19.2</c:v>
                </c:pt>
                <c:pt idx="63">
                  <c:v>19.2</c:v>
                </c:pt>
                <c:pt idx="64">
                  <c:v>19.675249999999998</c:v>
                </c:pt>
                <c:pt idx="65">
                  <c:v>20.151499999999999</c:v>
                </c:pt>
                <c:pt idx="66">
                  <c:v>20.627749999999999</c:v>
                </c:pt>
                <c:pt idx="67">
                  <c:v>20.724</c:v>
                </c:pt>
                <c:pt idx="68">
                  <c:v>21.103999999999999</c:v>
                </c:pt>
                <c:pt idx="69">
                  <c:v>21.580249999999999</c:v>
                </c:pt>
                <c:pt idx="70">
                  <c:v>22.0565</c:v>
                </c:pt>
                <c:pt idx="71">
                  <c:v>22.247999999999998</c:v>
                </c:pt>
                <c:pt idx="72">
                  <c:v>22.53275</c:v>
                </c:pt>
                <c:pt idx="73">
                  <c:v>23.009</c:v>
                </c:pt>
                <c:pt idx="74">
                  <c:v>23.009999999999998</c:v>
                </c:pt>
                <c:pt idx="75">
                  <c:v>23.009999999999998</c:v>
                </c:pt>
                <c:pt idx="76">
                  <c:v>23.485249999999997</c:v>
                </c:pt>
                <c:pt idx="77">
                  <c:v>23.771999999999998</c:v>
                </c:pt>
                <c:pt idx="78">
                  <c:v>23.961499999999997</c:v>
                </c:pt>
                <c:pt idx="79">
                  <c:v>24.437749999999998</c:v>
                </c:pt>
                <c:pt idx="80">
                  <c:v>24.913999999999998</c:v>
                </c:pt>
                <c:pt idx="81">
                  <c:v>25.295999999999999</c:v>
                </c:pt>
                <c:pt idx="82">
                  <c:v>25.390249999999998</c:v>
                </c:pt>
                <c:pt idx="83">
                  <c:v>25.866499999999998</c:v>
                </c:pt>
                <c:pt idx="84">
                  <c:v>26.342749999999999</c:v>
                </c:pt>
                <c:pt idx="85">
                  <c:v>26.818999999999999</c:v>
                </c:pt>
                <c:pt idx="86">
                  <c:v>26.819999999999997</c:v>
                </c:pt>
                <c:pt idx="87">
                  <c:v>26.819999999999997</c:v>
                </c:pt>
                <c:pt idx="88">
                  <c:v>27.301499999999997</c:v>
                </c:pt>
                <c:pt idx="89">
                  <c:v>27.783999999999995</c:v>
                </c:pt>
                <c:pt idx="90">
                  <c:v>27.932309999999998</c:v>
                </c:pt>
                <c:pt idx="91">
                  <c:v>28.266499999999997</c:v>
                </c:pt>
                <c:pt idx="92">
                  <c:v>28.748999999999995</c:v>
                </c:pt>
                <c:pt idx="93">
                  <c:v>29.044619999999995</c:v>
                </c:pt>
                <c:pt idx="94">
                  <c:v>29.231499999999997</c:v>
                </c:pt>
                <c:pt idx="95">
                  <c:v>29.713999999999999</c:v>
                </c:pt>
                <c:pt idx="96">
                  <c:v>30.156919999999996</c:v>
                </c:pt>
                <c:pt idx="97">
                  <c:v>30.196499999999997</c:v>
                </c:pt>
                <c:pt idx="98">
                  <c:v>30.678999999999995</c:v>
                </c:pt>
                <c:pt idx="99">
                  <c:v>30.679999999999996</c:v>
                </c:pt>
                <c:pt idx="100">
                  <c:v>30.679999999999996</c:v>
                </c:pt>
                <c:pt idx="101">
                  <c:v>31.161499999999997</c:v>
                </c:pt>
                <c:pt idx="102">
                  <c:v>31.269229999999997</c:v>
                </c:pt>
                <c:pt idx="103">
                  <c:v>31.643999999999995</c:v>
                </c:pt>
                <c:pt idx="104">
                  <c:v>32.126499999999993</c:v>
                </c:pt>
                <c:pt idx="105">
                  <c:v>32.381539999999994</c:v>
                </c:pt>
                <c:pt idx="106">
                  <c:v>32.608999999999995</c:v>
                </c:pt>
                <c:pt idx="107">
                  <c:v>33.091499999999996</c:v>
                </c:pt>
                <c:pt idx="108">
                  <c:v>33.493849999999995</c:v>
                </c:pt>
                <c:pt idx="109">
                  <c:v>33.573999999999998</c:v>
                </c:pt>
                <c:pt idx="110">
                  <c:v>34.0565</c:v>
                </c:pt>
                <c:pt idx="111">
                  <c:v>34.538999999999994</c:v>
                </c:pt>
                <c:pt idx="112">
                  <c:v>34.54</c:v>
                </c:pt>
                <c:pt idx="113">
                  <c:v>34.54</c:v>
                </c:pt>
                <c:pt idx="114">
                  <c:v>34.606160000000003</c:v>
                </c:pt>
                <c:pt idx="115">
                  <c:v>35.021630000000002</c:v>
                </c:pt>
                <c:pt idx="116">
                  <c:v>35.504249999999999</c:v>
                </c:pt>
                <c:pt idx="117">
                  <c:v>35.71846</c:v>
                </c:pt>
                <c:pt idx="118">
                  <c:v>35.986879999999999</c:v>
                </c:pt>
                <c:pt idx="119">
                  <c:v>36.469499999999996</c:v>
                </c:pt>
                <c:pt idx="120">
                  <c:v>36.830770000000001</c:v>
                </c:pt>
                <c:pt idx="121">
                  <c:v>36.952129999999997</c:v>
                </c:pt>
                <c:pt idx="122">
                  <c:v>37.434750000000001</c:v>
                </c:pt>
                <c:pt idx="123">
                  <c:v>37.917380000000001</c:v>
                </c:pt>
                <c:pt idx="124">
                  <c:v>38.4</c:v>
                </c:pt>
              </c:numCache>
            </c:numRef>
          </c:xVal>
          <c:yVal>
            <c:numRef>
              <c:f>'[1]Simplfied Analysis 2'!$G$16:$G$140</c:f>
              <c:numCache>
                <c:formatCode>General</c:formatCode>
                <c:ptCount val="125"/>
                <c:pt idx="0">
                  <c:v>-12.430999999999996</c:v>
                </c:pt>
                <c:pt idx="1">
                  <c:v>-3.6919999999999931</c:v>
                </c:pt>
                <c:pt idx="2">
                  <c:v>5.0660000000000025</c:v>
                </c:pt>
                <c:pt idx="3">
                  <c:v>22.332000000000001</c:v>
                </c:pt>
                <c:pt idx="4">
                  <c:v>24.553999999999995</c:v>
                </c:pt>
                <c:pt idx="5">
                  <c:v>40.580999999999996</c:v>
                </c:pt>
                <c:pt idx="6">
                  <c:v>58.050999999999995</c:v>
                </c:pt>
                <c:pt idx="7">
                  <c:v>63.063000000000002</c:v>
                </c:pt>
                <c:pt idx="8">
                  <c:v>74.709999999999994</c:v>
                </c:pt>
                <c:pt idx="9">
                  <c:v>99.48</c:v>
                </c:pt>
                <c:pt idx="10">
                  <c:v>107.462</c:v>
                </c:pt>
                <c:pt idx="11">
                  <c:v>123.84100000000001</c:v>
                </c:pt>
                <c:pt idx="12">
                  <c:v>123.861</c:v>
                </c:pt>
                <c:pt idx="13">
                  <c:v>123.861</c:v>
                </c:pt>
                <c:pt idx="14">
                  <c:v>147.60499999999996</c:v>
                </c:pt>
                <c:pt idx="15">
                  <c:v>170.90100000000001</c:v>
                </c:pt>
                <c:pt idx="16">
                  <c:v>172.55499999999998</c:v>
                </c:pt>
                <c:pt idx="17">
                  <c:v>199.131</c:v>
                </c:pt>
                <c:pt idx="18">
                  <c:v>227.995</c:v>
                </c:pt>
                <c:pt idx="19">
                  <c:v>232.85600000000002</c:v>
                </c:pt>
                <c:pt idx="20">
                  <c:v>256.10500000000002</c:v>
                </c:pt>
                <c:pt idx="21">
                  <c:v>283.47000000000003</c:v>
                </c:pt>
                <c:pt idx="22">
                  <c:v>291.88800000000003</c:v>
                </c:pt>
                <c:pt idx="23">
                  <c:v>310.10399999999998</c:v>
                </c:pt>
                <c:pt idx="24">
                  <c:v>336.08700000000005</c:v>
                </c:pt>
                <c:pt idx="25">
                  <c:v>336.11100000000005</c:v>
                </c:pt>
                <c:pt idx="26">
                  <c:v>336.11100000000005</c:v>
                </c:pt>
                <c:pt idx="27">
                  <c:v>361.47</c:v>
                </c:pt>
                <c:pt idx="28">
                  <c:v>362.47800000000001</c:v>
                </c:pt>
                <c:pt idx="29">
                  <c:v>386.28899999999999</c:v>
                </c:pt>
                <c:pt idx="30">
                  <c:v>410.59999999999997</c:v>
                </c:pt>
                <c:pt idx="31">
                  <c:v>415.54100000000011</c:v>
                </c:pt>
                <c:pt idx="32">
                  <c:v>434.42599999999999</c:v>
                </c:pt>
                <c:pt idx="33">
                  <c:v>457.80700000000002</c:v>
                </c:pt>
                <c:pt idx="34">
                  <c:v>467.26899999999995</c:v>
                </c:pt>
                <c:pt idx="35">
                  <c:v>480.77900000000005</c:v>
                </c:pt>
                <c:pt idx="36">
                  <c:v>505.87099999999998</c:v>
                </c:pt>
                <c:pt idx="37">
                  <c:v>537.31699999999989</c:v>
                </c:pt>
                <c:pt idx="38">
                  <c:v>537.34899999999993</c:v>
                </c:pt>
                <c:pt idx="39">
                  <c:v>-131.32499999999999</c:v>
                </c:pt>
                <c:pt idx="40">
                  <c:v>-116.97600000000001</c:v>
                </c:pt>
                <c:pt idx="41">
                  <c:v>-103.27499999999999</c:v>
                </c:pt>
                <c:pt idx="42">
                  <c:v>-90.25800000000001</c:v>
                </c:pt>
                <c:pt idx="43">
                  <c:v>-87.709000000000003</c:v>
                </c:pt>
                <c:pt idx="44">
                  <c:v>-77.874999999999986</c:v>
                </c:pt>
                <c:pt idx="45">
                  <c:v>-66.034000000000006</c:v>
                </c:pt>
                <c:pt idx="46">
                  <c:v>-54.731000000000009</c:v>
                </c:pt>
                <c:pt idx="47">
                  <c:v>-50.338000000000001</c:v>
                </c:pt>
                <c:pt idx="48">
                  <c:v>-38.753999999999998</c:v>
                </c:pt>
                <c:pt idx="49">
                  <c:v>-20.974</c:v>
                </c:pt>
                <c:pt idx="50">
                  <c:v>-20.953000000000003</c:v>
                </c:pt>
                <c:pt idx="51">
                  <c:v>-20.953000000000003</c:v>
                </c:pt>
                <c:pt idx="52">
                  <c:v>-0.94699999999999918</c:v>
                </c:pt>
                <c:pt idx="53">
                  <c:v>4.9030000000000022</c:v>
                </c:pt>
                <c:pt idx="54">
                  <c:v>19.114000000000004</c:v>
                </c:pt>
                <c:pt idx="55">
                  <c:v>40.182000000000009</c:v>
                </c:pt>
                <c:pt idx="56">
                  <c:v>61.476000000000013</c:v>
                </c:pt>
                <c:pt idx="57">
                  <c:v>68.666000000000011</c:v>
                </c:pt>
                <c:pt idx="58">
                  <c:v>82.887999999999991</c:v>
                </c:pt>
                <c:pt idx="59">
                  <c:v>104.456</c:v>
                </c:pt>
                <c:pt idx="60">
                  <c:v>126.14300000000001</c:v>
                </c:pt>
                <c:pt idx="61">
                  <c:v>147.85745509999998</c:v>
                </c:pt>
                <c:pt idx="62">
                  <c:v>147.87573447999998</c:v>
                </c:pt>
                <c:pt idx="63">
                  <c:v>147.87573447999998</c:v>
                </c:pt>
                <c:pt idx="64">
                  <c:v>169.56499999999997</c:v>
                </c:pt>
                <c:pt idx="65">
                  <c:v>191.23099999999997</c:v>
                </c:pt>
                <c:pt idx="66">
                  <c:v>215.524</c:v>
                </c:pt>
                <c:pt idx="67">
                  <c:v>217.31700000000001</c:v>
                </c:pt>
                <c:pt idx="68">
                  <c:v>239.89300000000003</c:v>
                </c:pt>
                <c:pt idx="69">
                  <c:v>263.82799999999997</c:v>
                </c:pt>
                <c:pt idx="70">
                  <c:v>287.23599999999999</c:v>
                </c:pt>
                <c:pt idx="71">
                  <c:v>291.07800000000003</c:v>
                </c:pt>
                <c:pt idx="72">
                  <c:v>310.06500000000005</c:v>
                </c:pt>
                <c:pt idx="73">
                  <c:v>332.38</c:v>
                </c:pt>
                <c:pt idx="74">
                  <c:v>332.40100000000001</c:v>
                </c:pt>
                <c:pt idx="75">
                  <c:v>332.40100000000001</c:v>
                </c:pt>
                <c:pt idx="76">
                  <c:v>354.15899999999993</c:v>
                </c:pt>
                <c:pt idx="77">
                  <c:v>360.60299999999995</c:v>
                </c:pt>
                <c:pt idx="78">
                  <c:v>375.39700000000005</c:v>
                </c:pt>
                <c:pt idx="79">
                  <c:v>396.97700000000003</c:v>
                </c:pt>
                <c:pt idx="80">
                  <c:v>423.69900000000001</c:v>
                </c:pt>
                <c:pt idx="81">
                  <c:v>433.58299999999997</c:v>
                </c:pt>
                <c:pt idx="82">
                  <c:v>450.71999999999997</c:v>
                </c:pt>
                <c:pt idx="83">
                  <c:v>478.12</c:v>
                </c:pt>
                <c:pt idx="84">
                  <c:v>507.72900000000004</c:v>
                </c:pt>
                <c:pt idx="85">
                  <c:v>538.35800000000006</c:v>
                </c:pt>
                <c:pt idx="86">
                  <c:v>538.3889999999999</c:v>
                </c:pt>
                <c:pt idx="87">
                  <c:v>-167.34899999999999</c:v>
                </c:pt>
                <c:pt idx="88">
                  <c:v>-152.72200000000001</c:v>
                </c:pt>
                <c:pt idx="89">
                  <c:v>-138.578</c:v>
                </c:pt>
                <c:pt idx="90">
                  <c:v>-134.33500000000001</c:v>
                </c:pt>
                <c:pt idx="91">
                  <c:v>-124.92999999999999</c:v>
                </c:pt>
                <c:pt idx="92">
                  <c:v>-108.389</c:v>
                </c:pt>
                <c:pt idx="93">
                  <c:v>-100.523</c:v>
                </c:pt>
                <c:pt idx="94">
                  <c:v>-87.890999999999991</c:v>
                </c:pt>
                <c:pt idx="95">
                  <c:v>-67.477999999999994</c:v>
                </c:pt>
                <c:pt idx="96">
                  <c:v>-56.532000000000011</c:v>
                </c:pt>
                <c:pt idx="97">
                  <c:v>-47.11699999999999</c:v>
                </c:pt>
                <c:pt idx="98">
                  <c:v>-26.746000000000006</c:v>
                </c:pt>
                <c:pt idx="99">
                  <c:v>-26.723000000000006</c:v>
                </c:pt>
                <c:pt idx="100">
                  <c:v>-26.723000000000006</c:v>
                </c:pt>
                <c:pt idx="101">
                  <c:v>-6.3140000000000027</c:v>
                </c:pt>
                <c:pt idx="102">
                  <c:v>-3.8750000000000044</c:v>
                </c:pt>
                <c:pt idx="103">
                  <c:v>14.305999999999994</c:v>
                </c:pt>
                <c:pt idx="104">
                  <c:v>36.313000000000002</c:v>
                </c:pt>
                <c:pt idx="105">
                  <c:v>41.783000000000001</c:v>
                </c:pt>
                <c:pt idx="106">
                  <c:v>58.616000000000007</c:v>
                </c:pt>
                <c:pt idx="107">
                  <c:v>81.249000000000009</c:v>
                </c:pt>
                <c:pt idx="108">
                  <c:v>89.442000000000021</c:v>
                </c:pt>
                <c:pt idx="109">
                  <c:v>104.232</c:v>
                </c:pt>
                <c:pt idx="110">
                  <c:v>127.60600000000004</c:v>
                </c:pt>
                <c:pt idx="111">
                  <c:v>151.38900000000001</c:v>
                </c:pt>
                <c:pt idx="112">
                  <c:v>151.40800000000002</c:v>
                </c:pt>
                <c:pt idx="113">
                  <c:v>151.40800000000002</c:v>
                </c:pt>
                <c:pt idx="114">
                  <c:v>152.68299999999999</c:v>
                </c:pt>
                <c:pt idx="115">
                  <c:v>175.60900000000001</c:v>
                </c:pt>
                <c:pt idx="116">
                  <c:v>200.28199999999998</c:v>
                </c:pt>
                <c:pt idx="117">
                  <c:v>204.28799999999998</c:v>
                </c:pt>
                <c:pt idx="118">
                  <c:v>225.39599999999999</c:v>
                </c:pt>
                <c:pt idx="119">
                  <c:v>253.29400000000001</c:v>
                </c:pt>
                <c:pt idx="120">
                  <c:v>259.899</c:v>
                </c:pt>
                <c:pt idx="121">
                  <c:v>282.34399999999999</c:v>
                </c:pt>
                <c:pt idx="122">
                  <c:v>311.91500000000002</c:v>
                </c:pt>
                <c:pt idx="123">
                  <c:v>341.97299999999996</c:v>
                </c:pt>
                <c:pt idx="124">
                  <c:v>372.464</c:v>
                </c:pt>
              </c:numCache>
            </c:numRef>
          </c:yVal>
          <c:smooth val="1"/>
        </c:ser>
        <c:ser>
          <c:idx val="1"/>
          <c:order val="1"/>
          <c:tx>
            <c:v>Min Shear</c:v>
          </c:tx>
          <c:marker>
            <c:symbol val="none"/>
          </c:marker>
          <c:dPt>
            <c:idx val="40"/>
            <c:bubble3D val="0"/>
          </c:dPt>
          <c:dPt>
            <c:idx val="70"/>
            <c:marker>
              <c:symbol val="diamond"/>
              <c:size val="10"/>
              <c:spPr>
                <a:solidFill>
                  <a:srgbClr val="FF0000"/>
                </a:solidFill>
              </c:spPr>
            </c:marker>
            <c:bubble3D val="0"/>
          </c:dPt>
          <c:dPt>
            <c:idx val="124"/>
            <c:bubble3D val="0"/>
          </c:dPt>
          <c:xVal>
            <c:numRef>
              <c:f>'[1]Simplfied Analysis 2'!$D$16:$D$140</c:f>
              <c:numCache>
                <c:formatCode>General</c:formatCode>
                <c:ptCount val="125"/>
                <c:pt idx="0">
                  <c:v>0</c:v>
                </c:pt>
                <c:pt idx="1">
                  <c:v>0.48237999999999998</c:v>
                </c:pt>
                <c:pt idx="2">
                  <c:v>0.96475</c:v>
                </c:pt>
                <c:pt idx="3">
                  <c:v>1.44713</c:v>
                </c:pt>
                <c:pt idx="4">
                  <c:v>1.5692299999999999</c:v>
                </c:pt>
                <c:pt idx="5">
                  <c:v>1.9295</c:v>
                </c:pt>
                <c:pt idx="6">
                  <c:v>2.41188</c:v>
                </c:pt>
                <c:pt idx="7">
                  <c:v>2.68154</c:v>
                </c:pt>
                <c:pt idx="8">
                  <c:v>2.89425</c:v>
                </c:pt>
                <c:pt idx="9">
                  <c:v>3.37663</c:v>
                </c:pt>
                <c:pt idx="10">
                  <c:v>3.7938399999999999</c:v>
                </c:pt>
                <c:pt idx="11">
                  <c:v>3.859</c:v>
                </c:pt>
                <c:pt idx="12">
                  <c:v>3.86</c:v>
                </c:pt>
                <c:pt idx="13">
                  <c:v>3.86</c:v>
                </c:pt>
                <c:pt idx="14">
                  <c:v>4.3414999999999999</c:v>
                </c:pt>
                <c:pt idx="15">
                  <c:v>4.8239999999999998</c:v>
                </c:pt>
                <c:pt idx="16">
                  <c:v>4.9061500000000002</c:v>
                </c:pt>
                <c:pt idx="17">
                  <c:v>5.3064999999999998</c:v>
                </c:pt>
                <c:pt idx="18">
                  <c:v>5.7889999999999997</c:v>
                </c:pt>
                <c:pt idx="19">
                  <c:v>6.0184599999999993</c:v>
                </c:pt>
                <c:pt idx="20">
                  <c:v>6.2714999999999996</c:v>
                </c:pt>
                <c:pt idx="21">
                  <c:v>6.7539999999999996</c:v>
                </c:pt>
                <c:pt idx="22">
                  <c:v>7.1307700000000001</c:v>
                </c:pt>
                <c:pt idx="23">
                  <c:v>7.2364999999999995</c:v>
                </c:pt>
                <c:pt idx="24">
                  <c:v>7.7189999999999994</c:v>
                </c:pt>
                <c:pt idx="25">
                  <c:v>7.72</c:v>
                </c:pt>
                <c:pt idx="26">
                  <c:v>7.72</c:v>
                </c:pt>
                <c:pt idx="27">
                  <c:v>8.2014999999999993</c:v>
                </c:pt>
                <c:pt idx="28">
                  <c:v>8.2430799999999991</c:v>
                </c:pt>
                <c:pt idx="29">
                  <c:v>8.6839999999999993</c:v>
                </c:pt>
                <c:pt idx="30">
                  <c:v>9.1664999999999992</c:v>
                </c:pt>
                <c:pt idx="31">
                  <c:v>9.3553800000000003</c:v>
                </c:pt>
                <c:pt idx="32">
                  <c:v>9.6489999999999991</c:v>
                </c:pt>
                <c:pt idx="33">
                  <c:v>10.131499999999999</c:v>
                </c:pt>
                <c:pt idx="34">
                  <c:v>10.467689999999999</c:v>
                </c:pt>
                <c:pt idx="35">
                  <c:v>10.614000000000001</c:v>
                </c:pt>
                <c:pt idx="36">
                  <c:v>11.096499999999999</c:v>
                </c:pt>
                <c:pt idx="37">
                  <c:v>11.579000000000001</c:v>
                </c:pt>
                <c:pt idx="38">
                  <c:v>11.58</c:v>
                </c:pt>
                <c:pt idx="39">
                  <c:v>11.58</c:v>
                </c:pt>
                <c:pt idx="40">
                  <c:v>12.055250000000001</c:v>
                </c:pt>
                <c:pt idx="41">
                  <c:v>12.531499999999999</c:v>
                </c:pt>
                <c:pt idx="42">
                  <c:v>13.00775</c:v>
                </c:pt>
                <c:pt idx="43">
                  <c:v>13.103999999999999</c:v>
                </c:pt>
                <c:pt idx="44">
                  <c:v>13.484</c:v>
                </c:pt>
                <c:pt idx="45">
                  <c:v>13.96025</c:v>
                </c:pt>
                <c:pt idx="46">
                  <c:v>14.436500000000001</c:v>
                </c:pt>
                <c:pt idx="47">
                  <c:v>14.628</c:v>
                </c:pt>
                <c:pt idx="48">
                  <c:v>14.912749999999999</c:v>
                </c:pt>
                <c:pt idx="49">
                  <c:v>15.388999999999999</c:v>
                </c:pt>
                <c:pt idx="50">
                  <c:v>15.39</c:v>
                </c:pt>
                <c:pt idx="51">
                  <c:v>15.39</c:v>
                </c:pt>
                <c:pt idx="52">
                  <c:v>15.865250000000001</c:v>
                </c:pt>
                <c:pt idx="53">
                  <c:v>16.152000000000001</c:v>
                </c:pt>
                <c:pt idx="54">
                  <c:v>16.3415</c:v>
                </c:pt>
                <c:pt idx="55">
                  <c:v>16.81775</c:v>
                </c:pt>
                <c:pt idx="56">
                  <c:v>17.294</c:v>
                </c:pt>
                <c:pt idx="57">
                  <c:v>17.676000000000002</c:v>
                </c:pt>
                <c:pt idx="58">
                  <c:v>17.770250000000001</c:v>
                </c:pt>
                <c:pt idx="59">
                  <c:v>18.246500000000001</c:v>
                </c:pt>
                <c:pt idx="60">
                  <c:v>18.722750000000001</c:v>
                </c:pt>
                <c:pt idx="61">
                  <c:v>19.199000000000002</c:v>
                </c:pt>
                <c:pt idx="62">
                  <c:v>19.2</c:v>
                </c:pt>
                <c:pt idx="63">
                  <c:v>19.2</c:v>
                </c:pt>
                <c:pt idx="64">
                  <c:v>19.675249999999998</c:v>
                </c:pt>
                <c:pt idx="65">
                  <c:v>20.151499999999999</c:v>
                </c:pt>
                <c:pt idx="66">
                  <c:v>20.627749999999999</c:v>
                </c:pt>
                <c:pt idx="67">
                  <c:v>20.724</c:v>
                </c:pt>
                <c:pt idx="68">
                  <c:v>21.103999999999999</c:v>
                </c:pt>
                <c:pt idx="69">
                  <c:v>21.580249999999999</c:v>
                </c:pt>
                <c:pt idx="70">
                  <c:v>22.0565</c:v>
                </c:pt>
                <c:pt idx="71">
                  <c:v>22.247999999999998</c:v>
                </c:pt>
                <c:pt idx="72">
                  <c:v>22.53275</c:v>
                </c:pt>
                <c:pt idx="73">
                  <c:v>23.009</c:v>
                </c:pt>
                <c:pt idx="74">
                  <c:v>23.009999999999998</c:v>
                </c:pt>
                <c:pt idx="75">
                  <c:v>23.009999999999998</c:v>
                </c:pt>
                <c:pt idx="76">
                  <c:v>23.485249999999997</c:v>
                </c:pt>
                <c:pt idx="77">
                  <c:v>23.771999999999998</c:v>
                </c:pt>
                <c:pt idx="78">
                  <c:v>23.961499999999997</c:v>
                </c:pt>
                <c:pt idx="79">
                  <c:v>24.437749999999998</c:v>
                </c:pt>
                <c:pt idx="80">
                  <c:v>24.913999999999998</c:v>
                </c:pt>
                <c:pt idx="81">
                  <c:v>25.295999999999999</c:v>
                </c:pt>
                <c:pt idx="82">
                  <c:v>25.390249999999998</c:v>
                </c:pt>
                <c:pt idx="83">
                  <c:v>25.866499999999998</c:v>
                </c:pt>
                <c:pt idx="84">
                  <c:v>26.342749999999999</c:v>
                </c:pt>
                <c:pt idx="85">
                  <c:v>26.818999999999999</c:v>
                </c:pt>
                <c:pt idx="86">
                  <c:v>26.819999999999997</c:v>
                </c:pt>
                <c:pt idx="87">
                  <c:v>26.819999999999997</c:v>
                </c:pt>
                <c:pt idx="88">
                  <c:v>27.301499999999997</c:v>
                </c:pt>
                <c:pt idx="89">
                  <c:v>27.783999999999995</c:v>
                </c:pt>
                <c:pt idx="90">
                  <c:v>27.932309999999998</c:v>
                </c:pt>
                <c:pt idx="91">
                  <c:v>28.266499999999997</c:v>
                </c:pt>
                <c:pt idx="92">
                  <c:v>28.748999999999995</c:v>
                </c:pt>
                <c:pt idx="93">
                  <c:v>29.044619999999995</c:v>
                </c:pt>
                <c:pt idx="94">
                  <c:v>29.231499999999997</c:v>
                </c:pt>
                <c:pt idx="95">
                  <c:v>29.713999999999999</c:v>
                </c:pt>
                <c:pt idx="96">
                  <c:v>30.156919999999996</c:v>
                </c:pt>
                <c:pt idx="97">
                  <c:v>30.196499999999997</c:v>
                </c:pt>
                <c:pt idx="98">
                  <c:v>30.678999999999995</c:v>
                </c:pt>
                <c:pt idx="99">
                  <c:v>30.679999999999996</c:v>
                </c:pt>
                <c:pt idx="100">
                  <c:v>30.679999999999996</c:v>
                </c:pt>
                <c:pt idx="101">
                  <c:v>31.161499999999997</c:v>
                </c:pt>
                <c:pt idx="102">
                  <c:v>31.269229999999997</c:v>
                </c:pt>
                <c:pt idx="103">
                  <c:v>31.643999999999995</c:v>
                </c:pt>
                <c:pt idx="104">
                  <c:v>32.126499999999993</c:v>
                </c:pt>
                <c:pt idx="105">
                  <c:v>32.381539999999994</c:v>
                </c:pt>
                <c:pt idx="106">
                  <c:v>32.608999999999995</c:v>
                </c:pt>
                <c:pt idx="107">
                  <c:v>33.091499999999996</c:v>
                </c:pt>
                <c:pt idx="108">
                  <c:v>33.493849999999995</c:v>
                </c:pt>
                <c:pt idx="109">
                  <c:v>33.573999999999998</c:v>
                </c:pt>
                <c:pt idx="110">
                  <c:v>34.0565</c:v>
                </c:pt>
                <c:pt idx="111">
                  <c:v>34.538999999999994</c:v>
                </c:pt>
                <c:pt idx="112">
                  <c:v>34.54</c:v>
                </c:pt>
                <c:pt idx="113">
                  <c:v>34.54</c:v>
                </c:pt>
                <c:pt idx="114">
                  <c:v>34.606160000000003</c:v>
                </c:pt>
                <c:pt idx="115">
                  <c:v>35.021630000000002</c:v>
                </c:pt>
                <c:pt idx="116">
                  <c:v>35.504249999999999</c:v>
                </c:pt>
                <c:pt idx="117">
                  <c:v>35.71846</c:v>
                </c:pt>
                <c:pt idx="118">
                  <c:v>35.986879999999999</c:v>
                </c:pt>
                <c:pt idx="119">
                  <c:v>36.469499999999996</c:v>
                </c:pt>
                <c:pt idx="120">
                  <c:v>36.830770000000001</c:v>
                </c:pt>
                <c:pt idx="121">
                  <c:v>36.952129999999997</c:v>
                </c:pt>
                <c:pt idx="122">
                  <c:v>37.434750000000001</c:v>
                </c:pt>
                <c:pt idx="123">
                  <c:v>37.917380000000001</c:v>
                </c:pt>
                <c:pt idx="124">
                  <c:v>38.4</c:v>
                </c:pt>
              </c:numCache>
            </c:numRef>
          </c:xVal>
          <c:yVal>
            <c:numRef>
              <c:f>'[1]Simplfied Analysis 2'!$H$16:$H$140</c:f>
              <c:numCache>
                <c:formatCode>General</c:formatCode>
                <c:ptCount val="125"/>
                <c:pt idx="0">
                  <c:v>-372.464</c:v>
                </c:pt>
                <c:pt idx="1">
                  <c:v>-341.98800000000006</c:v>
                </c:pt>
                <c:pt idx="2">
                  <c:v>-311.94399999999996</c:v>
                </c:pt>
                <c:pt idx="3">
                  <c:v>-282.387</c:v>
                </c:pt>
                <c:pt idx="4">
                  <c:v>-259.93900000000002</c:v>
                </c:pt>
                <c:pt idx="5">
                  <c:v>-253.352</c:v>
                </c:pt>
                <c:pt idx="6">
                  <c:v>-225.46099999999998</c:v>
                </c:pt>
                <c:pt idx="7">
                  <c:v>-204.33599999999998</c:v>
                </c:pt>
                <c:pt idx="8">
                  <c:v>-200.36</c:v>
                </c:pt>
                <c:pt idx="9">
                  <c:v>-175.696</c:v>
                </c:pt>
                <c:pt idx="10">
                  <c:v>-152.74199999999999</c:v>
                </c:pt>
                <c:pt idx="11">
                  <c:v>-151.488</c:v>
                </c:pt>
                <c:pt idx="12">
                  <c:v>-137.089</c:v>
                </c:pt>
                <c:pt idx="13">
                  <c:v>-137.089</c:v>
                </c:pt>
                <c:pt idx="14">
                  <c:v>-127.70200000000001</c:v>
                </c:pt>
                <c:pt idx="15">
                  <c:v>-104.327</c:v>
                </c:pt>
                <c:pt idx="16">
                  <c:v>-89.494000000000014</c:v>
                </c:pt>
                <c:pt idx="17">
                  <c:v>-81.342999999999989</c:v>
                </c:pt>
                <c:pt idx="18">
                  <c:v>-58.707999999999991</c:v>
                </c:pt>
                <c:pt idx="19">
                  <c:v>-41.83</c:v>
                </c:pt>
                <c:pt idx="20">
                  <c:v>-36.403999999999996</c:v>
                </c:pt>
                <c:pt idx="21">
                  <c:v>-14.390000000000008</c:v>
                </c:pt>
                <c:pt idx="22">
                  <c:v>3.836000000000003</c:v>
                </c:pt>
                <c:pt idx="23">
                  <c:v>6.2300000000000058</c:v>
                </c:pt>
                <c:pt idx="24">
                  <c:v>26.661999999999992</c:v>
                </c:pt>
                <c:pt idx="25">
                  <c:v>35.543000000000006</c:v>
                </c:pt>
                <c:pt idx="26">
                  <c:v>35.543000000000006</c:v>
                </c:pt>
                <c:pt idx="27">
                  <c:v>47.033999999999999</c:v>
                </c:pt>
                <c:pt idx="28">
                  <c:v>56.498999999999995</c:v>
                </c:pt>
                <c:pt idx="29">
                  <c:v>67.394999999999996</c:v>
                </c:pt>
                <c:pt idx="30">
                  <c:v>87.808000000000007</c:v>
                </c:pt>
                <c:pt idx="31">
                  <c:v>100.49199999999999</c:v>
                </c:pt>
                <c:pt idx="32">
                  <c:v>108.30499999999999</c:v>
                </c:pt>
                <c:pt idx="33">
                  <c:v>124.874</c:v>
                </c:pt>
                <c:pt idx="34">
                  <c:v>134.33599999999998</c:v>
                </c:pt>
                <c:pt idx="35">
                  <c:v>138.52199999999999</c:v>
                </c:pt>
                <c:pt idx="36">
                  <c:v>152.66400000000002</c:v>
                </c:pt>
                <c:pt idx="37">
                  <c:v>167.31799999999998</c:v>
                </c:pt>
                <c:pt idx="38">
                  <c:v>167.35000000000002</c:v>
                </c:pt>
                <c:pt idx="39">
                  <c:v>-522.20899999999995</c:v>
                </c:pt>
                <c:pt idx="40">
                  <c:v>-507.85999999999996</c:v>
                </c:pt>
                <c:pt idx="41">
                  <c:v>-478.23899999999998</c:v>
                </c:pt>
                <c:pt idx="42">
                  <c:v>-450.83799999999997</c:v>
                </c:pt>
                <c:pt idx="43">
                  <c:v>-433.65</c:v>
                </c:pt>
                <c:pt idx="44">
                  <c:v>-423.81600000000003</c:v>
                </c:pt>
                <c:pt idx="45">
                  <c:v>-397.09200000000004</c:v>
                </c:pt>
                <c:pt idx="46">
                  <c:v>-375.48899999999998</c:v>
                </c:pt>
                <c:pt idx="47">
                  <c:v>-360.65199999999999</c:v>
                </c:pt>
                <c:pt idx="48">
                  <c:v>-354.25299999999993</c:v>
                </c:pt>
                <c:pt idx="49">
                  <c:v>-332.476</c:v>
                </c:pt>
                <c:pt idx="50">
                  <c:v>-320.16199999999998</c:v>
                </c:pt>
                <c:pt idx="51">
                  <c:v>-320.16199999999998</c:v>
                </c:pt>
                <c:pt idx="52">
                  <c:v>-310.16500000000002</c:v>
                </c:pt>
                <c:pt idx="53">
                  <c:v>-291.14</c:v>
                </c:pt>
                <c:pt idx="54">
                  <c:v>-287.33800000000002</c:v>
                </c:pt>
                <c:pt idx="55">
                  <c:v>-263.93200000000002</c:v>
                </c:pt>
                <c:pt idx="56">
                  <c:v>-239.99799999999999</c:v>
                </c:pt>
                <c:pt idx="57">
                  <c:v>-217.386</c:v>
                </c:pt>
                <c:pt idx="58">
                  <c:v>-215.63000000000002</c:v>
                </c:pt>
                <c:pt idx="59">
                  <c:v>-191.327</c:v>
                </c:pt>
                <c:pt idx="60">
                  <c:v>-169.66500000000002</c:v>
                </c:pt>
                <c:pt idx="61">
                  <c:v>-147.95454490000003</c:v>
                </c:pt>
                <c:pt idx="62">
                  <c:v>-134.88326552000004</c:v>
                </c:pt>
                <c:pt idx="63">
                  <c:v>-134.88326552000004</c:v>
                </c:pt>
                <c:pt idx="64">
                  <c:v>-126.24300000000001</c:v>
                </c:pt>
                <c:pt idx="65">
                  <c:v>-104.55200000000001</c:v>
                </c:pt>
                <c:pt idx="66">
                  <c:v>-82.983000000000004</c:v>
                </c:pt>
                <c:pt idx="67">
                  <c:v>-68.722000000000008</c:v>
                </c:pt>
                <c:pt idx="68">
                  <c:v>-61.568999999999988</c:v>
                </c:pt>
                <c:pt idx="69">
                  <c:v>-40.274000000000001</c:v>
                </c:pt>
                <c:pt idx="70">
                  <c:v>-19.202999999999999</c:v>
                </c:pt>
                <c:pt idx="71">
                  <c:v>-4.9499999999999993</c:v>
                </c:pt>
                <c:pt idx="72">
                  <c:v>0.85800000000000054</c:v>
                </c:pt>
                <c:pt idx="73">
                  <c:v>20.898000000000003</c:v>
                </c:pt>
                <c:pt idx="74">
                  <c:v>28.298999999999999</c:v>
                </c:pt>
                <c:pt idx="75">
                  <c:v>28.298999999999999</c:v>
                </c:pt>
                <c:pt idx="76">
                  <c:v>38.676000000000002</c:v>
                </c:pt>
                <c:pt idx="77">
                  <c:v>50.335999999999999</c:v>
                </c:pt>
                <c:pt idx="78">
                  <c:v>54.681999999999995</c:v>
                </c:pt>
                <c:pt idx="79">
                  <c:v>65.983000000000004</c:v>
                </c:pt>
                <c:pt idx="80">
                  <c:v>77.822000000000003</c:v>
                </c:pt>
                <c:pt idx="81">
                  <c:v>87.705999999999989</c:v>
                </c:pt>
                <c:pt idx="82">
                  <c:v>90.202000000000012</c:v>
                </c:pt>
                <c:pt idx="83">
                  <c:v>103.217</c:v>
                </c:pt>
                <c:pt idx="84">
                  <c:v>116.91199999999999</c:v>
                </c:pt>
                <c:pt idx="85">
                  <c:v>131.28899999999999</c:v>
                </c:pt>
                <c:pt idx="86">
                  <c:v>131.32000000000002</c:v>
                </c:pt>
                <c:pt idx="87">
                  <c:v>-520.62699999999995</c:v>
                </c:pt>
                <c:pt idx="88">
                  <c:v>-506</c:v>
                </c:pt>
                <c:pt idx="89">
                  <c:v>-480.86999999999995</c:v>
                </c:pt>
                <c:pt idx="90">
                  <c:v>-467.30599999999998</c:v>
                </c:pt>
                <c:pt idx="91">
                  <c:v>-457.90100000000001</c:v>
                </c:pt>
                <c:pt idx="92">
                  <c:v>-434.52100000000002</c:v>
                </c:pt>
                <c:pt idx="93">
                  <c:v>-415.58600000000007</c:v>
                </c:pt>
                <c:pt idx="94">
                  <c:v>-410.69599999999997</c:v>
                </c:pt>
                <c:pt idx="95">
                  <c:v>-386.38800000000003</c:v>
                </c:pt>
                <c:pt idx="96">
                  <c:v>-362.53100000000001</c:v>
                </c:pt>
                <c:pt idx="97">
                  <c:v>-361.57099999999997</c:v>
                </c:pt>
                <c:pt idx="98">
                  <c:v>-336.19200000000006</c:v>
                </c:pt>
                <c:pt idx="99">
                  <c:v>-321.33600000000001</c:v>
                </c:pt>
                <c:pt idx="100">
                  <c:v>-321.33600000000001</c:v>
                </c:pt>
                <c:pt idx="101">
                  <c:v>-310.20999999999998</c:v>
                </c:pt>
                <c:pt idx="102">
                  <c:v>-291.95400000000001</c:v>
                </c:pt>
                <c:pt idx="103">
                  <c:v>-283.58</c:v>
                </c:pt>
                <c:pt idx="104">
                  <c:v>-256.21800000000002</c:v>
                </c:pt>
                <c:pt idx="105">
                  <c:v>-232.93</c:v>
                </c:pt>
                <c:pt idx="106">
                  <c:v>-228.11099999999999</c:v>
                </c:pt>
                <c:pt idx="107">
                  <c:v>-199.24499999999998</c:v>
                </c:pt>
                <c:pt idx="108">
                  <c:v>-172.61899999999997</c:v>
                </c:pt>
                <c:pt idx="109">
                  <c:v>-171.006</c:v>
                </c:pt>
                <c:pt idx="110">
                  <c:v>-147.69999999999999</c:v>
                </c:pt>
                <c:pt idx="111">
                  <c:v>-123.93899999999999</c:v>
                </c:pt>
                <c:pt idx="112">
                  <c:v>-108.79100000000001</c:v>
                </c:pt>
                <c:pt idx="113">
                  <c:v>-108.79100000000001</c:v>
                </c:pt>
                <c:pt idx="114">
                  <c:v>-107.51599999999999</c:v>
                </c:pt>
                <c:pt idx="115">
                  <c:v>-99.567999999999998</c:v>
                </c:pt>
                <c:pt idx="116">
                  <c:v>-74.759000000000015</c:v>
                </c:pt>
                <c:pt idx="117">
                  <c:v>-63.080999999999996</c:v>
                </c:pt>
                <c:pt idx="118">
                  <c:v>-58.091999999999999</c:v>
                </c:pt>
                <c:pt idx="119">
                  <c:v>-40.613999999999983</c:v>
                </c:pt>
                <c:pt idx="120">
                  <c:v>-24.567000000000014</c:v>
                </c:pt>
                <c:pt idx="121">
                  <c:v>-22.357000000000014</c:v>
                </c:pt>
                <c:pt idx="122">
                  <c:v>-5.0699999999999994</c:v>
                </c:pt>
                <c:pt idx="123">
                  <c:v>3.6909999999999936</c:v>
                </c:pt>
                <c:pt idx="124">
                  <c:v>12.435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96624"/>
        <c:axId val="1536097168"/>
      </c:scatterChart>
      <c:valAx>
        <c:axId val="153609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Station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097168"/>
        <c:crosses val="autoZero"/>
        <c:crossBetween val="midCat"/>
      </c:valAx>
      <c:valAx>
        <c:axId val="1536097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Shear (kN)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3609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1'!$C$34:$C$46</c:f>
              <c:numCache>
                <c:formatCode>General</c:formatCode>
                <c:ptCount val="13"/>
                <c:pt idx="0">
                  <c:v>0</c:v>
                </c:pt>
                <c:pt idx="1">
                  <c:v>0.48237999999999998</c:v>
                </c:pt>
                <c:pt idx="2">
                  <c:v>0.96475</c:v>
                </c:pt>
                <c:pt idx="3">
                  <c:v>1.44713</c:v>
                </c:pt>
                <c:pt idx="4">
                  <c:v>1.5692299999999999</c:v>
                </c:pt>
                <c:pt idx="5">
                  <c:v>1.9295</c:v>
                </c:pt>
                <c:pt idx="6">
                  <c:v>2.41188</c:v>
                </c:pt>
                <c:pt idx="7">
                  <c:v>2.68154</c:v>
                </c:pt>
                <c:pt idx="8">
                  <c:v>2.89425</c:v>
                </c:pt>
                <c:pt idx="9">
                  <c:v>3.37663</c:v>
                </c:pt>
                <c:pt idx="10">
                  <c:v>3.7938399999999999</c:v>
                </c:pt>
                <c:pt idx="11">
                  <c:v>3.859</c:v>
                </c:pt>
                <c:pt idx="12">
                  <c:v>3.86</c:v>
                </c:pt>
              </c:numCache>
            </c:numRef>
          </c:xVal>
          <c:yVal>
            <c:numRef>
              <c:f>'[1]Simplified Analysis 1'!$K$34:$K$46</c:f>
              <c:numCache>
                <c:formatCode>General</c:formatCode>
                <c:ptCount val="13"/>
                <c:pt idx="0">
                  <c:v>-12.430999999999996</c:v>
                </c:pt>
                <c:pt idx="1">
                  <c:v>-3.6919999999999931</c:v>
                </c:pt>
                <c:pt idx="2">
                  <c:v>5.0660000000000025</c:v>
                </c:pt>
                <c:pt idx="3">
                  <c:v>22.332000000000001</c:v>
                </c:pt>
                <c:pt idx="4">
                  <c:v>24.553999999999995</c:v>
                </c:pt>
                <c:pt idx="5">
                  <c:v>40.580999999999996</c:v>
                </c:pt>
                <c:pt idx="6">
                  <c:v>58.050999999999995</c:v>
                </c:pt>
                <c:pt idx="7">
                  <c:v>63.063000000000002</c:v>
                </c:pt>
                <c:pt idx="8">
                  <c:v>74.709999999999994</c:v>
                </c:pt>
                <c:pt idx="9">
                  <c:v>99.48</c:v>
                </c:pt>
                <c:pt idx="10">
                  <c:v>107.462</c:v>
                </c:pt>
                <c:pt idx="11">
                  <c:v>123.84100000000001</c:v>
                </c:pt>
                <c:pt idx="12">
                  <c:v>123.861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08048"/>
        <c:axId val="1536102608"/>
      </c:scatterChart>
      <c:valAx>
        <c:axId val="153610804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2608"/>
        <c:crosses val="autoZero"/>
        <c:crossBetween val="midCat"/>
      </c:valAx>
      <c:valAx>
        <c:axId val="1536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1'!$C$61:$C$73</c:f>
              <c:numCache>
                <c:formatCode>General</c:formatCode>
                <c:ptCount val="13"/>
                <c:pt idx="0">
                  <c:v>0</c:v>
                </c:pt>
                <c:pt idx="1">
                  <c:v>0.48149999999999998</c:v>
                </c:pt>
                <c:pt idx="2">
                  <c:v>0.96399999999999997</c:v>
                </c:pt>
                <c:pt idx="3">
                  <c:v>1.0461499999999999</c:v>
                </c:pt>
                <c:pt idx="4">
                  <c:v>1.4464999999999999</c:v>
                </c:pt>
                <c:pt idx="5">
                  <c:v>1.929</c:v>
                </c:pt>
                <c:pt idx="6">
                  <c:v>2.1584599999999998</c:v>
                </c:pt>
                <c:pt idx="7">
                  <c:v>2.4115000000000002</c:v>
                </c:pt>
                <c:pt idx="8">
                  <c:v>2.8940000000000001</c:v>
                </c:pt>
                <c:pt idx="9">
                  <c:v>3.2707700000000002</c:v>
                </c:pt>
                <c:pt idx="10">
                  <c:v>3.3765000000000001</c:v>
                </c:pt>
                <c:pt idx="11">
                  <c:v>3.859</c:v>
                </c:pt>
                <c:pt idx="12">
                  <c:v>3.86</c:v>
                </c:pt>
              </c:numCache>
            </c:numRef>
          </c:xVal>
          <c:yVal>
            <c:numRef>
              <c:f>'[1]Simplified Analysis 1'!$K$61:$K$73</c:f>
              <c:numCache>
                <c:formatCode>General</c:formatCode>
                <c:ptCount val="13"/>
                <c:pt idx="0">
                  <c:v>723.65909999999997</c:v>
                </c:pt>
                <c:pt idx="1">
                  <c:v>732.05420000000004</c:v>
                </c:pt>
                <c:pt idx="2">
                  <c:v>727.57620000000009</c:v>
                </c:pt>
                <c:pt idx="3">
                  <c:v>723.0637999999999</c:v>
                </c:pt>
                <c:pt idx="4">
                  <c:v>714.78599999999994</c:v>
                </c:pt>
                <c:pt idx="5">
                  <c:v>687.077</c:v>
                </c:pt>
                <c:pt idx="6">
                  <c:v>664.3289000000002</c:v>
                </c:pt>
                <c:pt idx="7">
                  <c:v>645.39609999999993</c:v>
                </c:pt>
                <c:pt idx="8">
                  <c:v>589.62450000000013</c:v>
                </c:pt>
                <c:pt idx="9">
                  <c:v>535.26779999999985</c:v>
                </c:pt>
                <c:pt idx="10">
                  <c:v>521.08640000000003</c:v>
                </c:pt>
                <c:pt idx="11">
                  <c:v>443.42859999999996</c:v>
                </c:pt>
                <c:pt idx="12">
                  <c:v>443.12909999999999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94992"/>
        <c:axId val="1536103696"/>
      </c:scatterChart>
      <c:valAx>
        <c:axId val="15360949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3696"/>
        <c:crosses val="autoZero"/>
        <c:crossBetween val="midCat"/>
      </c:valAx>
      <c:valAx>
        <c:axId val="15361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1'!$C$79:$C$91</c:f>
              <c:numCache>
                <c:formatCode>General</c:formatCode>
                <c:ptCount val="13"/>
                <c:pt idx="0">
                  <c:v>0</c:v>
                </c:pt>
                <c:pt idx="1">
                  <c:v>0.48149999999999998</c:v>
                </c:pt>
                <c:pt idx="2">
                  <c:v>0.96399999999999997</c:v>
                </c:pt>
                <c:pt idx="3">
                  <c:v>1.0461499999999999</c:v>
                </c:pt>
                <c:pt idx="4">
                  <c:v>1.4464999999999999</c:v>
                </c:pt>
                <c:pt idx="5">
                  <c:v>1.929</c:v>
                </c:pt>
                <c:pt idx="6">
                  <c:v>2.1584599999999998</c:v>
                </c:pt>
                <c:pt idx="7">
                  <c:v>2.4115000000000002</c:v>
                </c:pt>
                <c:pt idx="8">
                  <c:v>2.8940000000000001</c:v>
                </c:pt>
                <c:pt idx="9">
                  <c:v>3.2707700000000002</c:v>
                </c:pt>
                <c:pt idx="10">
                  <c:v>3.3765000000000001</c:v>
                </c:pt>
                <c:pt idx="11">
                  <c:v>3.859</c:v>
                </c:pt>
                <c:pt idx="12">
                  <c:v>3.86</c:v>
                </c:pt>
              </c:numCache>
            </c:numRef>
          </c:xVal>
          <c:yVal>
            <c:numRef>
              <c:f>'[1]Simplified Analysis 1'!$K$79:$K$91</c:f>
              <c:numCache>
                <c:formatCode>General</c:formatCode>
                <c:ptCount val="13"/>
                <c:pt idx="0">
                  <c:v>123.861</c:v>
                </c:pt>
                <c:pt idx="1">
                  <c:v>147.60499999999996</c:v>
                </c:pt>
                <c:pt idx="2">
                  <c:v>170.90100000000001</c:v>
                </c:pt>
                <c:pt idx="3">
                  <c:v>172.55499999999998</c:v>
                </c:pt>
                <c:pt idx="4">
                  <c:v>199.131</c:v>
                </c:pt>
                <c:pt idx="5">
                  <c:v>227.995</c:v>
                </c:pt>
                <c:pt idx="6">
                  <c:v>232.85600000000002</c:v>
                </c:pt>
                <c:pt idx="7">
                  <c:v>256.10500000000002</c:v>
                </c:pt>
                <c:pt idx="8">
                  <c:v>283.47000000000003</c:v>
                </c:pt>
                <c:pt idx="9">
                  <c:v>291.88800000000003</c:v>
                </c:pt>
                <c:pt idx="10">
                  <c:v>310.10399999999998</c:v>
                </c:pt>
                <c:pt idx="11">
                  <c:v>336.08700000000005</c:v>
                </c:pt>
                <c:pt idx="12">
                  <c:v>336.11100000000005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03152"/>
        <c:axId val="1536107504"/>
      </c:scatterChart>
      <c:valAx>
        <c:axId val="153610315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7504"/>
        <c:crosses val="autoZero"/>
        <c:crossBetween val="midCat"/>
      </c:valAx>
      <c:valAx>
        <c:axId val="153610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1'!$C$106:$C$118</c:f>
              <c:numCache>
                <c:formatCode>General</c:formatCode>
                <c:ptCount val="13"/>
                <c:pt idx="0">
                  <c:v>0</c:v>
                </c:pt>
                <c:pt idx="1">
                  <c:v>0.48149999999999998</c:v>
                </c:pt>
                <c:pt idx="2">
                  <c:v>0.52307999999999999</c:v>
                </c:pt>
                <c:pt idx="3">
                  <c:v>0.96399999999999997</c:v>
                </c:pt>
                <c:pt idx="4">
                  <c:v>1.4464999999999999</c:v>
                </c:pt>
                <c:pt idx="5">
                  <c:v>1.6353800000000001</c:v>
                </c:pt>
                <c:pt idx="6">
                  <c:v>1.929</c:v>
                </c:pt>
                <c:pt idx="7">
                  <c:v>2.4115000000000002</c:v>
                </c:pt>
                <c:pt idx="8">
                  <c:v>2.74769</c:v>
                </c:pt>
                <c:pt idx="9">
                  <c:v>2.8940000000000001</c:v>
                </c:pt>
                <c:pt idx="10">
                  <c:v>3.3765000000000001</c:v>
                </c:pt>
                <c:pt idx="11">
                  <c:v>3.859</c:v>
                </c:pt>
                <c:pt idx="12">
                  <c:v>3.86</c:v>
                </c:pt>
              </c:numCache>
            </c:numRef>
          </c:xVal>
          <c:yVal>
            <c:numRef>
              <c:f>'[1]Simplified Analysis 1'!$K$106:$K$118</c:f>
              <c:numCache>
                <c:formatCode>General</c:formatCode>
                <c:ptCount val="13"/>
                <c:pt idx="0">
                  <c:v>443.12909999999999</c:v>
                </c:pt>
                <c:pt idx="1">
                  <c:v>352.31119999999999</c:v>
                </c:pt>
                <c:pt idx="2">
                  <c:v>338.83289999999994</c:v>
                </c:pt>
                <c:pt idx="3">
                  <c:v>248.25390000000002</c:v>
                </c:pt>
                <c:pt idx="4">
                  <c:v>136.88250000000005</c:v>
                </c:pt>
                <c:pt idx="5">
                  <c:v>83.960200000000015</c:v>
                </c:pt>
                <c:pt idx="6">
                  <c:v>18.049299999999992</c:v>
                </c:pt>
                <c:pt idx="7">
                  <c:v>-95.585399999999979</c:v>
                </c:pt>
                <c:pt idx="8">
                  <c:v>-139.1514</c:v>
                </c:pt>
                <c:pt idx="9">
                  <c:v>-159.11130000000003</c:v>
                </c:pt>
                <c:pt idx="10">
                  <c:v>-229.3398</c:v>
                </c:pt>
                <c:pt idx="11">
                  <c:v>-306.51530000000002</c:v>
                </c:pt>
                <c:pt idx="12">
                  <c:v>-306.68270000000001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04784"/>
        <c:axId val="1536105872"/>
      </c:scatterChart>
      <c:valAx>
        <c:axId val="15361047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5872"/>
        <c:crosses val="autoZero"/>
        <c:crossBetween val="midCat"/>
      </c:valAx>
      <c:valAx>
        <c:axId val="15361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1'!$C$124:$C$136</c:f>
              <c:numCache>
                <c:formatCode>General</c:formatCode>
                <c:ptCount val="13"/>
                <c:pt idx="0">
                  <c:v>0</c:v>
                </c:pt>
                <c:pt idx="1">
                  <c:v>0.48149999999999998</c:v>
                </c:pt>
                <c:pt idx="2">
                  <c:v>0.52307999999999999</c:v>
                </c:pt>
                <c:pt idx="3">
                  <c:v>0.96399999999999997</c:v>
                </c:pt>
                <c:pt idx="4">
                  <c:v>1.4464999999999999</c:v>
                </c:pt>
                <c:pt idx="5">
                  <c:v>1.6353800000000001</c:v>
                </c:pt>
                <c:pt idx="6">
                  <c:v>1.929</c:v>
                </c:pt>
                <c:pt idx="7">
                  <c:v>2.4115000000000002</c:v>
                </c:pt>
                <c:pt idx="8">
                  <c:v>2.74769</c:v>
                </c:pt>
                <c:pt idx="9">
                  <c:v>2.8940000000000001</c:v>
                </c:pt>
                <c:pt idx="10">
                  <c:v>3.3765000000000001</c:v>
                </c:pt>
                <c:pt idx="11">
                  <c:v>3.859</c:v>
                </c:pt>
                <c:pt idx="12">
                  <c:v>3.86</c:v>
                </c:pt>
              </c:numCache>
            </c:numRef>
          </c:xVal>
          <c:yVal>
            <c:numRef>
              <c:f>'[1]Simplified Analysis 1'!$K$124:$K$136</c:f>
              <c:numCache>
                <c:formatCode>General</c:formatCode>
                <c:ptCount val="13"/>
                <c:pt idx="0">
                  <c:v>336.11100000000005</c:v>
                </c:pt>
                <c:pt idx="1">
                  <c:v>361.47</c:v>
                </c:pt>
                <c:pt idx="2">
                  <c:v>362.47800000000001</c:v>
                </c:pt>
                <c:pt idx="3">
                  <c:v>386.28899999999999</c:v>
                </c:pt>
                <c:pt idx="4">
                  <c:v>410.59999999999997</c:v>
                </c:pt>
                <c:pt idx="5">
                  <c:v>415.54100000000011</c:v>
                </c:pt>
                <c:pt idx="6">
                  <c:v>434.42599999999999</c:v>
                </c:pt>
                <c:pt idx="7">
                  <c:v>457.80700000000002</c:v>
                </c:pt>
                <c:pt idx="8">
                  <c:v>467.26899999999995</c:v>
                </c:pt>
                <c:pt idx="9">
                  <c:v>480.77900000000005</c:v>
                </c:pt>
                <c:pt idx="10">
                  <c:v>505.87099999999998</c:v>
                </c:pt>
                <c:pt idx="11">
                  <c:v>537.31699999999989</c:v>
                </c:pt>
                <c:pt idx="12">
                  <c:v>537.34899999999993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97712"/>
        <c:axId val="1536096080"/>
      </c:scatterChart>
      <c:valAx>
        <c:axId val="15360977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6080"/>
        <c:crosses val="autoZero"/>
        <c:crossBetween val="midCat"/>
      </c:valAx>
      <c:valAx>
        <c:axId val="15360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1'!$C$151:$C$162</c:f>
              <c:numCache>
                <c:formatCode>General</c:formatCode>
                <c:ptCount val="12"/>
                <c:pt idx="0">
                  <c:v>0</c:v>
                </c:pt>
                <c:pt idx="1">
                  <c:v>0.47525000000000001</c:v>
                </c:pt>
                <c:pt idx="2">
                  <c:v>0.95150000000000001</c:v>
                </c:pt>
                <c:pt idx="3">
                  <c:v>1.4277500000000001</c:v>
                </c:pt>
                <c:pt idx="4">
                  <c:v>1.524</c:v>
                </c:pt>
                <c:pt idx="5">
                  <c:v>1.9039999999999999</c:v>
                </c:pt>
                <c:pt idx="6">
                  <c:v>2.3802500000000002</c:v>
                </c:pt>
                <c:pt idx="7">
                  <c:v>2.8565</c:v>
                </c:pt>
                <c:pt idx="8">
                  <c:v>3.048</c:v>
                </c:pt>
                <c:pt idx="9">
                  <c:v>3.3327499999999999</c:v>
                </c:pt>
                <c:pt idx="10">
                  <c:v>3.8090000000000002</c:v>
                </c:pt>
                <c:pt idx="11">
                  <c:v>3.81</c:v>
                </c:pt>
              </c:numCache>
            </c:numRef>
          </c:xVal>
          <c:yVal>
            <c:numRef>
              <c:f>'[1]Simplified Analysis 1'!$K$151:$K$162</c:f>
              <c:numCache>
                <c:formatCode>General</c:formatCode>
                <c:ptCount val="12"/>
                <c:pt idx="0">
                  <c:v>-306.68270000000001</c:v>
                </c:pt>
                <c:pt idx="1">
                  <c:v>-247.70740000000006</c:v>
                </c:pt>
                <c:pt idx="2">
                  <c:v>-195.28739999999999</c:v>
                </c:pt>
                <c:pt idx="3">
                  <c:v>-149.22950000000003</c:v>
                </c:pt>
                <c:pt idx="4">
                  <c:v>-140.6652</c:v>
                </c:pt>
                <c:pt idx="5">
                  <c:v>-87.634499999999989</c:v>
                </c:pt>
                <c:pt idx="6">
                  <c:v>14.348199999999981</c:v>
                </c:pt>
                <c:pt idx="7">
                  <c:v>107.64950000000002</c:v>
                </c:pt>
                <c:pt idx="8">
                  <c:v>138.15219999999999</c:v>
                </c:pt>
                <c:pt idx="9">
                  <c:v>190.63059999999999</c:v>
                </c:pt>
                <c:pt idx="10">
                  <c:v>263.49549999999994</c:v>
                </c:pt>
                <c:pt idx="11">
                  <c:v>263.51649999999995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99344"/>
        <c:axId val="1536098800"/>
      </c:scatterChart>
      <c:valAx>
        <c:axId val="153609934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8800"/>
        <c:crosses val="autoZero"/>
        <c:crossBetween val="midCat"/>
      </c:valAx>
      <c:valAx>
        <c:axId val="15360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1'!$C$168:$C$179</c:f>
              <c:numCache>
                <c:formatCode>General</c:formatCode>
                <c:ptCount val="12"/>
                <c:pt idx="0">
                  <c:v>0</c:v>
                </c:pt>
                <c:pt idx="1">
                  <c:v>0.47525000000000001</c:v>
                </c:pt>
                <c:pt idx="2">
                  <c:v>0.95150000000000001</c:v>
                </c:pt>
                <c:pt idx="3">
                  <c:v>1.4277500000000001</c:v>
                </c:pt>
                <c:pt idx="4">
                  <c:v>1.524</c:v>
                </c:pt>
                <c:pt idx="5">
                  <c:v>1.9039999999999999</c:v>
                </c:pt>
                <c:pt idx="6">
                  <c:v>2.3802500000000002</c:v>
                </c:pt>
                <c:pt idx="7">
                  <c:v>2.8565</c:v>
                </c:pt>
                <c:pt idx="8">
                  <c:v>3.048</c:v>
                </c:pt>
                <c:pt idx="9">
                  <c:v>3.3327499999999999</c:v>
                </c:pt>
                <c:pt idx="10">
                  <c:v>3.8090000000000002</c:v>
                </c:pt>
                <c:pt idx="11">
                  <c:v>3.81</c:v>
                </c:pt>
              </c:numCache>
            </c:numRef>
          </c:xVal>
          <c:yVal>
            <c:numRef>
              <c:f>'[1]Simplified Analysis 1'!$K$168:$K$179</c:f>
              <c:numCache>
                <c:formatCode>General</c:formatCode>
                <c:ptCount val="12"/>
                <c:pt idx="0">
                  <c:v>-131.32499999999999</c:v>
                </c:pt>
                <c:pt idx="1">
                  <c:v>-116.97600000000001</c:v>
                </c:pt>
                <c:pt idx="2">
                  <c:v>-103.27499999999999</c:v>
                </c:pt>
                <c:pt idx="3">
                  <c:v>-90.25800000000001</c:v>
                </c:pt>
                <c:pt idx="4">
                  <c:v>-87.709000000000003</c:v>
                </c:pt>
                <c:pt idx="5">
                  <c:v>-77.874999999999986</c:v>
                </c:pt>
                <c:pt idx="6">
                  <c:v>-66.034000000000006</c:v>
                </c:pt>
                <c:pt idx="7">
                  <c:v>-54.731000000000009</c:v>
                </c:pt>
                <c:pt idx="8">
                  <c:v>-50.338000000000001</c:v>
                </c:pt>
                <c:pt idx="9">
                  <c:v>-38.753999999999998</c:v>
                </c:pt>
                <c:pt idx="10">
                  <c:v>-20.974</c:v>
                </c:pt>
                <c:pt idx="11">
                  <c:v>-20.953000000000003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95536"/>
        <c:axId val="1536099888"/>
      </c:scatterChart>
      <c:valAx>
        <c:axId val="153609553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9888"/>
        <c:crosses val="autoZero"/>
        <c:crossBetween val="midCat"/>
      </c:valAx>
      <c:valAx>
        <c:axId val="15360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09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'[1]Simplified Analysis 1'!$C$194:$C$205</c:f>
              <c:numCache>
                <c:formatCode>General</c:formatCode>
                <c:ptCount val="12"/>
                <c:pt idx="0">
                  <c:v>0</c:v>
                </c:pt>
                <c:pt idx="1">
                  <c:v>0.47525000000000001</c:v>
                </c:pt>
                <c:pt idx="2">
                  <c:v>0.76200000000000001</c:v>
                </c:pt>
                <c:pt idx="3">
                  <c:v>0.95150000000000001</c:v>
                </c:pt>
                <c:pt idx="4">
                  <c:v>1.4277500000000001</c:v>
                </c:pt>
                <c:pt idx="5">
                  <c:v>1.9039999999999999</c:v>
                </c:pt>
                <c:pt idx="6">
                  <c:v>2.286</c:v>
                </c:pt>
                <c:pt idx="7">
                  <c:v>2.3802500000000002</c:v>
                </c:pt>
                <c:pt idx="8">
                  <c:v>2.8565</c:v>
                </c:pt>
                <c:pt idx="9">
                  <c:v>3.3327499999999999</c:v>
                </c:pt>
                <c:pt idx="10">
                  <c:v>3.8090000000000002</c:v>
                </c:pt>
                <c:pt idx="11">
                  <c:v>3.81</c:v>
                </c:pt>
              </c:numCache>
            </c:numRef>
          </c:xVal>
          <c:yVal>
            <c:numRef>
              <c:f>'[1]Simplified Analysis 1'!$K$194:$K$205</c:f>
              <c:numCache>
                <c:formatCode>General</c:formatCode>
                <c:ptCount val="12"/>
                <c:pt idx="0">
                  <c:v>263.51649999999995</c:v>
                </c:pt>
                <c:pt idx="1">
                  <c:v>329.28790000000009</c:v>
                </c:pt>
                <c:pt idx="2">
                  <c:v>363.83769999999998</c:v>
                </c:pt>
                <c:pt idx="3">
                  <c:v>393.2865000000001</c:v>
                </c:pt>
                <c:pt idx="4">
                  <c:v>449.82490000000001</c:v>
                </c:pt>
                <c:pt idx="5">
                  <c:v>501.55820000000006</c:v>
                </c:pt>
                <c:pt idx="6">
                  <c:v>533.0068</c:v>
                </c:pt>
                <c:pt idx="7">
                  <c:v>541.71879999999999</c:v>
                </c:pt>
                <c:pt idx="8">
                  <c:v>568.63850000000002</c:v>
                </c:pt>
                <c:pt idx="9">
                  <c:v>582.22450000000003</c:v>
                </c:pt>
                <c:pt idx="10">
                  <c:v>582.50609999999995</c:v>
                </c:pt>
                <c:pt idx="11">
                  <c:v>582.46619999999996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01520"/>
        <c:axId val="1536106416"/>
      </c:scatterChart>
      <c:valAx>
        <c:axId val="153610152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6416"/>
        <c:crosses val="autoZero"/>
        <c:crossBetween val="midCat"/>
      </c:valAx>
      <c:valAx>
        <c:axId val="15361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0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12</xdr:row>
      <xdr:rowOff>106680</xdr:rowOff>
    </xdr:from>
    <xdr:to>
      <xdr:col>22</xdr:col>
      <xdr:colOff>175260</xdr:colOff>
      <xdr:row>27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480060</xdr:colOff>
      <xdr:row>30</xdr:row>
      <xdr:rowOff>106680</xdr:rowOff>
    </xdr:from>
    <xdr:to>
      <xdr:col>22</xdr:col>
      <xdr:colOff>175260</xdr:colOff>
      <xdr:row>45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480060</xdr:colOff>
      <xdr:row>56</xdr:row>
      <xdr:rowOff>106680</xdr:rowOff>
    </xdr:from>
    <xdr:to>
      <xdr:col>22</xdr:col>
      <xdr:colOff>175260</xdr:colOff>
      <xdr:row>71</xdr:row>
      <xdr:rowOff>106680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480060</xdr:colOff>
      <xdr:row>74</xdr:row>
      <xdr:rowOff>106681</xdr:rowOff>
    </xdr:from>
    <xdr:to>
      <xdr:col>22</xdr:col>
      <xdr:colOff>175260</xdr:colOff>
      <xdr:row>89</xdr:row>
      <xdr:rowOff>106681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480060</xdr:colOff>
      <xdr:row>100</xdr:row>
      <xdr:rowOff>106680</xdr:rowOff>
    </xdr:from>
    <xdr:to>
      <xdr:col>22</xdr:col>
      <xdr:colOff>175260</xdr:colOff>
      <xdr:row>115</xdr:row>
      <xdr:rowOff>106680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480060</xdr:colOff>
      <xdr:row>118</xdr:row>
      <xdr:rowOff>106681</xdr:rowOff>
    </xdr:from>
    <xdr:to>
      <xdr:col>22</xdr:col>
      <xdr:colOff>175260</xdr:colOff>
      <xdr:row>133</xdr:row>
      <xdr:rowOff>106681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480060</xdr:colOff>
      <xdr:row>144</xdr:row>
      <xdr:rowOff>106681</xdr:rowOff>
    </xdr:from>
    <xdr:to>
      <xdr:col>22</xdr:col>
      <xdr:colOff>175260</xdr:colOff>
      <xdr:row>159</xdr:row>
      <xdr:rowOff>106681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480060</xdr:colOff>
      <xdr:row>161</xdr:row>
      <xdr:rowOff>106679</xdr:rowOff>
    </xdr:from>
    <xdr:to>
      <xdr:col>22</xdr:col>
      <xdr:colOff>175260</xdr:colOff>
      <xdr:row>176</xdr:row>
      <xdr:rowOff>106679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480060</xdr:colOff>
      <xdr:row>186</xdr:row>
      <xdr:rowOff>106681</xdr:rowOff>
    </xdr:from>
    <xdr:to>
      <xdr:col>22</xdr:col>
      <xdr:colOff>175260</xdr:colOff>
      <xdr:row>201</xdr:row>
      <xdr:rowOff>106681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480060</xdr:colOff>
      <xdr:row>203</xdr:row>
      <xdr:rowOff>106681</xdr:rowOff>
    </xdr:from>
    <xdr:to>
      <xdr:col>22</xdr:col>
      <xdr:colOff>175260</xdr:colOff>
      <xdr:row>218</xdr:row>
      <xdr:rowOff>106681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274320</xdr:colOff>
      <xdr:row>20</xdr:row>
      <xdr:rowOff>152400</xdr:rowOff>
    </xdr:from>
    <xdr:to>
      <xdr:col>22</xdr:col>
      <xdr:colOff>548640</xdr:colOff>
      <xdr:row>41</xdr:row>
      <xdr:rowOff>121920</xdr:rowOff>
    </xdr:to>
    <xdr:graphicFrame macro="">
      <xdr:nvGraphicFramePr>
        <xdr:cNvPr id="2" name="Moment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274320</xdr:colOff>
      <xdr:row>41</xdr:row>
      <xdr:rowOff>121920</xdr:rowOff>
    </xdr:from>
    <xdr:to>
      <xdr:col>22</xdr:col>
      <xdr:colOff>548640</xdr:colOff>
      <xdr:row>62</xdr:row>
      <xdr:rowOff>91440</xdr:rowOff>
    </xdr:to>
    <xdr:graphicFrame macro="">
      <xdr:nvGraphicFramePr>
        <xdr:cNvPr id="3" name="Shear 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mc/Documents/Master%20Sword/Tools/Simplified%20Analysis/simplified%20analysis%20Comple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Raw Data"/>
      <sheetName val="Refined Data"/>
      <sheetName val="Simplified Analysis 1"/>
      <sheetName val="Simplfied Analysis 2"/>
    </sheetNames>
    <sheetDataSet>
      <sheetData sheetId="0" refreshError="1"/>
      <sheetData sheetId="1" refreshError="1"/>
      <sheetData sheetId="2" refreshError="1"/>
      <sheetData sheetId="3">
        <row r="16">
          <cell r="C16">
            <v>0</v>
          </cell>
          <cell r="K16">
            <v>-2.1315000000000002E-14</v>
          </cell>
          <cell r="L16">
            <v>-2.1315000000000002E-14</v>
          </cell>
        </row>
        <row r="17">
          <cell r="C17">
            <v>0.48237999999999998</v>
          </cell>
          <cell r="K17">
            <v>167.07490000000001</v>
          </cell>
          <cell r="L17">
            <v>3.8894999999999982</v>
          </cell>
        </row>
        <row r="18">
          <cell r="C18">
            <v>0.96475</v>
          </cell>
          <cell r="K18">
            <v>309.3938</v>
          </cell>
          <cell r="L18">
            <v>3.5589000000000013</v>
          </cell>
        </row>
        <row r="19">
          <cell r="C19">
            <v>1.44713</v>
          </cell>
          <cell r="K19">
            <v>427.6789</v>
          </cell>
          <cell r="L19">
            <v>-1.0000000000000053</v>
          </cell>
        </row>
        <row r="20">
          <cell r="C20">
            <v>1.5692299999999999</v>
          </cell>
          <cell r="K20">
            <v>444.92919999999998</v>
          </cell>
          <cell r="L20">
            <v>-2.8256999999999923</v>
          </cell>
        </row>
        <row r="21">
          <cell r="C21">
            <v>1.9295</v>
          </cell>
          <cell r="K21">
            <v>522.74770000000001</v>
          </cell>
          <cell r="L21">
            <v>-9.798</v>
          </cell>
        </row>
        <row r="22">
          <cell r="C22">
            <v>2.41188</v>
          </cell>
          <cell r="K22">
            <v>597.00130000000001</v>
          </cell>
          <cell r="L22">
            <v>-22.865900000000003</v>
          </cell>
        </row>
        <row r="23">
          <cell r="C23">
            <v>2.68154</v>
          </cell>
          <cell r="K23">
            <v>619.37139999999999</v>
          </cell>
          <cell r="L23">
            <v>-32.047899999999991</v>
          </cell>
        </row>
        <row r="24">
          <cell r="C24">
            <v>2.89425</v>
          </cell>
          <cell r="K24">
            <v>656.96069999999997</v>
          </cell>
          <cell r="L24">
            <v>-40.246600000000001</v>
          </cell>
        </row>
        <row r="25">
          <cell r="C25">
            <v>3.37663</v>
          </cell>
          <cell r="K25">
            <v>698.89570000000015</v>
          </cell>
          <cell r="L25">
            <v>-61.991199999999999</v>
          </cell>
        </row>
        <row r="26">
          <cell r="C26">
            <v>3.7938399999999999</v>
          </cell>
          <cell r="K26">
            <v>713.73629999999991</v>
          </cell>
          <cell r="L26">
            <v>-84.364999999999981</v>
          </cell>
        </row>
        <row r="27">
          <cell r="C27">
            <v>3.859</v>
          </cell>
          <cell r="K27">
            <v>723.64739999999983</v>
          </cell>
          <cell r="L27">
            <v>-88.160399999999996</v>
          </cell>
        </row>
        <row r="28">
          <cell r="C28">
            <v>3.86</v>
          </cell>
          <cell r="K28">
            <v>723.65909999999997</v>
          </cell>
          <cell r="L28">
            <v>-88.219199999999987</v>
          </cell>
        </row>
        <row r="34">
          <cell r="C34">
            <v>0</v>
          </cell>
          <cell r="K34">
            <v>-12.430999999999996</v>
          </cell>
          <cell r="L34">
            <v>-372.464</v>
          </cell>
        </row>
        <row r="35">
          <cell r="C35">
            <v>0.48237999999999998</v>
          </cell>
          <cell r="K35">
            <v>-3.6919999999999931</v>
          </cell>
          <cell r="L35">
            <v>-341.98800000000006</v>
          </cell>
        </row>
        <row r="36">
          <cell r="C36">
            <v>0.96475</v>
          </cell>
          <cell r="K36">
            <v>5.0660000000000025</v>
          </cell>
          <cell r="L36">
            <v>-311.94399999999996</v>
          </cell>
        </row>
        <row r="37">
          <cell r="C37">
            <v>1.44713</v>
          </cell>
          <cell r="K37">
            <v>22.332000000000001</v>
          </cell>
          <cell r="L37">
            <v>-282.387</v>
          </cell>
        </row>
        <row r="38">
          <cell r="C38">
            <v>1.5692299999999999</v>
          </cell>
          <cell r="K38">
            <v>24.553999999999995</v>
          </cell>
          <cell r="L38">
            <v>-259.93900000000002</v>
          </cell>
        </row>
        <row r="39">
          <cell r="C39">
            <v>1.9295</v>
          </cell>
          <cell r="K39">
            <v>40.580999999999996</v>
          </cell>
          <cell r="L39">
            <v>-253.352</v>
          </cell>
        </row>
        <row r="40">
          <cell r="C40">
            <v>2.41188</v>
          </cell>
          <cell r="K40">
            <v>58.050999999999995</v>
          </cell>
          <cell r="L40">
            <v>-225.46099999999998</v>
          </cell>
        </row>
        <row r="41">
          <cell r="C41">
            <v>2.68154</v>
          </cell>
          <cell r="K41">
            <v>63.063000000000002</v>
          </cell>
          <cell r="L41">
            <v>-204.33599999999998</v>
          </cell>
        </row>
        <row r="42">
          <cell r="C42">
            <v>2.89425</v>
          </cell>
          <cell r="K42">
            <v>74.709999999999994</v>
          </cell>
          <cell r="L42">
            <v>-200.36</v>
          </cell>
        </row>
        <row r="43">
          <cell r="C43">
            <v>3.37663</v>
          </cell>
          <cell r="K43">
            <v>99.48</v>
          </cell>
          <cell r="L43">
            <v>-175.696</v>
          </cell>
        </row>
        <row r="44">
          <cell r="C44">
            <v>3.7938399999999999</v>
          </cell>
          <cell r="K44">
            <v>107.462</v>
          </cell>
          <cell r="L44">
            <v>-152.74199999999999</v>
          </cell>
        </row>
        <row r="45">
          <cell r="C45">
            <v>3.859</v>
          </cell>
          <cell r="K45">
            <v>123.84100000000001</v>
          </cell>
          <cell r="L45">
            <v>-151.488</v>
          </cell>
        </row>
        <row r="46">
          <cell r="C46">
            <v>3.86</v>
          </cell>
          <cell r="K46">
            <v>123.861</v>
          </cell>
          <cell r="L46">
            <v>-137.089</v>
          </cell>
        </row>
        <row r="61">
          <cell r="C61">
            <v>0</v>
          </cell>
          <cell r="K61">
            <v>723.65909999999997</v>
          </cell>
          <cell r="L61">
            <v>-88.219199999999987</v>
          </cell>
        </row>
        <row r="62">
          <cell r="C62">
            <v>0.48149999999999998</v>
          </cell>
          <cell r="K62">
            <v>732.05420000000004</v>
          </cell>
          <cell r="L62">
            <v>-118.83170000000001</v>
          </cell>
        </row>
        <row r="63">
          <cell r="C63">
            <v>0.96399999999999997</v>
          </cell>
          <cell r="K63">
            <v>727.57620000000009</v>
          </cell>
          <cell r="L63">
            <v>-154.08740000000006</v>
          </cell>
        </row>
        <row r="64">
          <cell r="C64">
            <v>1.0461499999999999</v>
          </cell>
          <cell r="K64">
            <v>723.0637999999999</v>
          </cell>
          <cell r="L64">
            <v>-160.55360000000002</v>
          </cell>
        </row>
        <row r="65">
          <cell r="C65">
            <v>1.4464999999999999</v>
          </cell>
          <cell r="K65">
            <v>714.78599999999994</v>
          </cell>
          <cell r="L65">
            <v>-194.02230000000003</v>
          </cell>
        </row>
        <row r="66">
          <cell r="C66">
            <v>1.929</v>
          </cell>
          <cell r="K66">
            <v>687.077</v>
          </cell>
          <cell r="L66">
            <v>-238.74569999999997</v>
          </cell>
        </row>
        <row r="67">
          <cell r="C67">
            <v>2.1584599999999998</v>
          </cell>
          <cell r="K67">
            <v>664.3289000000002</v>
          </cell>
          <cell r="L67">
            <v>-261.72820000000007</v>
          </cell>
        </row>
        <row r="68">
          <cell r="C68">
            <v>2.4115000000000002</v>
          </cell>
          <cell r="K68">
            <v>645.39609999999993</v>
          </cell>
          <cell r="L68">
            <v>-288.37360000000001</v>
          </cell>
        </row>
        <row r="69">
          <cell r="C69">
            <v>2.8940000000000001</v>
          </cell>
          <cell r="K69">
            <v>589.62450000000013</v>
          </cell>
          <cell r="L69">
            <v>-343.02719999999999</v>
          </cell>
        </row>
        <row r="70">
          <cell r="C70">
            <v>3.2707700000000002</v>
          </cell>
          <cell r="K70">
            <v>535.26779999999985</v>
          </cell>
          <cell r="L70">
            <v>-389.28049999999996</v>
          </cell>
        </row>
        <row r="71">
          <cell r="C71">
            <v>3.3765000000000001</v>
          </cell>
          <cell r="K71">
            <v>521.08640000000003</v>
          </cell>
          <cell r="L71">
            <v>-402.83339999999998</v>
          </cell>
        </row>
        <row r="72">
          <cell r="C72">
            <v>3.859</v>
          </cell>
          <cell r="K72">
            <v>443.42859999999996</v>
          </cell>
          <cell r="L72">
            <v>-467.93330000000003</v>
          </cell>
        </row>
        <row r="73">
          <cell r="C73">
            <v>3.86</v>
          </cell>
          <cell r="K73">
            <v>443.12909999999999</v>
          </cell>
          <cell r="L73">
            <v>-468.07370000000003</v>
          </cell>
        </row>
        <row r="79">
          <cell r="C79">
            <v>0</v>
          </cell>
          <cell r="K79">
            <v>123.861</v>
          </cell>
          <cell r="L79">
            <v>-137.089</v>
          </cell>
        </row>
        <row r="80">
          <cell r="C80">
            <v>0.48149999999999998</v>
          </cell>
          <cell r="K80">
            <v>147.60499999999996</v>
          </cell>
          <cell r="L80">
            <v>-127.70200000000001</v>
          </cell>
        </row>
        <row r="81">
          <cell r="C81">
            <v>0.96399999999999997</v>
          </cell>
          <cell r="K81">
            <v>170.90100000000001</v>
          </cell>
          <cell r="L81">
            <v>-104.327</v>
          </cell>
        </row>
        <row r="82">
          <cell r="C82">
            <v>1.0461499999999999</v>
          </cell>
          <cell r="K82">
            <v>172.55499999999998</v>
          </cell>
          <cell r="L82">
            <v>-89.494000000000014</v>
          </cell>
        </row>
        <row r="83">
          <cell r="C83">
            <v>1.4464999999999999</v>
          </cell>
          <cell r="K83">
            <v>199.131</v>
          </cell>
          <cell r="L83">
            <v>-81.342999999999989</v>
          </cell>
        </row>
        <row r="84">
          <cell r="C84">
            <v>1.929</v>
          </cell>
          <cell r="K84">
            <v>227.995</v>
          </cell>
          <cell r="L84">
            <v>-58.707999999999991</v>
          </cell>
        </row>
        <row r="85">
          <cell r="C85">
            <v>2.1584599999999998</v>
          </cell>
          <cell r="K85">
            <v>232.85600000000002</v>
          </cell>
          <cell r="L85">
            <v>-41.83</v>
          </cell>
        </row>
        <row r="86">
          <cell r="C86">
            <v>2.4115000000000002</v>
          </cell>
          <cell r="K86">
            <v>256.10500000000002</v>
          </cell>
          <cell r="L86">
            <v>-36.403999999999996</v>
          </cell>
        </row>
        <row r="87">
          <cell r="C87">
            <v>2.8940000000000001</v>
          </cell>
          <cell r="K87">
            <v>283.47000000000003</v>
          </cell>
          <cell r="L87">
            <v>-14.390000000000008</v>
          </cell>
        </row>
        <row r="88">
          <cell r="C88">
            <v>3.2707700000000002</v>
          </cell>
          <cell r="K88">
            <v>291.88800000000003</v>
          </cell>
          <cell r="L88">
            <v>3.836000000000003</v>
          </cell>
        </row>
        <row r="89">
          <cell r="C89">
            <v>3.3765000000000001</v>
          </cell>
          <cell r="K89">
            <v>310.10399999999998</v>
          </cell>
          <cell r="L89">
            <v>6.2300000000000058</v>
          </cell>
        </row>
        <row r="90">
          <cell r="C90">
            <v>3.859</v>
          </cell>
          <cell r="K90">
            <v>336.08700000000005</v>
          </cell>
          <cell r="L90">
            <v>26.661999999999992</v>
          </cell>
        </row>
        <row r="91">
          <cell r="C91">
            <v>3.86</v>
          </cell>
          <cell r="K91">
            <v>336.11100000000005</v>
          </cell>
          <cell r="L91">
            <v>35.543000000000006</v>
          </cell>
        </row>
        <row r="106">
          <cell r="C106">
            <v>0</v>
          </cell>
          <cell r="K106">
            <v>443.12909999999999</v>
          </cell>
          <cell r="L106">
            <v>-468.07370000000003</v>
          </cell>
        </row>
        <row r="107">
          <cell r="C107">
            <v>0.48149999999999998</v>
          </cell>
          <cell r="K107">
            <v>352.31119999999999</v>
          </cell>
          <cell r="L107">
            <v>-538.50020000000006</v>
          </cell>
        </row>
        <row r="108">
          <cell r="C108">
            <v>0.52307999999999999</v>
          </cell>
          <cell r="K108">
            <v>338.83289999999994</v>
          </cell>
          <cell r="L108">
            <v>-544.84250000000009</v>
          </cell>
        </row>
        <row r="109">
          <cell r="C109">
            <v>0.96399999999999997</v>
          </cell>
          <cell r="K109">
            <v>248.25390000000002</v>
          </cell>
          <cell r="L109">
            <v>-614.71439999999996</v>
          </cell>
        </row>
        <row r="110">
          <cell r="C110">
            <v>1.4464999999999999</v>
          </cell>
          <cell r="K110">
            <v>136.88250000000005</v>
          </cell>
          <cell r="L110">
            <v>-696.77429999999993</v>
          </cell>
        </row>
        <row r="111">
          <cell r="C111">
            <v>1.6353800000000001</v>
          </cell>
          <cell r="K111">
            <v>83.960200000000015</v>
          </cell>
          <cell r="L111">
            <v>-730.5347999999999</v>
          </cell>
        </row>
        <row r="112">
          <cell r="C112">
            <v>1.929</v>
          </cell>
          <cell r="K112">
            <v>18.049299999999992</v>
          </cell>
          <cell r="L112">
            <v>-784.88470000000007</v>
          </cell>
        </row>
        <row r="113">
          <cell r="C113">
            <v>2.4115000000000002</v>
          </cell>
          <cell r="K113">
            <v>-95.585399999999979</v>
          </cell>
          <cell r="L113">
            <v>-889.8966999999999</v>
          </cell>
        </row>
        <row r="114">
          <cell r="C114">
            <v>2.74769</v>
          </cell>
          <cell r="K114">
            <v>-139.1514</v>
          </cell>
          <cell r="L114">
            <v>-974.65359999999998</v>
          </cell>
        </row>
        <row r="115">
          <cell r="C115">
            <v>2.8940000000000001</v>
          </cell>
          <cell r="K115">
            <v>-159.11130000000003</v>
          </cell>
          <cell r="L115">
            <v>-1012.7430000000001</v>
          </cell>
        </row>
        <row r="116">
          <cell r="C116">
            <v>3.3765000000000001</v>
          </cell>
          <cell r="K116">
            <v>-229.3398</v>
          </cell>
          <cell r="L116">
            <v>-1179.3936999999999</v>
          </cell>
        </row>
        <row r="117">
          <cell r="C117">
            <v>3.859</v>
          </cell>
          <cell r="K117">
            <v>-306.51530000000002</v>
          </cell>
          <cell r="L117">
            <v>-1383.7949000000001</v>
          </cell>
        </row>
        <row r="118">
          <cell r="C118">
            <v>3.86</v>
          </cell>
          <cell r="K118">
            <v>-306.68270000000001</v>
          </cell>
          <cell r="L118">
            <v>-1384.2287999999999</v>
          </cell>
        </row>
        <row r="124">
          <cell r="C124">
            <v>0</v>
          </cell>
          <cell r="K124">
            <v>336.11100000000005</v>
          </cell>
          <cell r="L124">
            <v>35.543000000000006</v>
          </cell>
        </row>
        <row r="125">
          <cell r="C125">
            <v>0.48149999999999998</v>
          </cell>
          <cell r="K125">
            <v>361.47</v>
          </cell>
          <cell r="L125">
            <v>47.033999999999999</v>
          </cell>
        </row>
        <row r="126">
          <cell r="C126">
            <v>0.52307999999999999</v>
          </cell>
          <cell r="K126">
            <v>362.47800000000001</v>
          </cell>
          <cell r="L126">
            <v>56.498999999999995</v>
          </cell>
        </row>
        <row r="127">
          <cell r="C127">
            <v>0.96399999999999997</v>
          </cell>
          <cell r="K127">
            <v>386.28899999999999</v>
          </cell>
          <cell r="L127">
            <v>67.394999999999996</v>
          </cell>
        </row>
        <row r="128">
          <cell r="C128">
            <v>1.4464999999999999</v>
          </cell>
          <cell r="K128">
            <v>410.59999999999997</v>
          </cell>
          <cell r="L128">
            <v>87.808000000000007</v>
          </cell>
        </row>
        <row r="129">
          <cell r="C129">
            <v>1.6353800000000001</v>
          </cell>
          <cell r="K129">
            <v>415.54100000000011</v>
          </cell>
          <cell r="L129">
            <v>100.49199999999999</v>
          </cell>
        </row>
        <row r="130">
          <cell r="C130">
            <v>1.929</v>
          </cell>
          <cell r="K130">
            <v>434.42599999999999</v>
          </cell>
          <cell r="L130">
            <v>108.30499999999999</v>
          </cell>
        </row>
        <row r="131">
          <cell r="C131">
            <v>2.4115000000000002</v>
          </cell>
          <cell r="K131">
            <v>457.80700000000002</v>
          </cell>
          <cell r="L131">
            <v>124.874</v>
          </cell>
        </row>
        <row r="132">
          <cell r="C132">
            <v>2.74769</v>
          </cell>
          <cell r="K132">
            <v>467.26899999999995</v>
          </cell>
          <cell r="L132">
            <v>134.33599999999998</v>
          </cell>
        </row>
        <row r="133">
          <cell r="C133">
            <v>2.8940000000000001</v>
          </cell>
          <cell r="K133">
            <v>480.77900000000005</v>
          </cell>
          <cell r="L133">
            <v>138.52199999999999</v>
          </cell>
        </row>
        <row r="134">
          <cell r="C134">
            <v>3.3765000000000001</v>
          </cell>
          <cell r="K134">
            <v>505.87099999999998</v>
          </cell>
          <cell r="L134">
            <v>152.66400000000002</v>
          </cell>
        </row>
        <row r="135">
          <cell r="C135">
            <v>3.859</v>
          </cell>
          <cell r="K135">
            <v>537.31699999999989</v>
          </cell>
          <cell r="L135">
            <v>167.31799999999998</v>
          </cell>
        </row>
        <row r="136">
          <cell r="C136">
            <v>3.86</v>
          </cell>
          <cell r="K136">
            <v>537.34899999999993</v>
          </cell>
          <cell r="L136">
            <v>167.35000000000002</v>
          </cell>
        </row>
        <row r="151">
          <cell r="C151">
            <v>0</v>
          </cell>
          <cell r="K151">
            <v>-306.68270000000001</v>
          </cell>
          <cell r="L151">
            <v>-1384.2287999999999</v>
          </cell>
        </row>
        <row r="152">
          <cell r="C152">
            <v>0.47525000000000001</v>
          </cell>
          <cell r="K152">
            <v>-247.70740000000006</v>
          </cell>
          <cell r="L152">
            <v>-1193.17</v>
          </cell>
        </row>
        <row r="153">
          <cell r="C153">
            <v>0.95150000000000001</v>
          </cell>
          <cell r="K153">
            <v>-195.28739999999999</v>
          </cell>
          <cell r="L153">
            <v>-1012.0299000000001</v>
          </cell>
        </row>
        <row r="154">
          <cell r="C154">
            <v>1.4277500000000001</v>
          </cell>
          <cell r="K154">
            <v>-149.22950000000003</v>
          </cell>
          <cell r="L154">
            <v>-840.56389999999999</v>
          </cell>
        </row>
        <row r="155">
          <cell r="C155">
            <v>1.524</v>
          </cell>
          <cell r="K155">
            <v>-140.6652</v>
          </cell>
          <cell r="L155">
            <v>-807.02650000000017</v>
          </cell>
        </row>
        <row r="156">
          <cell r="C156">
            <v>1.9039999999999999</v>
          </cell>
          <cell r="K156">
            <v>-87.634499999999989</v>
          </cell>
          <cell r="L156">
            <v>-679.34789999999998</v>
          </cell>
        </row>
        <row r="157">
          <cell r="C157">
            <v>2.3802500000000002</v>
          </cell>
          <cell r="K157">
            <v>14.348199999999981</v>
          </cell>
          <cell r="L157">
            <v>-581.0652</v>
          </cell>
        </row>
        <row r="158">
          <cell r="C158">
            <v>2.8565</v>
          </cell>
          <cell r="K158">
            <v>107.64950000000002</v>
          </cell>
          <cell r="L158">
            <v>-490.41859999999991</v>
          </cell>
        </row>
        <row r="159">
          <cell r="C159">
            <v>3.048</v>
          </cell>
          <cell r="K159">
            <v>138.15219999999999</v>
          </cell>
          <cell r="L159">
            <v>-455.6078</v>
          </cell>
        </row>
        <row r="160">
          <cell r="C160">
            <v>3.3327499999999999</v>
          </cell>
          <cell r="K160">
            <v>190.63059999999999</v>
          </cell>
          <cell r="L160">
            <v>-405.47359999999998</v>
          </cell>
        </row>
        <row r="161">
          <cell r="C161">
            <v>3.8090000000000002</v>
          </cell>
          <cell r="K161">
            <v>263.49549999999994</v>
          </cell>
          <cell r="L161">
            <v>-326.84810000000004</v>
          </cell>
        </row>
        <row r="162">
          <cell r="C162">
            <v>3.81</v>
          </cell>
          <cell r="K162">
            <v>263.51649999999995</v>
          </cell>
          <cell r="L162">
            <v>-326.69010000000003</v>
          </cell>
        </row>
        <row r="168">
          <cell r="C168">
            <v>0</v>
          </cell>
          <cell r="K168">
            <v>-131.32499999999999</v>
          </cell>
          <cell r="L168">
            <v>-522.20899999999995</v>
          </cell>
        </row>
        <row r="169">
          <cell r="C169">
            <v>0.47525000000000001</v>
          </cell>
          <cell r="K169">
            <v>-116.97600000000001</v>
          </cell>
          <cell r="L169">
            <v>-507.85999999999996</v>
          </cell>
        </row>
        <row r="170">
          <cell r="C170">
            <v>0.95150000000000001</v>
          </cell>
          <cell r="K170">
            <v>-103.27499999999999</v>
          </cell>
          <cell r="L170">
            <v>-478.23899999999998</v>
          </cell>
        </row>
        <row r="171">
          <cell r="C171">
            <v>1.4277500000000001</v>
          </cell>
          <cell r="K171">
            <v>-90.25800000000001</v>
          </cell>
          <cell r="L171">
            <v>-450.83799999999997</v>
          </cell>
        </row>
        <row r="172">
          <cell r="C172">
            <v>1.524</v>
          </cell>
          <cell r="K172">
            <v>-87.709000000000003</v>
          </cell>
          <cell r="L172">
            <v>-433.65</v>
          </cell>
        </row>
        <row r="173">
          <cell r="C173">
            <v>1.9039999999999999</v>
          </cell>
          <cell r="K173">
            <v>-77.874999999999986</v>
          </cell>
          <cell r="L173">
            <v>-423.81600000000003</v>
          </cell>
        </row>
        <row r="174">
          <cell r="C174">
            <v>2.3802500000000002</v>
          </cell>
          <cell r="K174">
            <v>-66.034000000000006</v>
          </cell>
          <cell r="L174">
            <v>-397.09200000000004</v>
          </cell>
        </row>
        <row r="175">
          <cell r="C175">
            <v>2.8565</v>
          </cell>
          <cell r="K175">
            <v>-54.731000000000009</v>
          </cell>
          <cell r="L175">
            <v>-375.48899999999998</v>
          </cell>
        </row>
        <row r="176">
          <cell r="C176">
            <v>3.048</v>
          </cell>
          <cell r="K176">
            <v>-50.338000000000001</v>
          </cell>
          <cell r="L176">
            <v>-360.65199999999999</v>
          </cell>
        </row>
        <row r="177">
          <cell r="C177">
            <v>3.3327499999999999</v>
          </cell>
          <cell r="K177">
            <v>-38.753999999999998</v>
          </cell>
          <cell r="L177">
            <v>-354.25299999999993</v>
          </cell>
        </row>
        <row r="178">
          <cell r="C178">
            <v>3.8090000000000002</v>
          </cell>
          <cell r="K178">
            <v>-20.974</v>
          </cell>
          <cell r="L178">
            <v>-332.476</v>
          </cell>
        </row>
        <row r="179">
          <cell r="C179">
            <v>3.81</v>
          </cell>
          <cell r="K179">
            <v>-20.953000000000003</v>
          </cell>
          <cell r="L179">
            <v>-320.16199999999998</v>
          </cell>
        </row>
        <row r="194">
          <cell r="C194">
            <v>0</v>
          </cell>
          <cell r="K194">
            <v>263.51649999999995</v>
          </cell>
          <cell r="L194">
            <v>-326.69010000000003</v>
          </cell>
        </row>
        <row r="195">
          <cell r="C195">
            <v>0.47525000000000001</v>
          </cell>
          <cell r="K195">
            <v>329.28790000000009</v>
          </cell>
          <cell r="L195">
            <v>-256.7525</v>
          </cell>
        </row>
        <row r="196">
          <cell r="C196">
            <v>0.76200000000000001</v>
          </cell>
          <cell r="K196">
            <v>363.83769999999998</v>
          </cell>
          <cell r="L196">
            <v>-227.977</v>
          </cell>
        </row>
        <row r="197">
          <cell r="C197">
            <v>0.95150000000000001</v>
          </cell>
          <cell r="K197">
            <v>393.2865000000001</v>
          </cell>
          <cell r="L197">
            <v>-209.8733</v>
          </cell>
        </row>
        <row r="198">
          <cell r="C198">
            <v>1.4277500000000001</v>
          </cell>
          <cell r="K198">
            <v>449.82490000000001</v>
          </cell>
          <cell r="L198">
            <v>-167.52579999999998</v>
          </cell>
        </row>
        <row r="199">
          <cell r="C199">
            <v>1.9039999999999999</v>
          </cell>
          <cell r="K199">
            <v>501.55820000000006</v>
          </cell>
          <cell r="L199">
            <v>-129.59970000000001</v>
          </cell>
        </row>
        <row r="200">
          <cell r="C200">
            <v>2.286</v>
          </cell>
          <cell r="K200">
            <v>533.0068</v>
          </cell>
          <cell r="L200">
            <v>-102.3017</v>
          </cell>
        </row>
        <row r="201">
          <cell r="C201">
            <v>2.3802500000000002</v>
          </cell>
          <cell r="K201">
            <v>541.71879999999999</v>
          </cell>
          <cell r="L201">
            <v>-95.986899999999977</v>
          </cell>
        </row>
        <row r="202">
          <cell r="C202">
            <v>2.8565</v>
          </cell>
          <cell r="K202">
            <v>568.63850000000002</v>
          </cell>
          <cell r="L202">
            <v>-66.599000000000018</v>
          </cell>
        </row>
        <row r="203">
          <cell r="C203">
            <v>3.3327499999999999</v>
          </cell>
          <cell r="K203">
            <v>582.22450000000003</v>
          </cell>
          <cell r="L203">
            <v>-41.392499999999984</v>
          </cell>
        </row>
        <row r="204">
          <cell r="C204">
            <v>3.8090000000000002</v>
          </cell>
          <cell r="K204">
            <v>582.50609999999995</v>
          </cell>
          <cell r="L204">
            <v>-20.329599999999992</v>
          </cell>
        </row>
        <row r="205">
          <cell r="C205">
            <v>3.81</v>
          </cell>
          <cell r="K205">
            <v>582.46619999999996</v>
          </cell>
          <cell r="L205">
            <v>-20.289699999999989</v>
          </cell>
        </row>
        <row r="211">
          <cell r="C211">
            <v>0</v>
          </cell>
          <cell r="K211">
            <v>-20.953000000000003</v>
          </cell>
          <cell r="L211">
            <v>-320.16199999999998</v>
          </cell>
        </row>
        <row r="212">
          <cell r="C212">
            <v>0.47525000000000001</v>
          </cell>
          <cell r="K212">
            <v>-0.94699999999999918</v>
          </cell>
          <cell r="L212">
            <v>-310.16500000000002</v>
          </cell>
        </row>
        <row r="213">
          <cell r="C213">
            <v>0.76200000000000001</v>
          </cell>
          <cell r="K213">
            <v>4.9030000000000022</v>
          </cell>
          <cell r="L213">
            <v>-291.14</v>
          </cell>
        </row>
        <row r="214">
          <cell r="C214">
            <v>0.95150000000000001</v>
          </cell>
          <cell r="K214">
            <v>19.114000000000004</v>
          </cell>
          <cell r="L214">
            <v>-287.33800000000002</v>
          </cell>
        </row>
        <row r="215">
          <cell r="C215">
            <v>1.4277500000000001</v>
          </cell>
          <cell r="K215">
            <v>40.182000000000009</v>
          </cell>
          <cell r="L215">
            <v>-263.93200000000002</v>
          </cell>
        </row>
        <row r="216">
          <cell r="C216">
            <v>1.9039999999999999</v>
          </cell>
          <cell r="K216">
            <v>61.476000000000013</v>
          </cell>
          <cell r="L216">
            <v>-239.99799999999999</v>
          </cell>
        </row>
        <row r="217">
          <cell r="C217">
            <v>2.286</v>
          </cell>
          <cell r="K217">
            <v>68.666000000000011</v>
          </cell>
          <cell r="L217">
            <v>-217.386</v>
          </cell>
        </row>
        <row r="218">
          <cell r="C218">
            <v>2.3802500000000002</v>
          </cell>
          <cell r="K218">
            <v>82.887999999999991</v>
          </cell>
          <cell r="L218">
            <v>-215.63000000000002</v>
          </cell>
        </row>
        <row r="219">
          <cell r="C219">
            <v>2.8565</v>
          </cell>
          <cell r="K219">
            <v>104.456</v>
          </cell>
          <cell r="L219">
            <v>-191.327</v>
          </cell>
        </row>
        <row r="220">
          <cell r="C220">
            <v>3.3327499999999999</v>
          </cell>
          <cell r="K220">
            <v>126.14300000000001</v>
          </cell>
          <cell r="L220">
            <v>-169.66500000000002</v>
          </cell>
        </row>
        <row r="221">
          <cell r="C221">
            <v>3.8090000000000002</v>
          </cell>
          <cell r="K221">
            <v>147.85745509999998</v>
          </cell>
          <cell r="L221">
            <v>-147.95454490000003</v>
          </cell>
        </row>
        <row r="222">
          <cell r="C222">
            <v>3.81</v>
          </cell>
          <cell r="K222">
            <v>147.87573447999998</v>
          </cell>
          <cell r="L222">
            <v>-134.88326552000004</v>
          </cell>
        </row>
        <row r="237">
          <cell r="C237">
            <v>0</v>
          </cell>
          <cell r="K237">
            <v>582.46619999999996</v>
          </cell>
          <cell r="L237">
            <v>-20.289699999999989</v>
          </cell>
        </row>
        <row r="238">
          <cell r="C238">
            <v>0.47525000000000001</v>
          </cell>
          <cell r="K238">
            <v>582.25909999999999</v>
          </cell>
          <cell r="L238">
            <v>-41.293599999999991</v>
          </cell>
        </row>
        <row r="239">
          <cell r="C239">
            <v>0.95150000000000001</v>
          </cell>
          <cell r="K239">
            <v>568.7322999999999</v>
          </cell>
          <cell r="L239">
            <v>-66.481300000000005</v>
          </cell>
        </row>
        <row r="240">
          <cell r="C240">
            <v>1.4277500000000001</v>
          </cell>
          <cell r="K240">
            <v>541.87099999999998</v>
          </cell>
          <cell r="L240">
            <v>-95.850499999999982</v>
          </cell>
        </row>
        <row r="241">
          <cell r="C241">
            <v>1.524</v>
          </cell>
          <cell r="K241">
            <v>532.98310000000004</v>
          </cell>
          <cell r="L241">
            <v>-102.29720000000002</v>
          </cell>
        </row>
        <row r="242">
          <cell r="C242">
            <v>1.9039999999999999</v>
          </cell>
          <cell r="K242">
            <v>501.76799999999992</v>
          </cell>
          <cell r="L242">
            <v>-129.4444</v>
          </cell>
        </row>
        <row r="243">
          <cell r="C243">
            <v>2.3802500000000002</v>
          </cell>
          <cell r="K243">
            <v>450.08109999999999</v>
          </cell>
          <cell r="L243">
            <v>-167.35149999999999</v>
          </cell>
        </row>
        <row r="244">
          <cell r="C244">
            <v>2.8565</v>
          </cell>
          <cell r="K244">
            <v>393.55260000000004</v>
          </cell>
          <cell r="L244">
            <v>-209.67929999999998</v>
          </cell>
        </row>
        <row r="245">
          <cell r="C245">
            <v>3.048</v>
          </cell>
          <cell r="K245">
            <v>363.80679999999995</v>
          </cell>
          <cell r="L245">
            <v>-227.96979999999999</v>
          </cell>
        </row>
        <row r="246">
          <cell r="C246">
            <v>3.3327499999999999</v>
          </cell>
          <cell r="K246">
            <v>329.59379999999993</v>
          </cell>
          <cell r="L246">
            <v>-256.5385</v>
          </cell>
        </row>
        <row r="247">
          <cell r="C247">
            <v>3.8090000000000002</v>
          </cell>
          <cell r="K247">
            <v>263.79719999999998</v>
          </cell>
          <cell r="L247">
            <v>-326.51620000000003</v>
          </cell>
        </row>
        <row r="248">
          <cell r="C248">
            <v>3.81</v>
          </cell>
          <cell r="K248">
            <v>263.63629999999995</v>
          </cell>
          <cell r="L248">
            <v>-326.67400000000004</v>
          </cell>
        </row>
        <row r="254">
          <cell r="C254">
            <v>0</v>
          </cell>
          <cell r="K254">
            <v>147.87573447999998</v>
          </cell>
          <cell r="L254">
            <v>-134.88326552000004</v>
          </cell>
        </row>
        <row r="255">
          <cell r="C255">
            <v>0.47525000000000001</v>
          </cell>
          <cell r="K255">
            <v>169.56499999999997</v>
          </cell>
          <cell r="L255">
            <v>-126.24300000000001</v>
          </cell>
        </row>
        <row r="256">
          <cell r="C256">
            <v>0.95150000000000001</v>
          </cell>
          <cell r="K256">
            <v>191.23099999999997</v>
          </cell>
          <cell r="L256">
            <v>-104.55200000000001</v>
          </cell>
        </row>
        <row r="257">
          <cell r="C257">
            <v>1.4277500000000001</v>
          </cell>
          <cell r="K257">
            <v>215.524</v>
          </cell>
          <cell r="L257">
            <v>-82.983000000000004</v>
          </cell>
        </row>
        <row r="258">
          <cell r="C258">
            <v>1.524</v>
          </cell>
          <cell r="K258">
            <v>217.31700000000001</v>
          </cell>
          <cell r="L258">
            <v>-68.722000000000008</v>
          </cell>
        </row>
        <row r="259">
          <cell r="C259">
            <v>1.9039999999999999</v>
          </cell>
          <cell r="K259">
            <v>239.89300000000003</v>
          </cell>
          <cell r="L259">
            <v>-61.568999999999988</v>
          </cell>
        </row>
        <row r="260">
          <cell r="C260">
            <v>2.3802500000000002</v>
          </cell>
          <cell r="K260">
            <v>263.82799999999997</v>
          </cell>
          <cell r="L260">
            <v>-40.274000000000001</v>
          </cell>
        </row>
        <row r="261">
          <cell r="C261">
            <v>2.8565</v>
          </cell>
          <cell r="K261">
            <v>287.23599999999999</v>
          </cell>
          <cell r="L261">
            <v>-19.202999999999999</v>
          </cell>
        </row>
        <row r="262">
          <cell r="C262">
            <v>3.048</v>
          </cell>
          <cell r="K262">
            <v>291.07800000000003</v>
          </cell>
          <cell r="L262">
            <v>-4.9499999999999993</v>
          </cell>
        </row>
        <row r="263">
          <cell r="C263">
            <v>3.3327499999999999</v>
          </cell>
          <cell r="K263">
            <v>310.06500000000005</v>
          </cell>
          <cell r="L263">
            <v>0.85800000000000054</v>
          </cell>
        </row>
        <row r="264">
          <cell r="C264">
            <v>3.8090000000000002</v>
          </cell>
          <cell r="K264">
            <v>332.38</v>
          </cell>
          <cell r="L264">
            <v>20.898000000000003</v>
          </cell>
        </row>
        <row r="265">
          <cell r="C265">
            <v>3.81</v>
          </cell>
          <cell r="K265">
            <v>332.40100000000001</v>
          </cell>
          <cell r="L265">
            <v>28.298999999999999</v>
          </cell>
        </row>
        <row r="280">
          <cell r="C280">
            <v>0</v>
          </cell>
          <cell r="K280">
            <v>263.63629999999995</v>
          </cell>
          <cell r="L280">
            <v>-326.67400000000004</v>
          </cell>
        </row>
        <row r="281">
          <cell r="C281">
            <v>0.47525000000000001</v>
          </cell>
          <cell r="K281">
            <v>190.97439999999997</v>
          </cell>
          <cell r="L281">
            <v>-405.11559999999997</v>
          </cell>
        </row>
        <row r="282">
          <cell r="C282">
            <v>0.76200000000000001</v>
          </cell>
          <cell r="K282">
            <v>138.14619999999996</v>
          </cell>
          <cell r="L282">
            <v>-455.59639999999996</v>
          </cell>
        </row>
        <row r="283">
          <cell r="C283">
            <v>0.95150000000000001</v>
          </cell>
          <cell r="K283">
            <v>108.0354</v>
          </cell>
          <cell r="L283">
            <v>-490.03590000000003</v>
          </cell>
        </row>
        <row r="284">
          <cell r="C284">
            <v>1.4277500000000001</v>
          </cell>
          <cell r="K284">
            <v>14.770300000000024</v>
          </cell>
          <cell r="L284">
            <v>-580.6567</v>
          </cell>
        </row>
        <row r="285">
          <cell r="C285">
            <v>1.9039999999999999</v>
          </cell>
          <cell r="K285">
            <v>-87.191199999999995</v>
          </cell>
          <cell r="L285">
            <v>-678.66369999999995</v>
          </cell>
        </row>
        <row r="286">
          <cell r="C286">
            <v>2.286</v>
          </cell>
          <cell r="K286">
            <v>-140.65509999999998</v>
          </cell>
          <cell r="L286">
            <v>-807.00109999999995</v>
          </cell>
        </row>
        <row r="287">
          <cell r="C287">
            <v>2.3802500000000002</v>
          </cell>
          <cell r="K287">
            <v>-149.03890000000001</v>
          </cell>
          <cell r="L287">
            <v>-839.83299999999986</v>
          </cell>
        </row>
        <row r="288">
          <cell r="C288">
            <v>2.8565</v>
          </cell>
          <cell r="K288">
            <v>-195.06990000000002</v>
          </cell>
          <cell r="L288">
            <v>-1011.2545000000001</v>
          </cell>
        </row>
        <row r="289">
          <cell r="C289">
            <v>3.3327499999999999</v>
          </cell>
          <cell r="K289">
            <v>-247.4615</v>
          </cell>
          <cell r="L289">
            <v>-1192.3485000000001</v>
          </cell>
        </row>
        <row r="290">
          <cell r="C290">
            <v>3.8090000000000002</v>
          </cell>
          <cell r="K290">
            <v>-306.5376</v>
          </cell>
          <cell r="L290">
            <v>-1383.7752999999998</v>
          </cell>
        </row>
        <row r="291">
          <cell r="C291">
            <v>3.81</v>
          </cell>
          <cell r="K291">
            <v>-306.66879999999998</v>
          </cell>
          <cell r="L291">
            <v>-1384.1869000000002</v>
          </cell>
        </row>
        <row r="297">
          <cell r="C297">
            <v>0</v>
          </cell>
          <cell r="K297">
            <v>332.40100000000001</v>
          </cell>
          <cell r="L297">
            <v>28.298999999999999</v>
          </cell>
        </row>
        <row r="298">
          <cell r="C298">
            <v>0.47525000000000001</v>
          </cell>
          <cell r="K298">
            <v>354.15899999999993</v>
          </cell>
          <cell r="L298">
            <v>38.676000000000002</v>
          </cell>
        </row>
        <row r="299">
          <cell r="C299">
            <v>0.76200000000000001</v>
          </cell>
          <cell r="K299">
            <v>360.60299999999995</v>
          </cell>
          <cell r="L299">
            <v>50.335999999999999</v>
          </cell>
        </row>
        <row r="300">
          <cell r="C300">
            <v>0.95150000000000001</v>
          </cell>
          <cell r="K300">
            <v>375.39700000000005</v>
          </cell>
          <cell r="L300">
            <v>54.681999999999995</v>
          </cell>
        </row>
        <row r="301">
          <cell r="C301">
            <v>1.4277500000000001</v>
          </cell>
          <cell r="K301">
            <v>396.97700000000003</v>
          </cell>
          <cell r="L301">
            <v>65.983000000000004</v>
          </cell>
        </row>
        <row r="302">
          <cell r="C302">
            <v>1.9039999999999999</v>
          </cell>
          <cell r="K302">
            <v>423.69900000000001</v>
          </cell>
          <cell r="L302">
            <v>77.822000000000003</v>
          </cell>
        </row>
        <row r="303">
          <cell r="C303">
            <v>2.286</v>
          </cell>
          <cell r="K303">
            <v>433.58299999999997</v>
          </cell>
          <cell r="L303">
            <v>87.705999999999989</v>
          </cell>
        </row>
        <row r="304">
          <cell r="C304">
            <v>2.3802500000000002</v>
          </cell>
          <cell r="K304">
            <v>450.71999999999997</v>
          </cell>
          <cell r="L304">
            <v>90.202000000000012</v>
          </cell>
        </row>
        <row r="305">
          <cell r="C305">
            <v>2.8565</v>
          </cell>
          <cell r="K305">
            <v>478.12</v>
          </cell>
          <cell r="L305">
            <v>103.217</v>
          </cell>
        </row>
        <row r="306">
          <cell r="C306">
            <v>3.3327499999999999</v>
          </cell>
          <cell r="K306">
            <v>507.72900000000004</v>
          </cell>
          <cell r="L306">
            <v>116.91199999999999</v>
          </cell>
        </row>
        <row r="307">
          <cell r="C307">
            <v>3.8090000000000002</v>
          </cell>
          <cell r="K307">
            <v>538.35800000000006</v>
          </cell>
          <cell r="L307">
            <v>131.28899999999999</v>
          </cell>
        </row>
        <row r="308">
          <cell r="C308">
            <v>3.81</v>
          </cell>
          <cell r="K308">
            <v>538.3889999999999</v>
          </cell>
          <cell r="L308">
            <v>131.32000000000002</v>
          </cell>
        </row>
        <row r="323">
          <cell r="C323">
            <v>0</v>
          </cell>
          <cell r="K323">
            <v>-306.66879999999998</v>
          </cell>
          <cell r="L323">
            <v>-1384.1869000000002</v>
          </cell>
        </row>
        <row r="324">
          <cell r="C324">
            <v>0.48149999999999998</v>
          </cell>
          <cell r="K324">
            <v>-229.63190000000003</v>
          </cell>
          <cell r="L324">
            <v>-1180.1811</v>
          </cell>
        </row>
        <row r="325">
          <cell r="C325">
            <v>0.96399999999999997</v>
          </cell>
          <cell r="K325">
            <v>-159.37580000000003</v>
          </cell>
          <cell r="L325">
            <v>-1013.2264</v>
          </cell>
        </row>
        <row r="326">
          <cell r="C326">
            <v>1.1123099999999999</v>
          </cell>
          <cell r="K326">
            <v>-139.1387</v>
          </cell>
          <cell r="L326">
            <v>-974.60919999999999</v>
          </cell>
        </row>
        <row r="327">
          <cell r="C327">
            <v>1.4464999999999999</v>
          </cell>
          <cell r="K327">
            <v>-95.823000000000008</v>
          </cell>
          <cell r="L327">
            <v>-890.35649999999998</v>
          </cell>
        </row>
        <row r="328">
          <cell r="C328">
            <v>1.929</v>
          </cell>
          <cell r="K328">
            <v>17.547099999999965</v>
          </cell>
          <cell r="L328">
            <v>-785.22600000000011</v>
          </cell>
        </row>
        <row r="329">
          <cell r="C329">
            <v>2.2246199999999998</v>
          </cell>
          <cell r="K329">
            <v>83.924800000000005</v>
          </cell>
          <cell r="L329">
            <v>-730.49919999999986</v>
          </cell>
        </row>
        <row r="330">
          <cell r="C330">
            <v>2.4115000000000002</v>
          </cell>
          <cell r="K330">
            <v>136.42440000000002</v>
          </cell>
          <cell r="L330">
            <v>-697.09190000000001</v>
          </cell>
        </row>
        <row r="331">
          <cell r="C331">
            <v>2.8940000000000001</v>
          </cell>
          <cell r="K331">
            <v>247.80810000000002</v>
          </cell>
          <cell r="L331">
            <v>-615.00929999999994</v>
          </cell>
        </row>
        <row r="332">
          <cell r="C332">
            <v>3.3369200000000001</v>
          </cell>
          <cell r="K332">
            <v>339.08510000000001</v>
          </cell>
          <cell r="L332">
            <v>-544.81089999999983</v>
          </cell>
        </row>
        <row r="333">
          <cell r="C333">
            <v>3.3765000000000001</v>
          </cell>
          <cell r="K333">
            <v>351.9178</v>
          </cell>
          <cell r="L333">
            <v>-538.77310000000011</v>
          </cell>
        </row>
        <row r="334">
          <cell r="C334">
            <v>3.859</v>
          </cell>
          <cell r="K334">
            <v>443.08920000000001</v>
          </cell>
          <cell r="L334">
            <v>-468.185</v>
          </cell>
        </row>
        <row r="335">
          <cell r="C335">
            <v>3.86</v>
          </cell>
          <cell r="K335">
            <v>443.24890000000005</v>
          </cell>
          <cell r="L335">
            <v>-468.04449999999997</v>
          </cell>
        </row>
        <row r="341">
          <cell r="C341">
            <v>0</v>
          </cell>
          <cell r="K341">
            <v>-167.34899999999999</v>
          </cell>
          <cell r="L341">
            <v>-520.62699999999995</v>
          </cell>
        </row>
        <row r="342">
          <cell r="C342">
            <v>0.48149999999999998</v>
          </cell>
          <cell r="K342">
            <v>-152.72200000000001</v>
          </cell>
          <cell r="L342">
            <v>-506</v>
          </cell>
        </row>
        <row r="343">
          <cell r="C343">
            <v>0.96399999999999997</v>
          </cell>
          <cell r="K343">
            <v>-138.578</v>
          </cell>
          <cell r="L343">
            <v>-480.86999999999995</v>
          </cell>
        </row>
        <row r="344">
          <cell r="C344">
            <v>1.1123099999999999</v>
          </cell>
          <cell r="K344">
            <v>-134.33500000000001</v>
          </cell>
          <cell r="L344">
            <v>-467.30599999999998</v>
          </cell>
        </row>
        <row r="345">
          <cell r="C345">
            <v>1.4464999999999999</v>
          </cell>
          <cell r="K345">
            <v>-124.92999999999999</v>
          </cell>
          <cell r="L345">
            <v>-457.90100000000001</v>
          </cell>
        </row>
        <row r="346">
          <cell r="C346">
            <v>1.929</v>
          </cell>
          <cell r="K346">
            <v>-108.389</v>
          </cell>
          <cell r="L346">
            <v>-434.52100000000002</v>
          </cell>
        </row>
        <row r="347">
          <cell r="C347">
            <v>2.2246199999999998</v>
          </cell>
          <cell r="K347">
            <v>-100.523</v>
          </cell>
          <cell r="L347">
            <v>-415.58600000000007</v>
          </cell>
        </row>
        <row r="348">
          <cell r="C348">
            <v>2.4115000000000002</v>
          </cell>
          <cell r="K348">
            <v>-87.890999999999991</v>
          </cell>
          <cell r="L348">
            <v>-410.69599999999997</v>
          </cell>
        </row>
        <row r="349">
          <cell r="C349">
            <v>2.8940000000000001</v>
          </cell>
          <cell r="K349">
            <v>-67.477999999999994</v>
          </cell>
          <cell r="L349">
            <v>-386.38800000000003</v>
          </cell>
        </row>
        <row r="350">
          <cell r="C350">
            <v>3.3369200000000001</v>
          </cell>
          <cell r="K350">
            <v>-56.532000000000011</v>
          </cell>
          <cell r="L350">
            <v>-362.53100000000001</v>
          </cell>
        </row>
        <row r="351">
          <cell r="C351">
            <v>3.3765000000000001</v>
          </cell>
          <cell r="K351">
            <v>-47.11699999999999</v>
          </cell>
          <cell r="L351">
            <v>-361.57099999999997</v>
          </cell>
        </row>
        <row r="352">
          <cell r="C352">
            <v>3.859</v>
          </cell>
          <cell r="K352">
            <v>-26.746000000000006</v>
          </cell>
          <cell r="L352">
            <v>-336.19200000000006</v>
          </cell>
        </row>
        <row r="353">
          <cell r="C353">
            <v>3.86</v>
          </cell>
          <cell r="K353">
            <v>-26.723000000000006</v>
          </cell>
          <cell r="L353">
            <v>-321.33600000000001</v>
          </cell>
        </row>
        <row r="368">
          <cell r="C368">
            <v>0</v>
          </cell>
          <cell r="K368">
            <v>443.24890000000005</v>
          </cell>
          <cell r="L368">
            <v>-468.04449999999997</v>
          </cell>
        </row>
        <row r="369">
          <cell r="C369">
            <v>0.48149999999999998</v>
          </cell>
          <cell r="K369">
            <v>520.80359999999996</v>
          </cell>
          <cell r="L369">
            <v>-403.06449999999995</v>
          </cell>
        </row>
        <row r="370">
          <cell r="C370">
            <v>0.58923000000000003</v>
          </cell>
          <cell r="K370">
            <v>535.26129999999989</v>
          </cell>
          <cell r="L370">
            <v>-389.25329999999997</v>
          </cell>
        </row>
        <row r="371">
          <cell r="C371">
            <v>0.96399999999999997</v>
          </cell>
          <cell r="K371">
            <v>589.37430000000006</v>
          </cell>
          <cell r="L371">
            <v>-343.23860000000002</v>
          </cell>
        </row>
        <row r="372">
          <cell r="C372">
            <v>1.4464999999999999</v>
          </cell>
          <cell r="K372">
            <v>645.20240000000001</v>
          </cell>
          <cell r="L372">
            <v>-288.56569999999999</v>
          </cell>
        </row>
        <row r="373">
          <cell r="C373">
            <v>1.7015400000000001</v>
          </cell>
          <cell r="K373">
            <v>664.37479999999994</v>
          </cell>
          <cell r="L373">
            <v>-261.70549999999997</v>
          </cell>
        </row>
        <row r="374">
          <cell r="C374">
            <v>1.929</v>
          </cell>
          <cell r="K374">
            <v>686.94229999999993</v>
          </cell>
          <cell r="L374">
            <v>-238.91909999999996</v>
          </cell>
        </row>
        <row r="375">
          <cell r="C375">
            <v>2.4115000000000002</v>
          </cell>
          <cell r="K375">
            <v>714.70749999999998</v>
          </cell>
          <cell r="L375">
            <v>-194.17760000000004</v>
          </cell>
        </row>
        <row r="376">
          <cell r="C376">
            <v>2.81385</v>
          </cell>
          <cell r="K376">
            <v>723.05840000000012</v>
          </cell>
          <cell r="L376">
            <v>-160.535</v>
          </cell>
        </row>
        <row r="377">
          <cell r="C377">
            <v>2.8940000000000001</v>
          </cell>
          <cell r="K377">
            <v>727.56299999999999</v>
          </cell>
          <cell r="L377">
            <v>-154.22489999999999</v>
          </cell>
        </row>
        <row r="378">
          <cell r="C378">
            <v>3.3765000000000001</v>
          </cell>
          <cell r="K378">
            <v>732.06220000000008</v>
          </cell>
          <cell r="L378">
            <v>-118.95160000000008</v>
          </cell>
        </row>
        <row r="379">
          <cell r="C379">
            <v>3.859</v>
          </cell>
          <cell r="K379">
            <v>723.7208999999998</v>
          </cell>
          <cell r="L379">
            <v>-88.263400000000004</v>
          </cell>
        </row>
        <row r="380">
          <cell r="C380">
            <v>3.86</v>
          </cell>
          <cell r="K380">
            <v>723.56950000000006</v>
          </cell>
          <cell r="L380">
            <v>-88.204499999999996</v>
          </cell>
        </row>
        <row r="386">
          <cell r="C386">
            <v>0</v>
          </cell>
          <cell r="K386">
            <v>-26.723000000000006</v>
          </cell>
          <cell r="L386">
            <v>-321.33600000000001</v>
          </cell>
        </row>
        <row r="387">
          <cell r="C387">
            <v>0.48149999999999998</v>
          </cell>
          <cell r="K387">
            <v>-6.3140000000000027</v>
          </cell>
          <cell r="L387">
            <v>-310.20999999999998</v>
          </cell>
        </row>
        <row r="388">
          <cell r="C388">
            <v>0.58923000000000003</v>
          </cell>
          <cell r="K388">
            <v>-3.8750000000000044</v>
          </cell>
          <cell r="L388">
            <v>-291.95400000000001</v>
          </cell>
        </row>
        <row r="389">
          <cell r="C389">
            <v>0.96399999999999997</v>
          </cell>
          <cell r="K389">
            <v>14.305999999999994</v>
          </cell>
          <cell r="L389">
            <v>-283.58</v>
          </cell>
        </row>
        <row r="390">
          <cell r="C390">
            <v>1.4464999999999999</v>
          </cell>
          <cell r="K390">
            <v>36.313000000000002</v>
          </cell>
          <cell r="L390">
            <v>-256.21800000000002</v>
          </cell>
        </row>
        <row r="391">
          <cell r="C391">
            <v>1.7015400000000001</v>
          </cell>
          <cell r="K391">
            <v>41.783000000000001</v>
          </cell>
          <cell r="L391">
            <v>-232.93</v>
          </cell>
        </row>
        <row r="392">
          <cell r="C392">
            <v>1.929</v>
          </cell>
          <cell r="K392">
            <v>58.616000000000007</v>
          </cell>
          <cell r="L392">
            <v>-228.11099999999999</v>
          </cell>
        </row>
        <row r="393">
          <cell r="C393">
            <v>2.4115000000000002</v>
          </cell>
          <cell r="K393">
            <v>81.249000000000009</v>
          </cell>
          <cell r="L393">
            <v>-199.24499999999998</v>
          </cell>
        </row>
        <row r="394">
          <cell r="C394">
            <v>2.81385</v>
          </cell>
          <cell r="K394">
            <v>89.442000000000021</v>
          </cell>
          <cell r="L394">
            <v>-172.61899999999997</v>
          </cell>
        </row>
        <row r="395">
          <cell r="C395">
            <v>2.8940000000000001</v>
          </cell>
          <cell r="K395">
            <v>104.232</v>
          </cell>
          <cell r="L395">
            <v>-171.006</v>
          </cell>
        </row>
        <row r="396">
          <cell r="C396">
            <v>3.3765000000000001</v>
          </cell>
          <cell r="K396">
            <v>127.60600000000004</v>
          </cell>
          <cell r="L396">
            <v>-147.69999999999999</v>
          </cell>
        </row>
        <row r="397">
          <cell r="C397">
            <v>3.859</v>
          </cell>
          <cell r="K397">
            <v>151.38900000000001</v>
          </cell>
          <cell r="L397">
            <v>-123.93899999999999</v>
          </cell>
        </row>
        <row r="398">
          <cell r="C398">
            <v>3.86</v>
          </cell>
          <cell r="K398">
            <v>151.40800000000002</v>
          </cell>
          <cell r="L398">
            <v>-108.79100000000001</v>
          </cell>
        </row>
        <row r="413">
          <cell r="C413">
            <v>0</v>
          </cell>
          <cell r="K413">
            <v>723.56950000000006</v>
          </cell>
          <cell r="L413">
            <v>-88.204499999999996</v>
          </cell>
        </row>
        <row r="414">
          <cell r="C414">
            <v>6.6159999999999997E-2</v>
          </cell>
          <cell r="K414">
            <v>713.51069999999993</v>
          </cell>
          <cell r="L414">
            <v>-84.3506</v>
          </cell>
        </row>
        <row r="415">
          <cell r="C415">
            <v>0.48163</v>
          </cell>
          <cell r="K415">
            <v>699.02069999999992</v>
          </cell>
          <cell r="L415">
            <v>-62.06519999999999</v>
          </cell>
        </row>
        <row r="416">
          <cell r="C416">
            <v>0.96425000000000005</v>
          </cell>
          <cell r="K416">
            <v>657.12260000000003</v>
          </cell>
          <cell r="L416">
            <v>-40.29649999999998</v>
          </cell>
        </row>
        <row r="417">
          <cell r="C417">
            <v>1.1784600000000001</v>
          </cell>
          <cell r="K417">
            <v>619.43660000000011</v>
          </cell>
          <cell r="L417">
            <v>-32.037600000000012</v>
          </cell>
        </row>
        <row r="418">
          <cell r="C418">
            <v>1.4468799999999999</v>
          </cell>
          <cell r="K418">
            <v>597.18430000000001</v>
          </cell>
          <cell r="L418">
            <v>-22.896100000000008</v>
          </cell>
        </row>
        <row r="419">
          <cell r="C419">
            <v>1.9295</v>
          </cell>
          <cell r="K419">
            <v>522.92370000000005</v>
          </cell>
          <cell r="L419">
            <v>-9.8131999999999966</v>
          </cell>
        </row>
        <row r="420">
          <cell r="C420">
            <v>2.2907700000000002</v>
          </cell>
          <cell r="K420">
            <v>444.98600000000005</v>
          </cell>
          <cell r="L420">
            <v>-2.8196999999999939</v>
          </cell>
        </row>
        <row r="421">
          <cell r="C421">
            <v>2.4121299999999999</v>
          </cell>
          <cell r="K421">
            <v>427.84620000000007</v>
          </cell>
          <cell r="L421">
            <v>-1.0049000000000046</v>
          </cell>
        </row>
        <row r="422">
          <cell r="C422">
            <v>2.8947500000000002</v>
          </cell>
          <cell r="K422">
            <v>309.52979999999997</v>
          </cell>
          <cell r="L422">
            <v>3.5599999999999987</v>
          </cell>
        </row>
        <row r="423">
          <cell r="C423">
            <v>3.37738</v>
          </cell>
          <cell r="K423">
            <v>167.15549999999999</v>
          </cell>
          <cell r="L423">
            <v>3.892199999999999</v>
          </cell>
        </row>
        <row r="424">
          <cell r="C424">
            <v>3.86</v>
          </cell>
          <cell r="K424">
            <v>7.8809999999999994E-14</v>
          </cell>
          <cell r="L424">
            <v>7.8809999999999994E-14</v>
          </cell>
        </row>
        <row r="430">
          <cell r="C430">
            <v>0</v>
          </cell>
          <cell r="K430">
            <v>151.40800000000002</v>
          </cell>
          <cell r="L430">
            <v>-108.79100000000001</v>
          </cell>
        </row>
        <row r="431">
          <cell r="C431">
            <v>6.6159999999999997E-2</v>
          </cell>
          <cell r="K431">
            <v>152.68299999999999</v>
          </cell>
          <cell r="L431">
            <v>-107.51599999999999</v>
          </cell>
        </row>
        <row r="432">
          <cell r="C432">
            <v>0.48163</v>
          </cell>
          <cell r="K432">
            <v>175.60900000000001</v>
          </cell>
          <cell r="L432">
            <v>-99.567999999999998</v>
          </cell>
        </row>
        <row r="433">
          <cell r="C433">
            <v>0.96425000000000005</v>
          </cell>
          <cell r="K433">
            <v>200.28199999999998</v>
          </cell>
          <cell r="L433">
            <v>-74.759000000000015</v>
          </cell>
        </row>
        <row r="434">
          <cell r="C434">
            <v>1.1784600000000001</v>
          </cell>
          <cell r="K434">
            <v>204.28799999999998</v>
          </cell>
          <cell r="L434">
            <v>-63.080999999999996</v>
          </cell>
        </row>
        <row r="435">
          <cell r="C435">
            <v>1.4468799999999999</v>
          </cell>
          <cell r="K435">
            <v>225.39599999999999</v>
          </cell>
          <cell r="L435">
            <v>-58.091999999999999</v>
          </cell>
        </row>
        <row r="436">
          <cell r="C436">
            <v>1.9295</v>
          </cell>
          <cell r="K436">
            <v>253.29400000000001</v>
          </cell>
          <cell r="L436">
            <v>-40.613999999999983</v>
          </cell>
        </row>
        <row r="437">
          <cell r="C437">
            <v>2.2907700000000002</v>
          </cell>
          <cell r="K437">
            <v>259.899</v>
          </cell>
          <cell r="L437">
            <v>-24.567000000000014</v>
          </cell>
        </row>
        <row r="438">
          <cell r="C438">
            <v>2.4121299999999999</v>
          </cell>
          <cell r="K438">
            <v>282.34399999999999</v>
          </cell>
          <cell r="L438">
            <v>-22.357000000000014</v>
          </cell>
        </row>
        <row r="439">
          <cell r="C439">
            <v>2.8947500000000002</v>
          </cell>
          <cell r="K439">
            <v>311.91500000000002</v>
          </cell>
          <cell r="L439">
            <v>-5.0699999999999994</v>
          </cell>
        </row>
        <row r="440">
          <cell r="C440">
            <v>3.37738</v>
          </cell>
          <cell r="K440">
            <v>341.97299999999996</v>
          </cell>
          <cell r="L440">
            <v>3.6909999999999936</v>
          </cell>
        </row>
        <row r="441">
          <cell r="C441">
            <v>3.86</v>
          </cell>
          <cell r="K441">
            <v>372.464</v>
          </cell>
          <cell r="L441">
            <v>12.435</v>
          </cell>
        </row>
      </sheetData>
      <sheetData sheetId="4">
        <row r="16">
          <cell r="D16">
            <v>0</v>
          </cell>
          <cell r="E16">
            <v>-2.1315000000000002E-14</v>
          </cell>
          <cell r="F16">
            <v>-2.1315000000000002E-14</v>
          </cell>
          <cell r="G16">
            <v>-12.430999999999996</v>
          </cell>
          <cell r="H16">
            <v>-372.464</v>
          </cell>
        </row>
        <row r="17">
          <cell r="D17">
            <v>0.48237999999999998</v>
          </cell>
          <cell r="E17">
            <v>167.07490000000001</v>
          </cell>
          <cell r="F17">
            <v>3.8894999999999982</v>
          </cell>
          <cell r="G17">
            <v>-3.6919999999999931</v>
          </cell>
          <cell r="H17">
            <v>-341.98800000000006</v>
          </cell>
        </row>
        <row r="18">
          <cell r="D18">
            <v>0.96475</v>
          </cell>
          <cell r="E18">
            <v>309.3938</v>
          </cell>
          <cell r="F18">
            <v>3.5589000000000013</v>
          </cell>
          <cell r="G18">
            <v>5.0660000000000025</v>
          </cell>
          <cell r="H18">
            <v>-311.94399999999996</v>
          </cell>
        </row>
        <row r="19">
          <cell r="D19">
            <v>1.44713</v>
          </cell>
          <cell r="E19">
            <v>427.6789</v>
          </cell>
          <cell r="F19">
            <v>-1.0000000000000053</v>
          </cell>
          <cell r="G19">
            <v>22.332000000000001</v>
          </cell>
          <cell r="H19">
            <v>-282.387</v>
          </cell>
        </row>
        <row r="20">
          <cell r="D20">
            <v>1.5692299999999999</v>
          </cell>
          <cell r="E20">
            <v>444.92919999999998</v>
          </cell>
          <cell r="F20">
            <v>-2.8256999999999923</v>
          </cell>
          <cell r="G20">
            <v>24.553999999999995</v>
          </cell>
          <cell r="H20">
            <v>-259.93900000000002</v>
          </cell>
        </row>
        <row r="21">
          <cell r="D21">
            <v>1.9295</v>
          </cell>
          <cell r="E21">
            <v>522.74770000000001</v>
          </cell>
          <cell r="F21">
            <v>-9.798</v>
          </cell>
          <cell r="G21">
            <v>40.580999999999996</v>
          </cell>
          <cell r="H21">
            <v>-253.352</v>
          </cell>
        </row>
        <row r="22">
          <cell r="D22">
            <v>2.41188</v>
          </cell>
          <cell r="E22">
            <v>597.00130000000001</v>
          </cell>
          <cell r="F22">
            <v>-22.865900000000003</v>
          </cell>
          <cell r="G22">
            <v>58.050999999999995</v>
          </cell>
          <cell r="H22">
            <v>-225.46099999999998</v>
          </cell>
        </row>
        <row r="23">
          <cell r="D23">
            <v>2.68154</v>
          </cell>
          <cell r="E23">
            <v>619.37139999999999</v>
          </cell>
          <cell r="F23">
            <v>-32.047899999999991</v>
          </cell>
          <cell r="G23">
            <v>63.063000000000002</v>
          </cell>
          <cell r="H23">
            <v>-204.33599999999998</v>
          </cell>
        </row>
        <row r="24">
          <cell r="D24">
            <v>2.89425</v>
          </cell>
          <cell r="E24">
            <v>656.96069999999997</v>
          </cell>
          <cell r="F24">
            <v>-40.246600000000001</v>
          </cell>
          <cell r="G24">
            <v>74.709999999999994</v>
          </cell>
          <cell r="H24">
            <v>-200.36</v>
          </cell>
        </row>
        <row r="25">
          <cell r="D25">
            <v>3.37663</v>
          </cell>
          <cell r="E25">
            <v>698.89570000000015</v>
          </cell>
          <cell r="F25">
            <v>-61.991199999999999</v>
          </cell>
          <cell r="G25">
            <v>99.48</v>
          </cell>
          <cell r="H25">
            <v>-175.696</v>
          </cell>
        </row>
        <row r="26">
          <cell r="D26">
            <v>3.7938399999999999</v>
          </cell>
          <cell r="E26">
            <v>713.73629999999991</v>
          </cell>
          <cell r="F26">
            <v>-84.364999999999981</v>
          </cell>
          <cell r="G26">
            <v>107.462</v>
          </cell>
          <cell r="H26">
            <v>-152.74199999999999</v>
          </cell>
        </row>
        <row r="27">
          <cell r="D27">
            <v>3.859</v>
          </cell>
          <cell r="E27">
            <v>723.64739999999983</v>
          </cell>
          <cell r="F27">
            <v>-88.160399999999996</v>
          </cell>
          <cell r="G27">
            <v>123.84100000000001</v>
          </cell>
          <cell r="H27">
            <v>-151.488</v>
          </cell>
        </row>
        <row r="28">
          <cell r="D28">
            <v>3.86</v>
          </cell>
          <cell r="E28">
            <v>723.65909999999997</v>
          </cell>
          <cell r="F28">
            <v>-88.219199999999987</v>
          </cell>
          <cell r="G28">
            <v>123.861</v>
          </cell>
          <cell r="H28">
            <v>-137.089</v>
          </cell>
        </row>
        <row r="29">
          <cell r="D29">
            <v>3.86</v>
          </cell>
          <cell r="E29">
            <v>723.65909999999997</v>
          </cell>
          <cell r="F29">
            <v>-88.219199999999987</v>
          </cell>
          <cell r="G29">
            <v>123.861</v>
          </cell>
          <cell r="H29">
            <v>-137.089</v>
          </cell>
        </row>
        <row r="30">
          <cell r="D30">
            <v>4.3414999999999999</v>
          </cell>
          <cell r="E30">
            <v>732.05420000000004</v>
          </cell>
          <cell r="F30">
            <v>-118.83170000000001</v>
          </cell>
          <cell r="G30">
            <v>147.60499999999996</v>
          </cell>
          <cell r="H30">
            <v>-127.70200000000001</v>
          </cell>
        </row>
        <row r="31">
          <cell r="D31">
            <v>4.8239999999999998</v>
          </cell>
          <cell r="E31">
            <v>727.57620000000009</v>
          </cell>
          <cell r="F31">
            <v>-154.08740000000006</v>
          </cell>
          <cell r="G31">
            <v>170.90100000000001</v>
          </cell>
          <cell r="H31">
            <v>-104.327</v>
          </cell>
        </row>
        <row r="32">
          <cell r="D32">
            <v>4.9061500000000002</v>
          </cell>
          <cell r="E32">
            <v>723.0637999999999</v>
          </cell>
          <cell r="F32">
            <v>-160.55360000000002</v>
          </cell>
          <cell r="G32">
            <v>172.55499999999998</v>
          </cell>
          <cell r="H32">
            <v>-89.494000000000014</v>
          </cell>
        </row>
        <row r="33">
          <cell r="D33">
            <v>5.3064999999999998</v>
          </cell>
          <cell r="E33">
            <v>714.78599999999994</v>
          </cell>
          <cell r="F33">
            <v>-194.02230000000003</v>
          </cell>
          <cell r="G33">
            <v>199.131</v>
          </cell>
          <cell r="H33">
            <v>-81.342999999999989</v>
          </cell>
        </row>
        <row r="34">
          <cell r="D34">
            <v>5.7889999999999997</v>
          </cell>
          <cell r="E34">
            <v>687.077</v>
          </cell>
          <cell r="F34">
            <v>-238.74569999999997</v>
          </cell>
          <cell r="G34">
            <v>227.995</v>
          </cell>
          <cell r="H34">
            <v>-58.707999999999991</v>
          </cell>
        </row>
        <row r="35">
          <cell r="D35">
            <v>6.0184599999999993</v>
          </cell>
          <cell r="E35">
            <v>664.3289000000002</v>
          </cell>
          <cell r="F35">
            <v>-261.72820000000007</v>
          </cell>
          <cell r="G35">
            <v>232.85600000000002</v>
          </cell>
          <cell r="H35">
            <v>-41.83</v>
          </cell>
        </row>
        <row r="36">
          <cell r="D36">
            <v>6.2714999999999996</v>
          </cell>
          <cell r="E36">
            <v>645.39609999999993</v>
          </cell>
          <cell r="F36">
            <v>-288.37360000000001</v>
          </cell>
          <cell r="G36">
            <v>256.10500000000002</v>
          </cell>
          <cell r="H36">
            <v>-36.403999999999996</v>
          </cell>
        </row>
        <row r="37">
          <cell r="D37">
            <v>6.7539999999999996</v>
          </cell>
          <cell r="E37">
            <v>589.62450000000013</v>
          </cell>
          <cell r="F37">
            <v>-343.02719999999999</v>
          </cell>
          <cell r="G37">
            <v>283.47000000000003</v>
          </cell>
          <cell r="H37">
            <v>-14.390000000000008</v>
          </cell>
        </row>
        <row r="38">
          <cell r="D38">
            <v>7.1307700000000001</v>
          </cell>
          <cell r="E38">
            <v>535.26779999999985</v>
          </cell>
          <cell r="F38">
            <v>-389.28049999999996</v>
          </cell>
          <cell r="G38">
            <v>291.88800000000003</v>
          </cell>
          <cell r="H38">
            <v>3.836000000000003</v>
          </cell>
        </row>
        <row r="39">
          <cell r="D39">
            <v>7.2364999999999995</v>
          </cell>
          <cell r="E39">
            <v>521.08640000000003</v>
          </cell>
          <cell r="F39">
            <v>-402.83339999999998</v>
          </cell>
          <cell r="G39">
            <v>310.10399999999998</v>
          </cell>
          <cell r="H39">
            <v>6.2300000000000058</v>
          </cell>
        </row>
        <row r="40">
          <cell r="D40">
            <v>7.7189999999999994</v>
          </cell>
          <cell r="E40">
            <v>443.42859999999996</v>
          </cell>
          <cell r="F40">
            <v>-467.93330000000003</v>
          </cell>
          <cell r="G40">
            <v>336.08700000000005</v>
          </cell>
          <cell r="H40">
            <v>26.661999999999992</v>
          </cell>
        </row>
        <row r="41">
          <cell r="D41">
            <v>7.72</v>
          </cell>
          <cell r="E41">
            <v>443.12909999999999</v>
          </cell>
          <cell r="F41">
            <v>-468.07370000000003</v>
          </cell>
          <cell r="G41">
            <v>336.11100000000005</v>
          </cell>
          <cell r="H41">
            <v>35.543000000000006</v>
          </cell>
        </row>
        <row r="42">
          <cell r="D42">
            <v>7.72</v>
          </cell>
          <cell r="E42">
            <v>443.12909999999999</v>
          </cell>
          <cell r="F42">
            <v>-468.07370000000003</v>
          </cell>
          <cell r="G42">
            <v>336.11100000000005</v>
          </cell>
          <cell r="H42">
            <v>35.543000000000006</v>
          </cell>
        </row>
        <row r="43">
          <cell r="D43">
            <v>8.2014999999999993</v>
          </cell>
          <cell r="E43">
            <v>352.31119999999999</v>
          </cell>
          <cell r="F43">
            <v>-538.50020000000006</v>
          </cell>
          <cell r="G43">
            <v>361.47</v>
          </cell>
          <cell r="H43">
            <v>47.033999999999999</v>
          </cell>
        </row>
        <row r="44">
          <cell r="D44">
            <v>8.2430799999999991</v>
          </cell>
          <cell r="E44">
            <v>338.83289999999994</v>
          </cell>
          <cell r="F44">
            <v>-544.84250000000009</v>
          </cell>
          <cell r="G44">
            <v>362.47800000000001</v>
          </cell>
          <cell r="H44">
            <v>56.498999999999995</v>
          </cell>
        </row>
        <row r="45">
          <cell r="D45">
            <v>8.6839999999999993</v>
          </cell>
          <cell r="E45">
            <v>248.25390000000002</v>
          </cell>
          <cell r="F45">
            <v>-614.71439999999996</v>
          </cell>
          <cell r="G45">
            <v>386.28899999999999</v>
          </cell>
          <cell r="H45">
            <v>67.394999999999996</v>
          </cell>
        </row>
        <row r="46">
          <cell r="D46">
            <v>9.1664999999999992</v>
          </cell>
          <cell r="E46">
            <v>136.88250000000005</v>
          </cell>
          <cell r="F46">
            <v>-696.77429999999993</v>
          </cell>
          <cell r="G46">
            <v>410.59999999999997</v>
          </cell>
          <cell r="H46">
            <v>87.808000000000007</v>
          </cell>
        </row>
        <row r="47">
          <cell r="D47">
            <v>9.3553800000000003</v>
          </cell>
          <cell r="E47">
            <v>83.960200000000015</v>
          </cell>
          <cell r="F47">
            <v>-730.5347999999999</v>
          </cell>
          <cell r="G47">
            <v>415.54100000000011</v>
          </cell>
          <cell r="H47">
            <v>100.49199999999999</v>
          </cell>
        </row>
        <row r="48">
          <cell r="D48">
            <v>9.6489999999999991</v>
          </cell>
          <cell r="E48">
            <v>18.049299999999992</v>
          </cell>
          <cell r="F48">
            <v>-784.88470000000007</v>
          </cell>
          <cell r="G48">
            <v>434.42599999999999</v>
          </cell>
          <cell r="H48">
            <v>108.30499999999999</v>
          </cell>
        </row>
        <row r="49">
          <cell r="D49">
            <v>10.131499999999999</v>
          </cell>
          <cell r="E49">
            <v>-95.585399999999979</v>
          </cell>
          <cell r="F49">
            <v>-889.8966999999999</v>
          </cell>
          <cell r="G49">
            <v>457.80700000000002</v>
          </cell>
          <cell r="H49">
            <v>124.874</v>
          </cell>
        </row>
        <row r="50">
          <cell r="D50">
            <v>10.467689999999999</v>
          </cell>
          <cell r="E50">
            <v>-139.1514</v>
          </cell>
          <cell r="F50">
            <v>-974.65359999999998</v>
          </cell>
          <cell r="G50">
            <v>467.26899999999995</v>
          </cell>
          <cell r="H50">
            <v>134.33599999999998</v>
          </cell>
        </row>
        <row r="51">
          <cell r="D51">
            <v>10.614000000000001</v>
          </cell>
          <cell r="E51">
            <v>-159.11130000000003</v>
          </cell>
          <cell r="F51">
            <v>-1012.7430000000001</v>
          </cell>
          <cell r="G51">
            <v>480.77900000000005</v>
          </cell>
          <cell r="H51">
            <v>138.52199999999999</v>
          </cell>
        </row>
        <row r="52">
          <cell r="D52">
            <v>11.096499999999999</v>
          </cell>
          <cell r="E52">
            <v>-229.3398</v>
          </cell>
          <cell r="F52">
            <v>-1179.3936999999999</v>
          </cell>
          <cell r="G52">
            <v>505.87099999999998</v>
          </cell>
          <cell r="H52">
            <v>152.66400000000002</v>
          </cell>
        </row>
        <row r="53">
          <cell r="D53">
            <v>11.579000000000001</v>
          </cell>
          <cell r="E53">
            <v>-306.51530000000002</v>
          </cell>
          <cell r="F53">
            <v>-1383.7949000000001</v>
          </cell>
          <cell r="G53">
            <v>537.31699999999989</v>
          </cell>
          <cell r="H53">
            <v>167.31799999999998</v>
          </cell>
        </row>
        <row r="54">
          <cell r="D54">
            <v>11.58</v>
          </cell>
          <cell r="E54">
            <v>-306.68270000000001</v>
          </cell>
          <cell r="F54">
            <v>-1384.2287999999999</v>
          </cell>
          <cell r="G54">
            <v>537.34899999999993</v>
          </cell>
          <cell r="H54">
            <v>167.35000000000002</v>
          </cell>
        </row>
        <row r="55">
          <cell r="D55">
            <v>11.58</v>
          </cell>
          <cell r="E55">
            <v>-306.68270000000001</v>
          </cell>
          <cell r="F55">
            <v>-1384.2287999999999</v>
          </cell>
          <cell r="G55">
            <v>-131.32499999999999</v>
          </cell>
          <cell r="H55">
            <v>-522.20899999999995</v>
          </cell>
        </row>
        <row r="56">
          <cell r="D56">
            <v>12.055250000000001</v>
          </cell>
          <cell r="E56">
            <v>-247.70740000000006</v>
          </cell>
          <cell r="F56">
            <v>-1193.17</v>
          </cell>
          <cell r="G56">
            <v>-116.97600000000001</v>
          </cell>
          <cell r="H56">
            <v>-507.85999999999996</v>
          </cell>
        </row>
        <row r="57">
          <cell r="D57">
            <v>12.531499999999999</v>
          </cell>
          <cell r="E57">
            <v>-195.28739999999999</v>
          </cell>
          <cell r="F57">
            <v>-1012.0299000000001</v>
          </cell>
          <cell r="G57">
            <v>-103.27499999999999</v>
          </cell>
          <cell r="H57">
            <v>-478.23899999999998</v>
          </cell>
        </row>
        <row r="58">
          <cell r="D58">
            <v>13.00775</v>
          </cell>
          <cell r="E58">
            <v>-149.22950000000003</v>
          </cell>
          <cell r="F58">
            <v>-840.56389999999999</v>
          </cell>
          <cell r="G58">
            <v>-90.25800000000001</v>
          </cell>
          <cell r="H58">
            <v>-450.83799999999997</v>
          </cell>
        </row>
        <row r="59">
          <cell r="D59">
            <v>13.103999999999999</v>
          </cell>
          <cell r="E59">
            <v>-140.6652</v>
          </cell>
          <cell r="F59">
            <v>-807.02650000000017</v>
          </cell>
          <cell r="G59">
            <v>-87.709000000000003</v>
          </cell>
          <cell r="H59">
            <v>-433.65</v>
          </cell>
        </row>
        <row r="60">
          <cell r="D60">
            <v>13.484</v>
          </cell>
          <cell r="E60">
            <v>-87.634499999999989</v>
          </cell>
          <cell r="F60">
            <v>-679.34789999999998</v>
          </cell>
          <cell r="G60">
            <v>-77.874999999999986</v>
          </cell>
          <cell r="H60">
            <v>-423.81600000000003</v>
          </cell>
        </row>
        <row r="61">
          <cell r="D61">
            <v>13.96025</v>
          </cell>
          <cell r="E61">
            <v>14.348199999999981</v>
          </cell>
          <cell r="F61">
            <v>-581.0652</v>
          </cell>
          <cell r="G61">
            <v>-66.034000000000006</v>
          </cell>
          <cell r="H61">
            <v>-397.09200000000004</v>
          </cell>
        </row>
        <row r="62">
          <cell r="D62">
            <v>14.436500000000001</v>
          </cell>
          <cell r="E62">
            <v>107.64950000000002</v>
          </cell>
          <cell r="F62">
            <v>-490.41859999999991</v>
          </cell>
          <cell r="G62">
            <v>-54.731000000000009</v>
          </cell>
          <cell r="H62">
            <v>-375.48899999999998</v>
          </cell>
        </row>
        <row r="63">
          <cell r="D63">
            <v>14.628</v>
          </cell>
          <cell r="E63">
            <v>138.15219999999999</v>
          </cell>
          <cell r="F63">
            <v>-455.6078</v>
          </cell>
          <cell r="G63">
            <v>-50.338000000000001</v>
          </cell>
          <cell r="H63">
            <v>-360.65199999999999</v>
          </cell>
        </row>
        <row r="64">
          <cell r="D64">
            <v>14.912749999999999</v>
          </cell>
          <cell r="E64">
            <v>190.63059999999999</v>
          </cell>
          <cell r="F64">
            <v>-405.47359999999998</v>
          </cell>
          <cell r="G64">
            <v>-38.753999999999998</v>
          </cell>
          <cell r="H64">
            <v>-354.25299999999993</v>
          </cell>
        </row>
        <row r="65">
          <cell r="D65">
            <v>15.388999999999999</v>
          </cell>
          <cell r="E65">
            <v>263.49549999999994</v>
          </cell>
          <cell r="F65">
            <v>-326.84810000000004</v>
          </cell>
          <cell r="G65">
            <v>-20.974</v>
          </cell>
          <cell r="H65">
            <v>-332.476</v>
          </cell>
        </row>
        <row r="66">
          <cell r="D66">
            <v>15.39</v>
          </cell>
          <cell r="E66">
            <v>263.51649999999995</v>
          </cell>
          <cell r="F66">
            <v>-326.69010000000003</v>
          </cell>
          <cell r="G66">
            <v>-20.953000000000003</v>
          </cell>
          <cell r="H66">
            <v>-320.16199999999998</v>
          </cell>
        </row>
        <row r="67">
          <cell r="D67">
            <v>15.39</v>
          </cell>
          <cell r="E67">
            <v>263.51649999999995</v>
          </cell>
          <cell r="F67">
            <v>-326.69010000000003</v>
          </cell>
          <cell r="G67">
            <v>-20.953000000000003</v>
          </cell>
          <cell r="H67">
            <v>-320.16199999999998</v>
          </cell>
        </row>
        <row r="68">
          <cell r="D68">
            <v>15.865250000000001</v>
          </cell>
          <cell r="E68">
            <v>329.28790000000009</v>
          </cell>
          <cell r="F68">
            <v>-256.7525</v>
          </cell>
          <cell r="G68">
            <v>-0.94699999999999918</v>
          </cell>
          <cell r="H68">
            <v>-310.16500000000002</v>
          </cell>
        </row>
        <row r="69">
          <cell r="D69">
            <v>16.152000000000001</v>
          </cell>
          <cell r="E69">
            <v>363.83769999999998</v>
          </cell>
          <cell r="F69">
            <v>-227.977</v>
          </cell>
          <cell r="G69">
            <v>4.9030000000000022</v>
          </cell>
          <cell r="H69">
            <v>-291.14</v>
          </cell>
        </row>
        <row r="70">
          <cell r="D70">
            <v>16.3415</v>
          </cell>
          <cell r="E70">
            <v>393.2865000000001</v>
          </cell>
          <cell r="F70">
            <v>-209.8733</v>
          </cell>
          <cell r="G70">
            <v>19.114000000000004</v>
          </cell>
          <cell r="H70">
            <v>-287.33800000000002</v>
          </cell>
        </row>
        <row r="71">
          <cell r="D71">
            <v>16.81775</v>
          </cell>
          <cell r="E71">
            <v>449.82490000000001</v>
          </cell>
          <cell r="F71">
            <v>-167.52579999999998</v>
          </cell>
          <cell r="G71">
            <v>40.182000000000009</v>
          </cell>
          <cell r="H71">
            <v>-263.93200000000002</v>
          </cell>
        </row>
        <row r="72">
          <cell r="D72">
            <v>17.294</v>
          </cell>
          <cell r="E72">
            <v>501.55820000000006</v>
          </cell>
          <cell r="F72">
            <v>-129.59970000000001</v>
          </cell>
          <cell r="G72">
            <v>61.476000000000013</v>
          </cell>
          <cell r="H72">
            <v>-239.99799999999999</v>
          </cell>
        </row>
        <row r="73">
          <cell r="D73">
            <v>17.676000000000002</v>
          </cell>
          <cell r="E73">
            <v>533.0068</v>
          </cell>
          <cell r="F73">
            <v>-102.3017</v>
          </cell>
          <cell r="G73">
            <v>68.666000000000011</v>
          </cell>
          <cell r="H73">
            <v>-217.386</v>
          </cell>
        </row>
        <row r="74">
          <cell r="D74">
            <v>17.770250000000001</v>
          </cell>
          <cell r="E74">
            <v>541.71879999999999</v>
          </cell>
          <cell r="F74">
            <v>-95.986899999999977</v>
          </cell>
          <cell r="G74">
            <v>82.887999999999991</v>
          </cell>
          <cell r="H74">
            <v>-215.63000000000002</v>
          </cell>
        </row>
        <row r="75">
          <cell r="D75">
            <v>18.246500000000001</v>
          </cell>
          <cell r="E75">
            <v>568.63850000000002</v>
          </cell>
          <cell r="F75">
            <v>-66.599000000000018</v>
          </cell>
          <cell r="G75">
            <v>104.456</v>
          </cell>
          <cell r="H75">
            <v>-191.327</v>
          </cell>
        </row>
        <row r="76">
          <cell r="D76">
            <v>18.722750000000001</v>
          </cell>
          <cell r="E76">
            <v>582.22450000000003</v>
          </cell>
          <cell r="F76">
            <v>-41.392499999999984</v>
          </cell>
          <cell r="G76">
            <v>126.14300000000001</v>
          </cell>
          <cell r="H76">
            <v>-169.66500000000002</v>
          </cell>
        </row>
        <row r="77">
          <cell r="D77">
            <v>19.199000000000002</v>
          </cell>
          <cell r="E77">
            <v>582.50609999999995</v>
          </cell>
          <cell r="F77">
            <v>-20.329599999999992</v>
          </cell>
          <cell r="G77">
            <v>147.85745509999998</v>
          </cell>
          <cell r="H77">
            <v>-147.95454490000003</v>
          </cell>
        </row>
        <row r="78">
          <cell r="D78">
            <v>19.2</v>
          </cell>
          <cell r="E78">
            <v>582.46619999999996</v>
          </cell>
          <cell r="F78">
            <v>-20.289699999999989</v>
          </cell>
          <cell r="G78">
            <v>147.87573447999998</v>
          </cell>
          <cell r="H78">
            <v>-134.88326552000004</v>
          </cell>
        </row>
        <row r="79">
          <cell r="D79">
            <v>19.2</v>
          </cell>
          <cell r="E79">
            <v>582.46619999999996</v>
          </cell>
          <cell r="F79">
            <v>-20.289699999999989</v>
          </cell>
          <cell r="G79">
            <v>147.87573447999998</v>
          </cell>
          <cell r="H79">
            <v>-134.88326552000004</v>
          </cell>
        </row>
        <row r="80">
          <cell r="D80">
            <v>19.675249999999998</v>
          </cell>
          <cell r="E80">
            <v>582.25909999999999</v>
          </cell>
          <cell r="F80">
            <v>-41.293599999999991</v>
          </cell>
          <cell r="G80">
            <v>169.56499999999997</v>
          </cell>
          <cell r="H80">
            <v>-126.24300000000001</v>
          </cell>
        </row>
        <row r="81">
          <cell r="D81">
            <v>20.151499999999999</v>
          </cell>
          <cell r="E81">
            <v>568.7322999999999</v>
          </cell>
          <cell r="F81">
            <v>-66.481300000000005</v>
          </cell>
          <cell r="G81">
            <v>191.23099999999997</v>
          </cell>
          <cell r="H81">
            <v>-104.55200000000001</v>
          </cell>
        </row>
        <row r="82">
          <cell r="D82">
            <v>20.627749999999999</v>
          </cell>
          <cell r="E82">
            <v>541.87099999999998</v>
          </cell>
          <cell r="F82">
            <v>-95.850499999999982</v>
          </cell>
          <cell r="G82">
            <v>215.524</v>
          </cell>
          <cell r="H82">
            <v>-82.983000000000004</v>
          </cell>
        </row>
        <row r="83">
          <cell r="D83">
            <v>20.724</v>
          </cell>
          <cell r="E83">
            <v>532.98310000000004</v>
          </cell>
          <cell r="F83">
            <v>-102.29720000000002</v>
          </cell>
          <cell r="G83">
            <v>217.31700000000001</v>
          </cell>
          <cell r="H83">
            <v>-68.722000000000008</v>
          </cell>
        </row>
        <row r="84">
          <cell r="D84">
            <v>21.103999999999999</v>
          </cell>
          <cell r="E84">
            <v>501.76799999999992</v>
          </cell>
          <cell r="F84">
            <v>-129.4444</v>
          </cell>
          <cell r="G84">
            <v>239.89300000000003</v>
          </cell>
          <cell r="H84">
            <v>-61.568999999999988</v>
          </cell>
        </row>
        <row r="85">
          <cell r="D85">
            <v>21.580249999999999</v>
          </cell>
          <cell r="E85">
            <v>450.08109999999999</v>
          </cell>
          <cell r="F85">
            <v>-167.35149999999999</v>
          </cell>
          <cell r="G85">
            <v>263.82799999999997</v>
          </cell>
          <cell r="H85">
            <v>-40.274000000000001</v>
          </cell>
        </row>
        <row r="86">
          <cell r="D86">
            <v>22.0565</v>
          </cell>
          <cell r="E86">
            <v>393.55260000000004</v>
          </cell>
          <cell r="F86">
            <v>-209.67929999999998</v>
          </cell>
          <cell r="G86">
            <v>287.23599999999999</v>
          </cell>
          <cell r="H86">
            <v>-19.202999999999999</v>
          </cell>
        </row>
        <row r="87">
          <cell r="D87">
            <v>22.247999999999998</v>
          </cell>
          <cell r="E87">
            <v>363.80679999999995</v>
          </cell>
          <cell r="F87">
            <v>-227.96979999999999</v>
          </cell>
          <cell r="G87">
            <v>291.07800000000003</v>
          </cell>
          <cell r="H87">
            <v>-4.9499999999999993</v>
          </cell>
        </row>
        <row r="88">
          <cell r="D88">
            <v>22.53275</v>
          </cell>
          <cell r="E88">
            <v>329.59379999999993</v>
          </cell>
          <cell r="F88">
            <v>-256.5385</v>
          </cell>
          <cell r="G88">
            <v>310.06500000000005</v>
          </cell>
          <cell r="H88">
            <v>0.85800000000000054</v>
          </cell>
        </row>
        <row r="89">
          <cell r="D89">
            <v>23.009</v>
          </cell>
          <cell r="E89">
            <v>263.79719999999998</v>
          </cell>
          <cell r="F89">
            <v>-326.51620000000003</v>
          </cell>
          <cell r="G89">
            <v>332.38</v>
          </cell>
          <cell r="H89">
            <v>20.898000000000003</v>
          </cell>
        </row>
        <row r="90">
          <cell r="D90">
            <v>23.009999999999998</v>
          </cell>
          <cell r="E90">
            <v>263.63629999999995</v>
          </cell>
          <cell r="F90">
            <v>-326.67400000000004</v>
          </cell>
          <cell r="G90">
            <v>332.40100000000001</v>
          </cell>
          <cell r="H90">
            <v>28.298999999999999</v>
          </cell>
        </row>
        <row r="91">
          <cell r="D91">
            <v>23.009999999999998</v>
          </cell>
          <cell r="E91">
            <v>263.63629999999995</v>
          </cell>
          <cell r="F91">
            <v>-326.67400000000004</v>
          </cell>
          <cell r="G91">
            <v>332.40100000000001</v>
          </cell>
          <cell r="H91">
            <v>28.298999999999999</v>
          </cell>
        </row>
        <row r="92">
          <cell r="D92">
            <v>23.485249999999997</v>
          </cell>
          <cell r="E92">
            <v>190.97439999999997</v>
          </cell>
          <cell r="F92">
            <v>-405.11559999999997</v>
          </cell>
          <cell r="G92">
            <v>354.15899999999993</v>
          </cell>
          <cell r="H92">
            <v>38.676000000000002</v>
          </cell>
        </row>
        <row r="93">
          <cell r="D93">
            <v>23.771999999999998</v>
          </cell>
          <cell r="E93">
            <v>138.14619999999996</v>
          </cell>
          <cell r="F93">
            <v>-455.59639999999996</v>
          </cell>
          <cell r="G93">
            <v>360.60299999999995</v>
          </cell>
          <cell r="H93">
            <v>50.335999999999999</v>
          </cell>
        </row>
        <row r="94">
          <cell r="D94">
            <v>23.961499999999997</v>
          </cell>
          <cell r="E94">
            <v>108.0354</v>
          </cell>
          <cell r="F94">
            <v>-490.03590000000003</v>
          </cell>
          <cell r="G94">
            <v>375.39700000000005</v>
          </cell>
          <cell r="H94">
            <v>54.681999999999995</v>
          </cell>
        </row>
        <row r="95">
          <cell r="D95">
            <v>24.437749999999998</v>
          </cell>
          <cell r="E95">
            <v>14.770300000000024</v>
          </cell>
          <cell r="F95">
            <v>-580.6567</v>
          </cell>
          <cell r="G95">
            <v>396.97700000000003</v>
          </cell>
          <cell r="H95">
            <v>65.983000000000004</v>
          </cell>
        </row>
        <row r="96">
          <cell r="D96">
            <v>24.913999999999998</v>
          </cell>
          <cell r="E96">
            <v>-87.191199999999995</v>
          </cell>
          <cell r="F96">
            <v>-678.66369999999995</v>
          </cell>
          <cell r="G96">
            <v>423.69900000000001</v>
          </cell>
          <cell r="H96">
            <v>77.822000000000003</v>
          </cell>
        </row>
        <row r="97">
          <cell r="D97">
            <v>25.295999999999999</v>
          </cell>
          <cell r="E97">
            <v>-140.65509999999998</v>
          </cell>
          <cell r="F97">
            <v>-807.00109999999995</v>
          </cell>
          <cell r="G97">
            <v>433.58299999999997</v>
          </cell>
          <cell r="H97">
            <v>87.705999999999989</v>
          </cell>
        </row>
        <row r="98">
          <cell r="D98">
            <v>25.390249999999998</v>
          </cell>
          <cell r="E98">
            <v>-149.03890000000001</v>
          </cell>
          <cell r="F98">
            <v>-839.83299999999986</v>
          </cell>
          <cell r="G98">
            <v>450.71999999999997</v>
          </cell>
          <cell r="H98">
            <v>90.202000000000012</v>
          </cell>
        </row>
        <row r="99">
          <cell r="D99">
            <v>25.866499999999998</v>
          </cell>
          <cell r="E99">
            <v>-195.06990000000002</v>
          </cell>
          <cell r="F99">
            <v>-1011.2545000000001</v>
          </cell>
          <cell r="G99">
            <v>478.12</v>
          </cell>
          <cell r="H99">
            <v>103.217</v>
          </cell>
        </row>
        <row r="100">
          <cell r="D100">
            <v>26.342749999999999</v>
          </cell>
          <cell r="E100">
            <v>-247.4615</v>
          </cell>
          <cell r="F100">
            <v>-1192.3485000000001</v>
          </cell>
          <cell r="G100">
            <v>507.72900000000004</v>
          </cell>
          <cell r="H100">
            <v>116.91199999999999</v>
          </cell>
        </row>
        <row r="101">
          <cell r="D101">
            <v>26.818999999999999</v>
          </cell>
          <cell r="E101">
            <v>-306.5376</v>
          </cell>
          <cell r="F101">
            <v>-1383.7752999999998</v>
          </cell>
          <cell r="G101">
            <v>538.35800000000006</v>
          </cell>
          <cell r="H101">
            <v>131.28899999999999</v>
          </cell>
        </row>
        <row r="102">
          <cell r="D102">
            <v>26.819999999999997</v>
          </cell>
          <cell r="E102">
            <v>-306.66879999999998</v>
          </cell>
          <cell r="F102">
            <v>-1384.1869000000002</v>
          </cell>
          <cell r="G102">
            <v>538.3889999999999</v>
          </cell>
          <cell r="H102">
            <v>131.32000000000002</v>
          </cell>
        </row>
        <row r="103">
          <cell r="D103">
            <v>26.819999999999997</v>
          </cell>
          <cell r="E103">
            <v>-306.66879999999998</v>
          </cell>
          <cell r="F103">
            <v>-1384.1869000000002</v>
          </cell>
          <cell r="G103">
            <v>-167.34899999999999</v>
          </cell>
          <cell r="H103">
            <v>-520.62699999999995</v>
          </cell>
        </row>
        <row r="104">
          <cell r="D104">
            <v>27.301499999999997</v>
          </cell>
          <cell r="E104">
            <v>-229.63190000000003</v>
          </cell>
          <cell r="F104">
            <v>-1180.1811</v>
          </cell>
          <cell r="G104">
            <v>-152.72200000000001</v>
          </cell>
          <cell r="H104">
            <v>-506</v>
          </cell>
        </row>
        <row r="105">
          <cell r="D105">
            <v>27.783999999999995</v>
          </cell>
          <cell r="E105">
            <v>-159.37580000000003</v>
          </cell>
          <cell r="F105">
            <v>-1013.2264</v>
          </cell>
          <cell r="G105">
            <v>-138.578</v>
          </cell>
          <cell r="H105">
            <v>-480.86999999999995</v>
          </cell>
        </row>
        <row r="106">
          <cell r="D106">
            <v>27.932309999999998</v>
          </cell>
          <cell r="E106">
            <v>-139.1387</v>
          </cell>
          <cell r="F106">
            <v>-974.60919999999999</v>
          </cell>
          <cell r="G106">
            <v>-134.33500000000001</v>
          </cell>
          <cell r="H106">
            <v>-467.30599999999998</v>
          </cell>
        </row>
        <row r="107">
          <cell r="D107">
            <v>28.266499999999997</v>
          </cell>
          <cell r="E107">
            <v>-95.823000000000008</v>
          </cell>
          <cell r="F107">
            <v>-890.35649999999998</v>
          </cell>
          <cell r="G107">
            <v>-124.92999999999999</v>
          </cell>
          <cell r="H107">
            <v>-457.90100000000001</v>
          </cell>
        </row>
        <row r="108">
          <cell r="D108">
            <v>28.748999999999995</v>
          </cell>
          <cell r="E108">
            <v>17.547099999999965</v>
          </cell>
          <cell r="F108">
            <v>-785.22600000000011</v>
          </cell>
          <cell r="G108">
            <v>-108.389</v>
          </cell>
          <cell r="H108">
            <v>-434.52100000000002</v>
          </cell>
        </row>
        <row r="109">
          <cell r="D109">
            <v>29.044619999999995</v>
          </cell>
          <cell r="E109">
            <v>83.924800000000005</v>
          </cell>
          <cell r="F109">
            <v>-730.49919999999986</v>
          </cell>
          <cell r="G109">
            <v>-100.523</v>
          </cell>
          <cell r="H109">
            <v>-415.58600000000007</v>
          </cell>
        </row>
        <row r="110">
          <cell r="D110">
            <v>29.231499999999997</v>
          </cell>
          <cell r="E110">
            <v>136.42440000000002</v>
          </cell>
          <cell r="F110">
            <v>-697.09190000000001</v>
          </cell>
          <cell r="G110">
            <v>-87.890999999999991</v>
          </cell>
          <cell r="H110">
            <v>-410.69599999999997</v>
          </cell>
        </row>
        <row r="111">
          <cell r="D111">
            <v>29.713999999999999</v>
          </cell>
          <cell r="E111">
            <v>247.80810000000002</v>
          </cell>
          <cell r="F111">
            <v>-615.00929999999994</v>
          </cell>
          <cell r="G111">
            <v>-67.477999999999994</v>
          </cell>
          <cell r="H111">
            <v>-386.38800000000003</v>
          </cell>
        </row>
        <row r="112">
          <cell r="D112">
            <v>30.156919999999996</v>
          </cell>
          <cell r="E112">
            <v>339.08510000000001</v>
          </cell>
          <cell r="F112">
            <v>-544.81089999999983</v>
          </cell>
          <cell r="G112">
            <v>-56.532000000000011</v>
          </cell>
          <cell r="H112">
            <v>-362.53100000000001</v>
          </cell>
        </row>
        <row r="113">
          <cell r="D113">
            <v>30.196499999999997</v>
          </cell>
          <cell r="E113">
            <v>351.9178</v>
          </cell>
          <cell r="F113">
            <v>-538.77310000000011</v>
          </cell>
          <cell r="G113">
            <v>-47.11699999999999</v>
          </cell>
          <cell r="H113">
            <v>-361.57099999999997</v>
          </cell>
        </row>
        <row r="114">
          <cell r="D114">
            <v>30.678999999999995</v>
          </cell>
          <cell r="E114">
            <v>443.08920000000001</v>
          </cell>
          <cell r="F114">
            <v>-468.185</v>
          </cell>
          <cell r="G114">
            <v>-26.746000000000006</v>
          </cell>
          <cell r="H114">
            <v>-336.19200000000006</v>
          </cell>
        </row>
        <row r="115">
          <cell r="D115">
            <v>30.679999999999996</v>
          </cell>
          <cell r="E115">
            <v>443.24890000000005</v>
          </cell>
          <cell r="F115">
            <v>-468.04449999999997</v>
          </cell>
          <cell r="G115">
            <v>-26.723000000000006</v>
          </cell>
          <cell r="H115">
            <v>-321.33600000000001</v>
          </cell>
        </row>
        <row r="116">
          <cell r="D116">
            <v>30.679999999999996</v>
          </cell>
          <cell r="E116">
            <v>443.24890000000005</v>
          </cell>
          <cell r="F116">
            <v>-468.04449999999997</v>
          </cell>
          <cell r="G116">
            <v>-26.723000000000006</v>
          </cell>
          <cell r="H116">
            <v>-321.33600000000001</v>
          </cell>
        </row>
        <row r="117">
          <cell r="D117">
            <v>31.161499999999997</v>
          </cell>
          <cell r="E117">
            <v>520.80359999999996</v>
          </cell>
          <cell r="F117">
            <v>-403.06449999999995</v>
          </cell>
          <cell r="G117">
            <v>-6.3140000000000027</v>
          </cell>
          <cell r="H117">
            <v>-310.20999999999998</v>
          </cell>
        </row>
        <row r="118">
          <cell r="D118">
            <v>31.269229999999997</v>
          </cell>
          <cell r="E118">
            <v>535.26129999999989</v>
          </cell>
          <cell r="F118">
            <v>-389.25329999999997</v>
          </cell>
          <cell r="G118">
            <v>-3.8750000000000044</v>
          </cell>
          <cell r="H118">
            <v>-291.95400000000001</v>
          </cell>
        </row>
        <row r="119">
          <cell r="D119">
            <v>31.643999999999995</v>
          </cell>
          <cell r="E119">
            <v>589.37430000000006</v>
          </cell>
          <cell r="F119">
            <v>-343.23860000000002</v>
          </cell>
          <cell r="G119">
            <v>14.305999999999994</v>
          </cell>
          <cell r="H119">
            <v>-283.58</v>
          </cell>
        </row>
        <row r="120">
          <cell r="D120">
            <v>32.126499999999993</v>
          </cell>
          <cell r="E120">
            <v>645.20240000000001</v>
          </cell>
          <cell r="F120">
            <v>-288.56569999999999</v>
          </cell>
          <cell r="G120">
            <v>36.313000000000002</v>
          </cell>
          <cell r="H120">
            <v>-256.21800000000002</v>
          </cell>
        </row>
        <row r="121">
          <cell r="D121">
            <v>32.381539999999994</v>
          </cell>
          <cell r="E121">
            <v>664.37479999999994</v>
          </cell>
          <cell r="F121">
            <v>-261.70549999999997</v>
          </cell>
          <cell r="G121">
            <v>41.783000000000001</v>
          </cell>
          <cell r="H121">
            <v>-232.93</v>
          </cell>
        </row>
        <row r="122">
          <cell r="D122">
            <v>32.608999999999995</v>
          </cell>
          <cell r="E122">
            <v>686.94229999999993</v>
          </cell>
          <cell r="F122">
            <v>-238.91909999999996</v>
          </cell>
          <cell r="G122">
            <v>58.616000000000007</v>
          </cell>
          <cell r="H122">
            <v>-228.11099999999999</v>
          </cell>
        </row>
        <row r="123">
          <cell r="D123">
            <v>33.091499999999996</v>
          </cell>
          <cell r="E123">
            <v>714.70749999999998</v>
          </cell>
          <cell r="F123">
            <v>-194.17760000000004</v>
          </cell>
          <cell r="G123">
            <v>81.249000000000009</v>
          </cell>
          <cell r="H123">
            <v>-199.24499999999998</v>
          </cell>
        </row>
        <row r="124">
          <cell r="D124">
            <v>33.493849999999995</v>
          </cell>
          <cell r="E124">
            <v>723.05840000000012</v>
          </cell>
          <cell r="F124">
            <v>-160.535</v>
          </cell>
          <cell r="G124">
            <v>89.442000000000021</v>
          </cell>
          <cell r="H124">
            <v>-172.61899999999997</v>
          </cell>
        </row>
        <row r="125">
          <cell r="D125">
            <v>33.573999999999998</v>
          </cell>
          <cell r="E125">
            <v>727.56299999999999</v>
          </cell>
          <cell r="F125">
            <v>-154.22489999999999</v>
          </cell>
          <cell r="G125">
            <v>104.232</v>
          </cell>
          <cell r="H125">
            <v>-171.006</v>
          </cell>
        </row>
        <row r="126">
          <cell r="D126">
            <v>34.0565</v>
          </cell>
          <cell r="E126">
            <v>732.06220000000008</v>
          </cell>
          <cell r="F126">
            <v>-118.95160000000008</v>
          </cell>
          <cell r="G126">
            <v>127.60600000000004</v>
          </cell>
          <cell r="H126">
            <v>-147.69999999999999</v>
          </cell>
        </row>
        <row r="127">
          <cell r="D127">
            <v>34.538999999999994</v>
          </cell>
          <cell r="E127">
            <v>723.7208999999998</v>
          </cell>
          <cell r="F127">
            <v>-88.263400000000004</v>
          </cell>
          <cell r="G127">
            <v>151.38900000000001</v>
          </cell>
          <cell r="H127">
            <v>-123.93899999999999</v>
          </cell>
        </row>
        <row r="128">
          <cell r="D128">
            <v>34.54</v>
          </cell>
          <cell r="E128">
            <v>723.56950000000006</v>
          </cell>
          <cell r="F128">
            <v>-88.204499999999996</v>
          </cell>
          <cell r="G128">
            <v>151.40800000000002</v>
          </cell>
          <cell r="H128">
            <v>-108.79100000000001</v>
          </cell>
        </row>
        <row r="129">
          <cell r="D129">
            <v>34.54</v>
          </cell>
          <cell r="E129">
            <v>723.56950000000006</v>
          </cell>
          <cell r="F129">
            <v>-88.204499999999996</v>
          </cell>
          <cell r="G129">
            <v>151.40800000000002</v>
          </cell>
          <cell r="H129">
            <v>-108.79100000000001</v>
          </cell>
        </row>
        <row r="130">
          <cell r="D130">
            <v>34.606160000000003</v>
          </cell>
          <cell r="E130">
            <v>713.51069999999993</v>
          </cell>
          <cell r="F130">
            <v>-84.3506</v>
          </cell>
          <cell r="G130">
            <v>152.68299999999999</v>
          </cell>
          <cell r="H130">
            <v>-107.51599999999999</v>
          </cell>
        </row>
        <row r="131">
          <cell r="D131">
            <v>35.021630000000002</v>
          </cell>
          <cell r="E131">
            <v>699.02069999999992</v>
          </cell>
          <cell r="F131">
            <v>-62.06519999999999</v>
          </cell>
          <cell r="G131">
            <v>175.60900000000001</v>
          </cell>
          <cell r="H131">
            <v>-99.567999999999998</v>
          </cell>
        </row>
        <row r="132">
          <cell r="D132">
            <v>35.504249999999999</v>
          </cell>
          <cell r="E132">
            <v>657.12260000000003</v>
          </cell>
          <cell r="F132">
            <v>-40.29649999999998</v>
          </cell>
          <cell r="G132">
            <v>200.28199999999998</v>
          </cell>
          <cell r="H132">
            <v>-74.759000000000015</v>
          </cell>
        </row>
        <row r="133">
          <cell r="D133">
            <v>35.71846</v>
          </cell>
          <cell r="E133">
            <v>619.43660000000011</v>
          </cell>
          <cell r="F133">
            <v>-32.037600000000012</v>
          </cell>
          <cell r="G133">
            <v>204.28799999999998</v>
          </cell>
          <cell r="H133">
            <v>-63.080999999999996</v>
          </cell>
        </row>
        <row r="134">
          <cell r="D134">
            <v>35.986879999999999</v>
          </cell>
          <cell r="E134">
            <v>597.18430000000001</v>
          </cell>
          <cell r="F134">
            <v>-22.896100000000008</v>
          </cell>
          <cell r="G134">
            <v>225.39599999999999</v>
          </cell>
          <cell r="H134">
            <v>-58.091999999999999</v>
          </cell>
        </row>
        <row r="135">
          <cell r="D135">
            <v>36.469499999999996</v>
          </cell>
          <cell r="E135">
            <v>522.92370000000005</v>
          </cell>
          <cell r="F135">
            <v>-9.8131999999999966</v>
          </cell>
          <cell r="G135">
            <v>253.29400000000001</v>
          </cell>
          <cell r="H135">
            <v>-40.613999999999983</v>
          </cell>
        </row>
        <row r="136">
          <cell r="D136">
            <v>36.830770000000001</v>
          </cell>
          <cell r="E136">
            <v>444.98600000000005</v>
          </cell>
          <cell r="F136">
            <v>-2.8196999999999939</v>
          </cell>
          <cell r="G136">
            <v>259.899</v>
          </cell>
          <cell r="H136">
            <v>-24.567000000000014</v>
          </cell>
        </row>
        <row r="137">
          <cell r="D137">
            <v>36.952129999999997</v>
          </cell>
          <cell r="E137">
            <v>427.84620000000007</v>
          </cell>
          <cell r="F137">
            <v>-1.0049000000000046</v>
          </cell>
          <cell r="G137">
            <v>282.34399999999999</v>
          </cell>
          <cell r="H137">
            <v>-22.357000000000014</v>
          </cell>
        </row>
        <row r="138">
          <cell r="D138">
            <v>37.434750000000001</v>
          </cell>
          <cell r="E138">
            <v>309.52979999999997</v>
          </cell>
          <cell r="F138">
            <v>3.5599999999999987</v>
          </cell>
          <cell r="G138">
            <v>311.91500000000002</v>
          </cell>
          <cell r="H138">
            <v>-5.0699999999999994</v>
          </cell>
        </row>
        <row r="139">
          <cell r="D139">
            <v>37.917380000000001</v>
          </cell>
          <cell r="E139">
            <v>167.15549999999999</v>
          </cell>
          <cell r="F139">
            <v>3.892199999999999</v>
          </cell>
          <cell r="G139">
            <v>341.97299999999996</v>
          </cell>
          <cell r="H139">
            <v>3.6909999999999936</v>
          </cell>
        </row>
        <row r="140">
          <cell r="D140">
            <v>38.4</v>
          </cell>
          <cell r="E140">
            <v>7.8809999999999994E-14</v>
          </cell>
          <cell r="F140">
            <v>7.8809999999999994E-14</v>
          </cell>
          <cell r="G140">
            <v>372.464</v>
          </cell>
          <cell r="H140">
            <v>12.435</v>
          </cell>
        </row>
      </sheetData>
    </sheetDataSet>
  </externalBook>
</externalLink>
</file>

<file path=xl/tables/table1.xml><?xml version="1.0" encoding="utf-8"?>
<table xmlns="http://schemas.openxmlformats.org/spreadsheetml/2006/main" id="1" name="_1_Moment" displayName="_1_Moment" ref="C15:L28" totalsRowShown="0">
  <autoFilter ref="C15:L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SUM(D16+E16+G16+H16+I16+J16)</calculatedColumnFormula>
    </tableColumn>
    <tableColumn id="10" name="TOTAL (Min)">
      <calculatedColumnFormula>SUM(D16+F16+G16+H16+I16+J16)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_5_Shear" displayName="_5_Shear" ref="C210:L222" totalsRowShown="0">
  <autoFilter ref="C210:L222"/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SUM(D211+E211+G211+H211+I211+J211)</calculatedColumnFormula>
    </tableColumn>
    <tableColumn id="10" name="TOTAL (Min)">
      <calculatedColumnFormula>SUM(D211+F211+G211+H211+I211+J211)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21" name="SimplifiedAnalysisTable" displayName="SimplifiedAnalysisTable" ref="C15:H140" totalsRowShown="0">
  <autoFilter ref="C15:H140"/>
  <tableColumns count="6">
    <tableColumn id="1" name="Frame"/>
    <tableColumn id="2" name="Stations"/>
    <tableColumn id="3" name="Moment (Max)"/>
    <tableColumn id="4" name="Moment (Min)"/>
    <tableColumn id="5" name="Shear (Max)"/>
    <tableColumn id="6" name="Shear (Min)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2" name="Station_Analysis" displayName="Station_Analysis" ref="N10:S13" totalsRowShown="0" headerRowDxfId="0">
  <autoFilter ref="N10:S13"/>
  <tableColumns count="6">
    <tableColumn id="1" name="Location"/>
    <tableColumn id="2" name="Station"/>
    <tableColumn id="3" name="Max M"/>
    <tableColumn id="4" name="Min M"/>
    <tableColumn id="5" name="Max V"/>
    <tableColumn id="6" name="Min V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_1_Shear" displayName="_1_Shear" ref="C33:L46" totalsRowShown="0">
  <autoFilter ref="C33:L46"/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SUM(D34+E34+G34+H34+I34+J34)</calculatedColumnFormula>
    </tableColumn>
    <tableColumn id="10" name="TOTAL (Min)">
      <calculatedColumnFormula>SUM(D34+F34+G34+H34+I34+J34)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_2_Moment" displayName="_2_Moment" ref="C60:L73" totalsRowShown="0">
  <autoFilter ref="C60:L73"/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SUM(D61+E61+G61+H61+I61+J61)</calculatedColumnFormula>
    </tableColumn>
    <tableColumn id="10" name="TOTAL (Min)">
      <calculatedColumnFormula>SUM(D61+F61+G61+H61+I61+J61)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_2_Shear" displayName="_2_Shear" ref="C78:L91" totalsRowShown="0">
  <autoFilter ref="C78:L91"/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SUM(D79+E79+G79+H79+I79+J79)</calculatedColumnFormula>
    </tableColumn>
    <tableColumn id="10" name="TOTAL (Min)">
      <calculatedColumnFormula>SUM(D79+F79+G79+H79+I79+J79)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_3_Moment" displayName="_3_Moment" ref="C105:L118" totalsRowShown="0">
  <autoFilter ref="C105:L118"/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SUM(D106+E106+G106+H106+I106+J106)</calculatedColumnFormula>
    </tableColumn>
    <tableColumn id="10" name="TOTAL (Min)">
      <calculatedColumnFormula>SUM(D106+F106+G106+H106+I106+J106)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_3_Shear" displayName="_3_Shear" ref="C123:L136" totalsRowShown="0">
  <autoFilter ref="C123:L136"/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SUM(D124+E124+G124+H124+I124+J124)</calculatedColumnFormula>
    </tableColumn>
    <tableColumn id="10" name="TOTAL (Min)">
      <calculatedColumnFormula>SUM(D124+F124+G124+H124+I124+J124)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_4_Moment" displayName="_4_Moment" ref="C150:L162" totalsRowShown="0">
  <autoFilter ref="C150:L162"/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SUM(D151+E151+G151+H151+I151+J151)</calculatedColumnFormula>
    </tableColumn>
    <tableColumn id="10" name="TOTAL (Min)">
      <calculatedColumnFormula>SUM(D151+F151+G151+H151+I151+J151)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_4_Shear" displayName="_4_Shear" ref="C167:L179" totalsRowShown="0">
  <autoFilter ref="C167:L179"/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SUM(D168+E168+G168+H168+I168+J168)</calculatedColumnFormula>
    </tableColumn>
    <tableColumn id="10" name="TOTAL (Min)">
      <calculatedColumnFormula>SUM(D168+F168+G168+H168+I168+J168)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_5_Moment" displayName="_5_Moment" ref="C193:L205" totalsRowShown="0">
  <autoFilter ref="C193:L205"/>
  <tableColumns count="10">
    <tableColumn id="1" name="Stations"/>
    <tableColumn id="2" name="BARRIER"/>
    <tableColumn id="3" name="CL-625-ON (Max)"/>
    <tableColumn id="4" name="CL-625-ON (Min)"/>
    <tableColumn id="5" name="DEAD"/>
    <tableColumn id="6" name="SAFTEY_CURB"/>
    <tableColumn id="7" name="SIDEWALK"/>
    <tableColumn id="8" name="WEARING_SURFACE"/>
    <tableColumn id="9" name="TOTAL (Max)">
      <calculatedColumnFormula>SUM(D194+E194+G194+H194+I194+J194)</calculatedColumnFormula>
    </tableColumn>
    <tableColumn id="10" name="TOTAL (Min)">
      <calculatedColumnFormula>SUM(D194+F194+G194+H194+I194+J194)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"/>
  <sheetViews>
    <sheetView tabSelected="1" workbookViewId="0">
      <selection activeCell="L5" sqref="L5"/>
    </sheetView>
  </sheetViews>
  <sheetFormatPr defaultRowHeight="14.4" x14ac:dyDescent="0.3"/>
  <cols>
    <col min="2" max="2" width="17.77734375" customWidth="1"/>
  </cols>
  <sheetData>
    <row r="2" spans="2:17" x14ac:dyDescent="0.3">
      <c r="B2" t="s">
        <v>0</v>
      </c>
      <c r="G2" s="5" t="s">
        <v>49</v>
      </c>
    </row>
    <row r="3" spans="2:17" x14ac:dyDescent="0.3">
      <c r="B3" t="s">
        <v>1</v>
      </c>
      <c r="G3" t="s">
        <v>50</v>
      </c>
    </row>
    <row r="4" spans="2:17" x14ac:dyDescent="0.3">
      <c r="B4" t="s">
        <v>2</v>
      </c>
      <c r="G4" t="s">
        <v>51</v>
      </c>
    </row>
    <row r="5" spans="2:17" x14ac:dyDescent="0.3">
      <c r="B5" t="s">
        <v>3</v>
      </c>
      <c r="G5" t="s">
        <v>52</v>
      </c>
    </row>
    <row r="6" spans="2:17" x14ac:dyDescent="0.3">
      <c r="B6" t="s">
        <v>4</v>
      </c>
    </row>
    <row r="9" spans="2:17" x14ac:dyDescent="0.3">
      <c r="K9" s="5" t="s">
        <v>57</v>
      </c>
    </row>
    <row r="10" spans="2:17" x14ac:dyDescent="0.3">
      <c r="J10">
        <v>1</v>
      </c>
      <c r="K10" t="s">
        <v>53</v>
      </c>
      <c r="Q10" t="s">
        <v>58</v>
      </c>
    </row>
    <row r="11" spans="2:17" x14ac:dyDescent="0.3">
      <c r="J11">
        <v>2</v>
      </c>
      <c r="K11" t="s">
        <v>54</v>
      </c>
      <c r="Q11" t="s">
        <v>56</v>
      </c>
    </row>
    <row r="12" spans="2:17" x14ac:dyDescent="0.3">
      <c r="J12">
        <v>3</v>
      </c>
      <c r="K12" t="s">
        <v>59</v>
      </c>
    </row>
    <row r="13" spans="2:17" x14ac:dyDescent="0.3">
      <c r="J13">
        <v>4</v>
      </c>
      <c r="K13" t="s">
        <v>55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L222"/>
  <sheetViews>
    <sheetView zoomScale="102" zoomScaleNormal="102" workbookViewId="0">
      <selection activeCell="A8" sqref="A8:XFD9"/>
    </sheetView>
  </sheetViews>
  <sheetFormatPr defaultRowHeight="14.4" x14ac:dyDescent="0.3"/>
  <cols>
    <col min="3" max="3" width="10.44140625" customWidth="1"/>
    <col min="4" max="4" width="11.6640625" bestFit="1" customWidth="1"/>
    <col min="5" max="5" width="17.77734375" bestFit="1" customWidth="1"/>
    <col min="6" max="6" width="17.44140625" bestFit="1" customWidth="1"/>
    <col min="7" max="7" width="9.6640625" bestFit="1" customWidth="1"/>
    <col min="8" max="8" width="14.44140625" customWidth="1"/>
    <col min="9" max="9" width="10.44140625" customWidth="1"/>
    <col min="10" max="10" width="15.109375" customWidth="1"/>
    <col min="11" max="11" width="17.44140625" customWidth="1"/>
    <col min="12" max="12" width="18.21875" customWidth="1"/>
  </cols>
  <sheetData>
    <row r="5" spans="3:12" s="2" customFormat="1" ht="28.8" x14ac:dyDescent="0.55000000000000004">
      <c r="C5" s="1" t="s">
        <v>29</v>
      </c>
    </row>
    <row r="8" spans="3:12" x14ac:dyDescent="0.3">
      <c r="C8" s="3" t="s">
        <v>5</v>
      </c>
      <c r="D8" s="3">
        <v>1</v>
      </c>
    </row>
    <row r="9" spans="3:12" x14ac:dyDescent="0.3">
      <c r="C9" s="3" t="s">
        <v>6</v>
      </c>
      <c r="D9" s="3">
        <v>1</v>
      </c>
    </row>
    <row r="10" spans="3:12" x14ac:dyDescent="0.3">
      <c r="C10" s="3" t="s">
        <v>7</v>
      </c>
      <c r="D10" s="3">
        <v>1</v>
      </c>
    </row>
    <row r="13" spans="3:12" x14ac:dyDescent="0.3">
      <c r="C13" t="s">
        <v>8</v>
      </c>
    </row>
    <row r="14" spans="3:12" x14ac:dyDescent="0.3">
      <c r="C14" s="4" t="s">
        <v>9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/>
      <c r="L14" s="4"/>
    </row>
    <row r="15" spans="3:12" x14ac:dyDescent="0.3">
      <c r="C15" t="s">
        <v>10</v>
      </c>
      <c r="D15" t="s">
        <v>11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17</v>
      </c>
      <c r="K15" t="s">
        <v>18</v>
      </c>
      <c r="L15" t="s">
        <v>19</v>
      </c>
    </row>
    <row r="16" spans="3:12" x14ac:dyDescent="0.3">
      <c r="C16">
        <v>0</v>
      </c>
      <c r="D16">
        <f>0*D14</f>
        <v>0</v>
      </c>
      <c r="E16">
        <f>0*E14*D9*D8</f>
        <v>0</v>
      </c>
      <c r="F16">
        <f>0*F14*D9*D8</f>
        <v>0</v>
      </c>
      <c r="G16">
        <f>0*G14</f>
        <v>0</v>
      </c>
      <c r="H16">
        <f>-0.000000000000007105*H14</f>
        <v>-7.1050000000000001E-15</v>
      </c>
      <c r="I16">
        <f>0.00000000000001421*I14</f>
        <v>1.421E-14</v>
      </c>
      <c r="J16">
        <f>-0.00000000000002842*J14</f>
        <v>-2.842E-14</v>
      </c>
      <c r="K16">
        <f t="shared" ref="K16:K28" si="0">SUM(D16+E16+G16+H16+I16+J16)</f>
        <v>-2.1315000000000002E-14</v>
      </c>
      <c r="L16">
        <f t="shared" ref="L16:L28" si="1">SUM(D16+F16+G16+H16+I16+J16)</f>
        <v>-2.1315000000000002E-14</v>
      </c>
    </row>
    <row r="17" spans="3:12" x14ac:dyDescent="0.3">
      <c r="C17">
        <v>0.48237999999999998</v>
      </c>
      <c r="D17">
        <f>0.2519*D14</f>
        <v>0.25190000000000001</v>
      </c>
      <c r="E17">
        <f>133.8948*E14*D9*D8</f>
        <v>133.8948</v>
      </c>
      <c r="F17">
        <f>-29.2906*F14*D9*D8</f>
        <v>-29.290600000000001</v>
      </c>
      <c r="G17">
        <f>24.2803*G14</f>
        <v>24.2803</v>
      </c>
      <c r="H17">
        <f>1.7296*H14</f>
        <v>1.7296</v>
      </c>
      <c r="I17">
        <f>3.3584*I14</f>
        <v>3.3584000000000001</v>
      </c>
      <c r="J17">
        <f>3.5599*J14</f>
        <v>3.5598999999999998</v>
      </c>
      <c r="K17">
        <f t="shared" si="0"/>
        <v>167.07490000000001</v>
      </c>
      <c r="L17">
        <f t="shared" si="1"/>
        <v>3.8894999999999982</v>
      </c>
    </row>
    <row r="18" spans="3:12" x14ac:dyDescent="0.3">
      <c r="C18">
        <v>0.96475</v>
      </c>
      <c r="D18">
        <f>0.4689*D14</f>
        <v>0.46889999999999998</v>
      </c>
      <c r="E18">
        <f>247.2536*E14*D9*D8</f>
        <v>247.25360000000001</v>
      </c>
      <c r="F18">
        <f>-58.5813*F14*D9*D8</f>
        <v>-58.581299999999999</v>
      </c>
      <c r="G18">
        <f>45.5737*G14</f>
        <v>45.573700000000002</v>
      </c>
      <c r="H18">
        <f>3.2195*H14</f>
        <v>3.2195</v>
      </c>
      <c r="I18">
        <f>6.2515*I14</f>
        <v>6.2515000000000001</v>
      </c>
      <c r="J18">
        <f>6.6266*J14</f>
        <v>6.6265999999999998</v>
      </c>
      <c r="K18">
        <f t="shared" si="0"/>
        <v>309.3938</v>
      </c>
      <c r="L18">
        <f t="shared" si="1"/>
        <v>3.5589000000000013</v>
      </c>
    </row>
    <row r="19" spans="3:12" x14ac:dyDescent="0.3">
      <c r="C19">
        <v>1.44713</v>
      </c>
      <c r="D19">
        <f>0.6509*D14</f>
        <v>0.65090000000000003</v>
      </c>
      <c r="E19">
        <f>340.807*E14*D9*D8</f>
        <v>340.80700000000002</v>
      </c>
      <c r="F19">
        <f>-87.8719*F14*D9*D8</f>
        <v>-87.871899999999997</v>
      </c>
      <c r="G19">
        <f>63.872*G14</f>
        <v>63.872</v>
      </c>
      <c r="H19">
        <f>4.4698*H14</f>
        <v>4.4698000000000002</v>
      </c>
      <c r="I19">
        <f>8.6792*I14</f>
        <v>8.6791999999999998</v>
      </c>
      <c r="J19">
        <f>9.2*J14</f>
        <v>9.1999999999999993</v>
      </c>
      <c r="K19">
        <f t="shared" si="0"/>
        <v>427.6789</v>
      </c>
      <c r="L19">
        <f t="shared" si="1"/>
        <v>-1.0000000000000053</v>
      </c>
    </row>
    <row r="20" spans="3:12" x14ac:dyDescent="0.3">
      <c r="C20">
        <v>1.5692299999999999</v>
      </c>
      <c r="D20">
        <f>0.6915*D14</f>
        <v>0.6915</v>
      </c>
      <c r="E20">
        <f>352.4686*E14*D9*D8</f>
        <v>352.46859999999998</v>
      </c>
      <c r="F20">
        <f>-95.2863*F14*D9*D8</f>
        <v>-95.286299999999997</v>
      </c>
      <c r="G20">
        <f>68.0278*G14</f>
        <v>68.027799999999999</v>
      </c>
      <c r="H20">
        <f>4.7483*H14</f>
        <v>4.7483000000000004</v>
      </c>
      <c r="I20">
        <f>9.2199*I14</f>
        <v>9.2199000000000009</v>
      </c>
      <c r="J20">
        <f>9.7731*J14</f>
        <v>9.7730999999999995</v>
      </c>
      <c r="K20">
        <f t="shared" si="0"/>
        <v>444.92919999999998</v>
      </c>
      <c r="L20">
        <f t="shared" si="1"/>
        <v>-2.8256999999999923</v>
      </c>
    </row>
    <row r="21" spans="3:12" x14ac:dyDescent="0.3">
      <c r="C21">
        <v>1.9295</v>
      </c>
      <c r="D21">
        <f>0.7981*D14</f>
        <v>0.79810000000000003</v>
      </c>
      <c r="E21">
        <f>415.3831*E14*D9*D8</f>
        <v>415.38310000000001</v>
      </c>
      <c r="F21">
        <f>-117.1626*F14*D9*D8</f>
        <v>-117.1626</v>
      </c>
      <c r="G21">
        <f>79.1646*G14</f>
        <v>79.164599999999993</v>
      </c>
      <c r="H21">
        <f>5.4804*H14</f>
        <v>5.4804000000000004</v>
      </c>
      <c r="I21">
        <f>10.6415*I14</f>
        <v>10.641500000000001</v>
      </c>
      <c r="J21">
        <f>11.28*J14</f>
        <v>11.28</v>
      </c>
      <c r="K21">
        <f t="shared" si="0"/>
        <v>522.74770000000001</v>
      </c>
      <c r="L21">
        <f t="shared" si="1"/>
        <v>-9.798</v>
      </c>
    </row>
    <row r="22" spans="3:12" x14ac:dyDescent="0.3">
      <c r="C22">
        <v>2.41188</v>
      </c>
      <c r="D22">
        <f>0.9104*D14</f>
        <v>0.91039999999999999</v>
      </c>
      <c r="E22">
        <f>473.414*E14*D9*D8</f>
        <v>473.41399999999999</v>
      </c>
      <c r="F22">
        <f>-146.4532*F14*D9*D8</f>
        <v>-146.45320000000001</v>
      </c>
      <c r="G22">
        <f>91.4203*G14</f>
        <v>91.420299999999997</v>
      </c>
      <c r="H22">
        <f>6.2513*H14</f>
        <v>6.2512999999999996</v>
      </c>
      <c r="I22">
        <f>12.1385*I14</f>
        <v>12.138500000000001</v>
      </c>
      <c r="J22">
        <f>12.8668*J14</f>
        <v>12.8668</v>
      </c>
      <c r="K22">
        <f t="shared" si="0"/>
        <v>597.00130000000001</v>
      </c>
      <c r="L22">
        <f t="shared" si="1"/>
        <v>-22.865900000000003</v>
      </c>
    </row>
    <row r="23" spans="3:12" x14ac:dyDescent="0.3">
      <c r="C23">
        <v>2.68154</v>
      </c>
      <c r="D23">
        <f>0.9579*D14</f>
        <v>0.95789999999999997</v>
      </c>
      <c r="E23">
        <f>488.5918*E14*D9*D8</f>
        <v>488.59179999999998</v>
      </c>
      <c r="F23">
        <f>-162.8275*F14*D9*D8</f>
        <v>-162.82749999999999</v>
      </c>
      <c r="G23">
        <f>96.9324*G14</f>
        <v>96.932400000000001</v>
      </c>
      <c r="H23">
        <f>6.5779*H14</f>
        <v>6.5778999999999996</v>
      </c>
      <c r="I23">
        <f>12.7725*I14</f>
        <v>12.772500000000001</v>
      </c>
      <c r="J23">
        <f>13.5389*J14</f>
        <v>13.5389</v>
      </c>
      <c r="K23">
        <f t="shared" si="0"/>
        <v>619.37139999999999</v>
      </c>
      <c r="L23">
        <f t="shared" si="1"/>
        <v>-32.047899999999991</v>
      </c>
    </row>
    <row r="24" spans="3:12" x14ac:dyDescent="0.3">
      <c r="C24">
        <v>2.89425</v>
      </c>
      <c r="D24">
        <f>0.9878*D14</f>
        <v>0.98780000000000001</v>
      </c>
      <c r="E24">
        <f>521.4635*E14*D9*D8</f>
        <v>521.46349999999995</v>
      </c>
      <c r="F24">
        <f>-175.7438*F14*D9*D8</f>
        <v>-175.74379999999999</v>
      </c>
      <c r="G24">
        <f>100.5964*G14</f>
        <v>100.5964</v>
      </c>
      <c r="H24">
        <f>6.7826*H14</f>
        <v>6.7826000000000004</v>
      </c>
      <c r="I24">
        <f>13.1701*I14</f>
        <v>13.1701</v>
      </c>
      <c r="J24">
        <f>13.9603*J14</f>
        <v>13.9603</v>
      </c>
      <c r="K24">
        <f t="shared" si="0"/>
        <v>656.96069999999997</v>
      </c>
      <c r="L24">
        <f t="shared" si="1"/>
        <v>-40.246600000000001</v>
      </c>
    </row>
    <row r="25" spans="3:12" x14ac:dyDescent="0.3">
      <c r="C25">
        <v>3.37663</v>
      </c>
      <c r="D25">
        <f>1.0302*D14</f>
        <v>1.0302</v>
      </c>
      <c r="E25">
        <f>555.8524*E14*D9*D8</f>
        <v>555.85239999999999</v>
      </c>
      <c r="F25">
        <f>-205.0345*F14*D9*D8</f>
        <v>-205.03450000000001</v>
      </c>
      <c r="G25">
        <f>106.6421*G14</f>
        <v>106.6421</v>
      </c>
      <c r="H25">
        <f>7.0742*H14</f>
        <v>7.0742000000000003</v>
      </c>
      <c r="I25">
        <f>13.7363*I14</f>
        <v>13.7363</v>
      </c>
      <c r="J25">
        <f>14.5605*J14</f>
        <v>14.560499999999999</v>
      </c>
      <c r="K25">
        <f t="shared" si="0"/>
        <v>698.89570000000015</v>
      </c>
      <c r="L25">
        <f t="shared" si="1"/>
        <v>-61.991199999999999</v>
      </c>
    </row>
    <row r="26" spans="3:12" x14ac:dyDescent="0.3">
      <c r="C26">
        <v>3.7938399999999999</v>
      </c>
      <c r="D26">
        <f>1.0388*D14</f>
        <v>1.0387999999999999</v>
      </c>
      <c r="E26">
        <f>567.7325*E14*D9*D8</f>
        <v>567.73249999999996</v>
      </c>
      <c r="F26">
        <f>-230.3688*F14*D9*D8</f>
        <v>-230.36879999999999</v>
      </c>
      <c r="G26">
        <f>109.2995*G14</f>
        <v>109.29949999999999</v>
      </c>
      <c r="H26">
        <f>7.1331*H14</f>
        <v>7.1330999999999998</v>
      </c>
      <c r="I26">
        <f>13.8507*I14</f>
        <v>13.8507</v>
      </c>
      <c r="J26">
        <f>14.6817*J14</f>
        <v>14.681699999999999</v>
      </c>
      <c r="K26">
        <f t="shared" si="0"/>
        <v>713.73629999999991</v>
      </c>
      <c r="L26">
        <f t="shared" si="1"/>
        <v>-84.364999999999981</v>
      </c>
    </row>
    <row r="27" spans="3:12" x14ac:dyDescent="0.3">
      <c r="C27">
        <v>3.859</v>
      </c>
      <c r="D27">
        <f>1.0378*D14</f>
        <v>1.0378000000000001</v>
      </c>
      <c r="E27">
        <f>577.4827*E14*D9*D8</f>
        <v>577.48270000000002</v>
      </c>
      <c r="F27">
        <f>-234.3251*F14*D9*D8</f>
        <v>-234.32509999999999</v>
      </c>
      <c r="G27">
        <f>109.4964*G14</f>
        <v>109.49639999999999</v>
      </c>
      <c r="H27">
        <f>7.1261*H14</f>
        <v>7.1261000000000001</v>
      </c>
      <c r="I27">
        <f>13.8371*I14</f>
        <v>13.8371</v>
      </c>
      <c r="J27">
        <f>14.6673*J14</f>
        <v>14.667299999999999</v>
      </c>
      <c r="K27">
        <f t="shared" si="0"/>
        <v>723.64739999999983</v>
      </c>
      <c r="L27">
        <f t="shared" si="1"/>
        <v>-88.160399999999996</v>
      </c>
    </row>
    <row r="28" spans="3:12" x14ac:dyDescent="0.3">
      <c r="C28">
        <v>3.86</v>
      </c>
      <c r="D28">
        <f>1.0378*D14</f>
        <v>1.0378000000000001</v>
      </c>
      <c r="E28">
        <f>577.4924*E14*D9*D8</f>
        <v>577.49239999999998</v>
      </c>
      <c r="F28">
        <f>-234.3859*F14*D9*D8</f>
        <v>-234.38589999999999</v>
      </c>
      <c r="G28">
        <f>109.499*G14</f>
        <v>109.499</v>
      </c>
      <c r="H28">
        <f>7.126*H14</f>
        <v>7.1260000000000003</v>
      </c>
      <c r="I28">
        <f>13.8368*I14</f>
        <v>13.8368</v>
      </c>
      <c r="J28">
        <f>14.6671*J14</f>
        <v>14.6671</v>
      </c>
      <c r="K28">
        <f t="shared" si="0"/>
        <v>723.65909999999997</v>
      </c>
      <c r="L28">
        <f t="shared" si="1"/>
        <v>-88.219199999999987</v>
      </c>
    </row>
    <row r="32" spans="3:12" x14ac:dyDescent="0.3">
      <c r="C32" t="s">
        <v>20</v>
      </c>
    </row>
    <row r="33" spans="3:12" x14ac:dyDescent="0.3">
      <c r="C33" t="s">
        <v>10</v>
      </c>
      <c r="D33" t="s">
        <v>11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17</v>
      </c>
      <c r="K33" t="s">
        <v>18</v>
      </c>
      <c r="L33" t="s">
        <v>19</v>
      </c>
    </row>
    <row r="34" spans="3:12" x14ac:dyDescent="0.3">
      <c r="C34">
        <v>0</v>
      </c>
      <c r="D34">
        <f>-0.558*D14</f>
        <v>-0.55800000000000005</v>
      </c>
      <c r="E34">
        <f>60.722*E14*D10*D8</f>
        <v>60.722000000000001</v>
      </c>
      <c r="F34">
        <f>-299.311*F14*D10*D8</f>
        <v>-299.31099999999998</v>
      </c>
      <c r="G34">
        <f>-53.425*G14</f>
        <v>-53.424999999999997</v>
      </c>
      <c r="H34">
        <f>-3.834*H14</f>
        <v>-3.8340000000000001</v>
      </c>
      <c r="I34">
        <f>-7.445*I14</f>
        <v>-7.4450000000000003</v>
      </c>
      <c r="J34">
        <f>-7.891*J14</f>
        <v>-7.891</v>
      </c>
      <c r="K34">
        <f t="shared" ref="K34:K46" si="2">SUM(D34+E34+G34+H34+I34+J34)</f>
        <v>-12.430999999999996</v>
      </c>
      <c r="L34">
        <f t="shared" ref="L34:L46" si="3">SUM(D34+F34+G34+H34+I34+J34)</f>
        <v>-372.464</v>
      </c>
    </row>
    <row r="35" spans="3:12" x14ac:dyDescent="0.3">
      <c r="C35">
        <v>0.48237999999999998</v>
      </c>
      <c r="D35">
        <f>-0.486*D14</f>
        <v>-0.48599999999999999</v>
      </c>
      <c r="E35">
        <f>60.722*E14*D10*D8</f>
        <v>60.722000000000001</v>
      </c>
      <c r="F35">
        <f>-277.574*F14*D10*D8</f>
        <v>-277.57400000000001</v>
      </c>
      <c r="G35">
        <f>-47.242*G14</f>
        <v>-47.241999999999997</v>
      </c>
      <c r="H35">
        <f>-3.337*H14</f>
        <v>-3.3370000000000002</v>
      </c>
      <c r="I35">
        <f>-6.48*I14</f>
        <v>-6.48</v>
      </c>
      <c r="J35">
        <f>-6.869*J14</f>
        <v>-6.8689999999999998</v>
      </c>
      <c r="K35">
        <f t="shared" si="2"/>
        <v>-3.6919999999999931</v>
      </c>
      <c r="L35">
        <f t="shared" si="3"/>
        <v>-341.98800000000006</v>
      </c>
    </row>
    <row r="36" spans="3:12" x14ac:dyDescent="0.3">
      <c r="C36">
        <v>0.96475</v>
      </c>
      <c r="D36">
        <f>-0.414*D14</f>
        <v>-0.41399999999999998</v>
      </c>
      <c r="E36">
        <f>60.722*E14*D10*D8</f>
        <v>60.722000000000001</v>
      </c>
      <c r="F36">
        <f>-256.288*F14*D10*D8</f>
        <v>-256.28800000000001</v>
      </c>
      <c r="G36">
        <f>-41.041*G14</f>
        <v>-41.040999999999997</v>
      </c>
      <c r="H36">
        <f>-2.84*H14</f>
        <v>-2.84</v>
      </c>
      <c r="I36">
        <f>-5.515*I14</f>
        <v>-5.5149999999999997</v>
      </c>
      <c r="J36">
        <f>-5.846*J14</f>
        <v>-5.8460000000000001</v>
      </c>
      <c r="K36">
        <f t="shared" si="2"/>
        <v>5.0660000000000025</v>
      </c>
      <c r="L36">
        <f t="shared" si="3"/>
        <v>-311.94399999999996</v>
      </c>
    </row>
    <row r="37" spans="3:12" x14ac:dyDescent="0.3">
      <c r="C37">
        <v>1.44713</v>
      </c>
      <c r="D37">
        <f>-0.341*D14</f>
        <v>-0.34100000000000003</v>
      </c>
      <c r="E37">
        <f>69.213*E14*D10*D8</f>
        <v>69.212999999999994</v>
      </c>
      <c r="F37">
        <f>-235.506*F14*D10*D8</f>
        <v>-235.506</v>
      </c>
      <c r="G37">
        <f>-34.824*G14</f>
        <v>-34.823999999999998</v>
      </c>
      <c r="H37">
        <f>-2.343*H14</f>
        <v>-2.343</v>
      </c>
      <c r="I37">
        <f>-4.55*I14</f>
        <v>-4.55</v>
      </c>
      <c r="J37">
        <f>-4.823*J14</f>
        <v>-4.8230000000000004</v>
      </c>
      <c r="K37">
        <f t="shared" si="2"/>
        <v>22.332000000000001</v>
      </c>
      <c r="L37">
        <f t="shared" si="3"/>
        <v>-282.387</v>
      </c>
    </row>
    <row r="38" spans="3:12" x14ac:dyDescent="0.3">
      <c r="C38">
        <v>1.5692299999999999</v>
      </c>
      <c r="D38">
        <f>-0.323*D14</f>
        <v>-0.32300000000000001</v>
      </c>
      <c r="E38">
        <f>69.213*E14*D10*D8</f>
        <v>69.212999999999994</v>
      </c>
      <c r="F38">
        <f>-215.28*F14*D10*D8</f>
        <v>-215.28</v>
      </c>
      <c r="G38">
        <f>-33.247*G14</f>
        <v>-33.247</v>
      </c>
      <c r="H38">
        <f>-2.218*H14</f>
        <v>-2.218</v>
      </c>
      <c r="I38">
        <f>-4.306*I14</f>
        <v>-4.306</v>
      </c>
      <c r="J38">
        <f>-4.565*J14</f>
        <v>-4.5650000000000004</v>
      </c>
      <c r="K38">
        <f t="shared" si="2"/>
        <v>24.553999999999995</v>
      </c>
      <c r="L38">
        <f t="shared" si="3"/>
        <v>-259.93900000000002</v>
      </c>
    </row>
    <row r="39" spans="3:12" x14ac:dyDescent="0.3">
      <c r="C39">
        <v>1.9295</v>
      </c>
      <c r="D39">
        <f>-0.269*D14</f>
        <v>-0.26900000000000002</v>
      </c>
      <c r="E39">
        <f>78.653*E14*D10*D8</f>
        <v>78.653000000000006</v>
      </c>
      <c r="F39">
        <f>-215.28*F14*D10*D8</f>
        <v>-215.28</v>
      </c>
      <c r="G39">
        <f>-28.569*G14</f>
        <v>-28.568999999999999</v>
      </c>
      <c r="H39">
        <f>-1.847*H14</f>
        <v>-1.847</v>
      </c>
      <c r="I39">
        <f>-3.586*I14</f>
        <v>-3.5859999999999999</v>
      </c>
      <c r="J39">
        <f>-3.801*J14</f>
        <v>-3.8010000000000002</v>
      </c>
      <c r="K39">
        <f t="shared" si="2"/>
        <v>40.580999999999996</v>
      </c>
      <c r="L39">
        <f t="shared" si="3"/>
        <v>-253.352</v>
      </c>
    </row>
    <row r="40" spans="3:12" x14ac:dyDescent="0.3">
      <c r="C40">
        <v>2.41188</v>
      </c>
      <c r="D40">
        <f>-0.197*D14</f>
        <v>-0.19700000000000001</v>
      </c>
      <c r="E40">
        <f>87.227*E14*D10*D8</f>
        <v>87.227000000000004</v>
      </c>
      <c r="F40">
        <f>-196.285*F14*D10*D8</f>
        <v>-196.285</v>
      </c>
      <c r="G40">
        <f>-22.23*G14</f>
        <v>-22.23</v>
      </c>
      <c r="H40">
        <f>-1.35*H14</f>
        <v>-1.35</v>
      </c>
      <c r="I40">
        <f>-2.621*I14</f>
        <v>-2.621</v>
      </c>
      <c r="J40">
        <f>-2.778*J14</f>
        <v>-2.778</v>
      </c>
      <c r="K40">
        <f t="shared" si="2"/>
        <v>58.050999999999995</v>
      </c>
      <c r="L40">
        <f t="shared" si="3"/>
        <v>-225.46099999999998</v>
      </c>
    </row>
    <row r="41" spans="3:12" x14ac:dyDescent="0.3">
      <c r="C41">
        <v>2.68154</v>
      </c>
      <c r="D41">
        <f>-0.156*D14</f>
        <v>-0.156</v>
      </c>
      <c r="E41">
        <f>87.227*E14*D10*D8</f>
        <v>87.227000000000004</v>
      </c>
      <c r="F41">
        <f>-180.172*F14*D10*D8</f>
        <v>-180.172</v>
      </c>
      <c r="G41">
        <f>-18.648*G14</f>
        <v>-18.648</v>
      </c>
      <c r="H41">
        <f>-1.072*H14</f>
        <v>-1.0720000000000001</v>
      </c>
      <c r="I41">
        <f>-2.082*I14</f>
        <v>-2.0819999999999999</v>
      </c>
      <c r="J41">
        <f>-2.206*J14</f>
        <v>-2.206</v>
      </c>
      <c r="K41">
        <f t="shared" si="2"/>
        <v>63.063000000000002</v>
      </c>
      <c r="L41">
        <f t="shared" si="3"/>
        <v>-204.33599999999998</v>
      </c>
    </row>
    <row r="42" spans="3:12" x14ac:dyDescent="0.3">
      <c r="C42">
        <v>2.89425</v>
      </c>
      <c r="D42">
        <f>-0.124*D14</f>
        <v>-0.124</v>
      </c>
      <c r="E42">
        <f>94.898*E14*D10*D8</f>
        <v>94.897999999999996</v>
      </c>
      <c r="F42">
        <f>-180.172*F14*D10*D8</f>
        <v>-180.172</v>
      </c>
      <c r="G42">
        <f>-15.799*G14</f>
        <v>-15.798999999999999</v>
      </c>
      <c r="H42">
        <f>-0.853*H14</f>
        <v>-0.85299999999999998</v>
      </c>
      <c r="I42">
        <f>-1.656*I14</f>
        <v>-1.6559999999999999</v>
      </c>
      <c r="J42">
        <f>-1.756*J14</f>
        <v>-1.756</v>
      </c>
      <c r="K42">
        <f t="shared" si="2"/>
        <v>74.709999999999994</v>
      </c>
      <c r="L42">
        <f t="shared" si="3"/>
        <v>-200.36</v>
      </c>
    </row>
    <row r="43" spans="3:12" x14ac:dyDescent="0.3">
      <c r="C43">
        <v>3.37663</v>
      </c>
      <c r="D43">
        <f>-0.052*D14</f>
        <v>-5.1999999999999998E-2</v>
      </c>
      <c r="E43">
        <f>110.558*E14*D10*D8</f>
        <v>110.55800000000001</v>
      </c>
      <c r="F43">
        <f>-164.618*F14*D10*D8</f>
        <v>-164.61799999999999</v>
      </c>
      <c r="G43">
        <f>-9.246*G14</f>
        <v>-9.2460000000000004</v>
      </c>
      <c r="H43">
        <f>-0.356*H14</f>
        <v>-0.35599999999999998</v>
      </c>
      <c r="I43">
        <f>-0.691*I14</f>
        <v>-0.69099999999999995</v>
      </c>
      <c r="J43">
        <f>-0.733*J14</f>
        <v>-0.73299999999999998</v>
      </c>
      <c r="K43">
        <f t="shared" si="2"/>
        <v>99.48</v>
      </c>
      <c r="L43">
        <f t="shared" si="3"/>
        <v>-175.696</v>
      </c>
    </row>
    <row r="44" spans="3:12" x14ac:dyDescent="0.3">
      <c r="C44">
        <v>3.7938399999999999</v>
      </c>
      <c r="D44">
        <f>0.011*D14</f>
        <v>1.0999999999999999E-2</v>
      </c>
      <c r="E44">
        <f>110.558*E14*D10*D8</f>
        <v>110.55800000000001</v>
      </c>
      <c r="F44">
        <f>-149.646*F14*D10*D8</f>
        <v>-149.64599999999999</v>
      </c>
      <c r="G44">
        <f>-3.476*G14</f>
        <v>-3.476</v>
      </c>
      <c r="H44">
        <f>0.074*H14</f>
        <v>7.3999999999999996E-2</v>
      </c>
      <c r="I44">
        <f>0.143*I14</f>
        <v>0.14299999999999999</v>
      </c>
      <c r="J44">
        <f>0.152*J14</f>
        <v>0.152</v>
      </c>
      <c r="K44">
        <f t="shared" si="2"/>
        <v>107.462</v>
      </c>
      <c r="L44">
        <f t="shared" si="3"/>
        <v>-152.74199999999999</v>
      </c>
    </row>
    <row r="45" spans="3:12" x14ac:dyDescent="0.3">
      <c r="C45">
        <v>3.859</v>
      </c>
      <c r="D45">
        <f>0.02*D14</f>
        <v>0.02</v>
      </c>
      <c r="E45">
        <f>125.683*E14*D10*D8</f>
        <v>125.68300000000001</v>
      </c>
      <c r="F45">
        <f>-149.646*F14*D10*D8</f>
        <v>-149.64599999999999</v>
      </c>
      <c r="G45">
        <f>-2.566*G14</f>
        <v>-2.5659999999999998</v>
      </c>
      <c r="H45">
        <f>0.141*H14</f>
        <v>0.14099999999999999</v>
      </c>
      <c r="I45">
        <f>0.273*I14</f>
        <v>0.27300000000000002</v>
      </c>
      <c r="J45">
        <f>0.29*J14</f>
        <v>0.28999999999999998</v>
      </c>
      <c r="K45">
        <f t="shared" si="2"/>
        <v>123.84100000000001</v>
      </c>
      <c r="L45">
        <f t="shared" si="3"/>
        <v>-151.488</v>
      </c>
    </row>
    <row r="46" spans="3:12" x14ac:dyDescent="0.3">
      <c r="C46">
        <v>3.86</v>
      </c>
      <c r="D46">
        <f>0.021*D14</f>
        <v>2.1000000000000001E-2</v>
      </c>
      <c r="E46">
        <f>125.683*E14*D10*D8</f>
        <v>125.68300000000001</v>
      </c>
      <c r="F46">
        <f>-135.267*F14*D10*D8</f>
        <v>-135.267</v>
      </c>
      <c r="G46">
        <f>-2.552*G14</f>
        <v>-2.552</v>
      </c>
      <c r="H46">
        <f>0.142*H14</f>
        <v>0.14199999999999999</v>
      </c>
      <c r="I46">
        <f>0.275*I14</f>
        <v>0.27500000000000002</v>
      </c>
      <c r="J46">
        <f>0.292*J14</f>
        <v>0.29199999999999998</v>
      </c>
      <c r="K46">
        <f t="shared" si="2"/>
        <v>123.861</v>
      </c>
      <c r="L46">
        <f t="shared" si="3"/>
        <v>-137.089</v>
      </c>
    </row>
    <row r="50" spans="3:12" s="2" customFormat="1" ht="28.8" x14ac:dyDescent="0.55000000000000004">
      <c r="C50" s="1" t="s">
        <v>30</v>
      </c>
    </row>
    <row r="53" spans="3:12" x14ac:dyDescent="0.3">
      <c r="C53" s="3" t="s">
        <v>5</v>
      </c>
      <c r="D53" s="3">
        <v>1</v>
      </c>
    </row>
    <row r="54" spans="3:12" x14ac:dyDescent="0.3">
      <c r="C54" s="3" t="s">
        <v>6</v>
      </c>
      <c r="D54" s="3">
        <v>1</v>
      </c>
    </row>
    <row r="55" spans="3:12" x14ac:dyDescent="0.3">
      <c r="C55" s="3" t="s">
        <v>7</v>
      </c>
      <c r="D55" s="3">
        <v>1</v>
      </c>
    </row>
    <row r="58" spans="3:12" x14ac:dyDescent="0.3">
      <c r="C58" t="s">
        <v>21</v>
      </c>
    </row>
    <row r="59" spans="3:12" x14ac:dyDescent="0.3">
      <c r="C59" s="4" t="s">
        <v>9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/>
      <c r="L59" s="4"/>
    </row>
    <row r="60" spans="3:12" x14ac:dyDescent="0.3">
      <c r="C60" t="s">
        <v>10</v>
      </c>
      <c r="D60" t="s">
        <v>11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17</v>
      </c>
      <c r="K60" t="s">
        <v>18</v>
      </c>
      <c r="L60" t="s">
        <v>19</v>
      </c>
    </row>
    <row r="61" spans="3:12" x14ac:dyDescent="0.3">
      <c r="C61">
        <v>0</v>
      </c>
      <c r="D61">
        <f>1.0378*D59</f>
        <v>1.0378000000000001</v>
      </c>
      <c r="E61">
        <f>577.4924*E59*D54*D53</f>
        <v>577.49239999999998</v>
      </c>
      <c r="F61">
        <f>-234.3859*F59*D54*D53</f>
        <v>-234.38589999999999</v>
      </c>
      <c r="G61">
        <f>109.499*G59</f>
        <v>109.499</v>
      </c>
      <c r="H61">
        <f>7.126*H59</f>
        <v>7.1260000000000003</v>
      </c>
      <c r="I61">
        <f>13.8368*I59</f>
        <v>13.8368</v>
      </c>
      <c r="J61">
        <f>14.6671*J59</f>
        <v>14.6671</v>
      </c>
      <c r="K61">
        <f t="shared" ref="K61:K73" si="4">SUM(D61+E61+G61+H61+I61+J61)</f>
        <v>723.65909999999997</v>
      </c>
      <c r="L61">
        <f t="shared" ref="L61:L73" si="5">SUM(D61+F61+G61+H61+I61+J61)</f>
        <v>-88.219199999999987</v>
      </c>
    </row>
    <row r="62" spans="3:12" x14ac:dyDescent="0.3">
      <c r="C62">
        <v>0.48149999999999998</v>
      </c>
      <c r="D62">
        <f>1.0104*D59</f>
        <v>1.0104</v>
      </c>
      <c r="E62">
        <f>587.2625*E59*D54*D53</f>
        <v>587.26250000000005</v>
      </c>
      <c r="F62">
        <f>-263.6234*F59*D54*D53</f>
        <v>-263.6234</v>
      </c>
      <c r="G62">
        <f>109.0898*G59</f>
        <v>109.0898</v>
      </c>
      <c r="H62">
        <f>6.9383*H59</f>
        <v>6.9382999999999999</v>
      </c>
      <c r="I62">
        <f>13.4724*I59</f>
        <v>13.4724</v>
      </c>
      <c r="J62">
        <f>14.2808*J59</f>
        <v>14.280799999999999</v>
      </c>
      <c r="K62">
        <f t="shared" si="4"/>
        <v>732.05420000000004</v>
      </c>
      <c r="L62">
        <f t="shared" si="5"/>
        <v>-118.83170000000001</v>
      </c>
    </row>
    <row r="63" spans="3:12" x14ac:dyDescent="0.3">
      <c r="C63">
        <v>0.96399999999999997</v>
      </c>
      <c r="D63">
        <f>0.9482*D59</f>
        <v>0.94820000000000004</v>
      </c>
      <c r="E63">
        <f>588.742*E59*D54*D53</f>
        <v>588.74199999999996</v>
      </c>
      <c r="F63">
        <f>-292.9216*F59*D54*D53</f>
        <v>-292.92160000000001</v>
      </c>
      <c r="G63">
        <f>105.3325*G59</f>
        <v>105.3325</v>
      </c>
      <c r="H63">
        <f>6.5107*H59</f>
        <v>6.5106999999999999</v>
      </c>
      <c r="I63">
        <f>12.6421*I59</f>
        <v>12.642099999999999</v>
      </c>
      <c r="J63">
        <f>13.4007*J59</f>
        <v>13.400700000000001</v>
      </c>
      <c r="K63">
        <f t="shared" si="4"/>
        <v>727.57620000000009</v>
      </c>
      <c r="L63">
        <f t="shared" si="5"/>
        <v>-154.08740000000006</v>
      </c>
    </row>
    <row r="64" spans="3:12" x14ac:dyDescent="0.3">
      <c r="C64">
        <v>1.0461499999999999</v>
      </c>
      <c r="D64">
        <f>0.9341*D59</f>
        <v>0.93410000000000004</v>
      </c>
      <c r="E64">
        <f>585.7074*E59*D54*D53</f>
        <v>585.70740000000001</v>
      </c>
      <c r="F64">
        <f>-297.91*F59*D54*D53</f>
        <v>-297.91000000000003</v>
      </c>
      <c r="G64">
        <f>104.3523*G59</f>
        <v>104.3523</v>
      </c>
      <c r="H64">
        <f>6.414*H59</f>
        <v>6.4139999999999997</v>
      </c>
      <c r="I64">
        <f>12.4544*I59</f>
        <v>12.4544</v>
      </c>
      <c r="J64">
        <f>13.2016*J59</f>
        <v>13.201599999999999</v>
      </c>
      <c r="K64">
        <f t="shared" si="4"/>
        <v>723.0637999999999</v>
      </c>
      <c r="L64">
        <f t="shared" si="5"/>
        <v>-160.55360000000002</v>
      </c>
    </row>
    <row r="65" spans="3:12" x14ac:dyDescent="0.3">
      <c r="C65">
        <v>1.4464999999999999</v>
      </c>
      <c r="D65">
        <f>0.851*D59</f>
        <v>0.85099999999999998</v>
      </c>
      <c r="E65">
        <f>586.5885*E59*D54*D53</f>
        <v>586.58849999999995</v>
      </c>
      <c r="F65">
        <f>-322.2198*F59*D54*D53</f>
        <v>-322.21980000000002</v>
      </c>
      <c r="G65">
        <f>98.13*G59</f>
        <v>98.13</v>
      </c>
      <c r="H65">
        <f>5.8433*H59</f>
        <v>5.8433000000000002</v>
      </c>
      <c r="I65">
        <f>11.3462*I59</f>
        <v>11.3462</v>
      </c>
      <c r="J65">
        <f>12.027*J59</f>
        <v>12.026999999999999</v>
      </c>
      <c r="K65">
        <f t="shared" si="4"/>
        <v>714.78599999999994</v>
      </c>
      <c r="L65">
        <f t="shared" si="5"/>
        <v>-194.02230000000003</v>
      </c>
    </row>
    <row r="66" spans="3:12" x14ac:dyDescent="0.3">
      <c r="C66">
        <v>1.929</v>
      </c>
      <c r="D66">
        <f>0.7189*D59</f>
        <v>0.71889999999999998</v>
      </c>
      <c r="E66">
        <f>574.3046*E59*D54*D53</f>
        <v>574.30460000000005</v>
      </c>
      <c r="F66">
        <f>-351.5181*F59*D54*D53</f>
        <v>-351.5181</v>
      </c>
      <c r="G66">
        <f>87.3729*G59</f>
        <v>87.372900000000001</v>
      </c>
      <c r="H66">
        <f>4.9361*H59</f>
        <v>4.9360999999999997</v>
      </c>
      <c r="I66">
        <f>9.5847*I59</f>
        <v>9.5846999999999998</v>
      </c>
      <c r="J66">
        <f>10.1598*J59</f>
        <v>10.159800000000001</v>
      </c>
      <c r="K66">
        <f t="shared" si="4"/>
        <v>687.077</v>
      </c>
      <c r="L66">
        <f t="shared" si="5"/>
        <v>-238.74569999999997</v>
      </c>
    </row>
    <row r="67" spans="3:12" x14ac:dyDescent="0.3">
      <c r="C67">
        <v>2.1584599999999998</v>
      </c>
      <c r="D67">
        <f>0.6438*D59</f>
        <v>0.64380000000000004</v>
      </c>
      <c r="E67">
        <f>560.6058*E59*D54*D53</f>
        <v>560.60580000000004</v>
      </c>
      <c r="F67">
        <f>-365.4513*F59*D54*D53</f>
        <v>-365.4513</v>
      </c>
      <c r="G67">
        <f>80.9765*G59</f>
        <v>80.976500000000001</v>
      </c>
      <c r="H67">
        <f>4.4206*H59</f>
        <v>4.4206000000000003</v>
      </c>
      <c r="I67">
        <f>8.5836*I59</f>
        <v>8.5836000000000006</v>
      </c>
      <c r="J67">
        <f>9.0986*J59</f>
        <v>9.0985999999999994</v>
      </c>
      <c r="K67">
        <f t="shared" si="4"/>
        <v>664.3289000000002</v>
      </c>
      <c r="L67">
        <f t="shared" si="5"/>
        <v>-261.72820000000007</v>
      </c>
    </row>
    <row r="68" spans="3:12" x14ac:dyDescent="0.3">
      <c r="C68">
        <v>2.4115000000000002</v>
      </c>
      <c r="D68">
        <f>0.5518*D59</f>
        <v>0.55179999999999996</v>
      </c>
      <c r="E68">
        <f>552.9534*E59*D54*D53</f>
        <v>552.95339999999999</v>
      </c>
      <c r="F68">
        <f>-380.8163*F59*D54*D53</f>
        <v>-380.81630000000001</v>
      </c>
      <c r="G68">
        <f>72.9452*G59</f>
        <v>72.9452</v>
      </c>
      <c r="H68">
        <f>3.7891*H59</f>
        <v>3.7890999999999999</v>
      </c>
      <c r="I68">
        <f>7.3576*I59</f>
        <v>7.3575999999999997</v>
      </c>
      <c r="J68">
        <f>7.799*J59</f>
        <v>7.7990000000000004</v>
      </c>
      <c r="K68">
        <f t="shared" si="4"/>
        <v>645.39609999999993</v>
      </c>
      <c r="L68">
        <f t="shared" si="5"/>
        <v>-288.37360000000001</v>
      </c>
    </row>
    <row r="69" spans="3:12" x14ac:dyDescent="0.3">
      <c r="C69">
        <v>2.8940000000000001</v>
      </c>
      <c r="D69">
        <f>0.3499*D59</f>
        <v>0.34989999999999999</v>
      </c>
      <c r="E69">
        <f>522.5372*E59*D54*D53</f>
        <v>522.53719999999998</v>
      </c>
      <c r="F69">
        <f>-410.1145*F59*D54*D53</f>
        <v>-410.11450000000002</v>
      </c>
      <c r="G69">
        <f>54.7255*G59</f>
        <v>54.725499999999997</v>
      </c>
      <c r="H69">
        <f>2.4024*H59</f>
        <v>2.4024000000000001</v>
      </c>
      <c r="I69">
        <f>4.6648*I59</f>
        <v>4.6647999999999996</v>
      </c>
      <c r="J69">
        <f>4.9447*J59</f>
        <v>4.9447000000000001</v>
      </c>
      <c r="K69">
        <f t="shared" si="4"/>
        <v>589.62450000000013</v>
      </c>
      <c r="L69">
        <f t="shared" si="5"/>
        <v>-343.02719999999999</v>
      </c>
    </row>
    <row r="70" spans="3:12" x14ac:dyDescent="0.3">
      <c r="C70">
        <v>3.2707700000000002</v>
      </c>
      <c r="D70">
        <f>0.1679*D59</f>
        <v>0.16789999999999999</v>
      </c>
      <c r="E70">
        <f>491.5557*E59*D54*D53</f>
        <v>491.5557</v>
      </c>
      <c r="F70">
        <f>-432.9926*F59*D54*D53</f>
        <v>-432.99259999999998</v>
      </c>
      <c r="G70">
        <f>37.7803*G59</f>
        <v>37.780299999999997</v>
      </c>
      <c r="H70">
        <f>1.1528*H59</f>
        <v>1.1528</v>
      </c>
      <c r="I70">
        <f>2.2384*I59</f>
        <v>2.2383999999999999</v>
      </c>
      <c r="J70">
        <f>2.3727*J59</f>
        <v>2.3727</v>
      </c>
      <c r="K70">
        <f t="shared" si="4"/>
        <v>535.26779999999985</v>
      </c>
      <c r="L70">
        <f t="shared" si="5"/>
        <v>-389.28049999999996</v>
      </c>
    </row>
    <row r="71" spans="3:12" x14ac:dyDescent="0.3">
      <c r="C71">
        <v>3.3765000000000001</v>
      </c>
      <c r="D71">
        <f>0.113*D59</f>
        <v>0.113</v>
      </c>
      <c r="E71">
        <f>484.507*E59*D54*D53</f>
        <v>484.50700000000001</v>
      </c>
      <c r="F71">
        <f>-439.4128*F59*D54*D53</f>
        <v>-439.4128</v>
      </c>
      <c r="G71">
        <f>32.5873*G59</f>
        <v>32.587299999999999</v>
      </c>
      <c r="H71">
        <f>0.7758*H59</f>
        <v>0.77580000000000005</v>
      </c>
      <c r="I71">
        <f>1.5065*I59</f>
        <v>1.5065</v>
      </c>
      <c r="J71">
        <f>1.5968*J59</f>
        <v>1.5968</v>
      </c>
      <c r="K71">
        <f t="shared" si="4"/>
        <v>521.08640000000003</v>
      </c>
      <c r="L71">
        <f t="shared" si="5"/>
        <v>-402.83339999999998</v>
      </c>
    </row>
    <row r="72" spans="3:12" x14ac:dyDescent="0.3">
      <c r="C72">
        <v>3.859</v>
      </c>
      <c r="D72">
        <f>-0.1588*D59</f>
        <v>-0.1588</v>
      </c>
      <c r="E72">
        <f>442.6509*E59*D54*D53</f>
        <v>442.65089999999998</v>
      </c>
      <c r="F72">
        <f>-468.711*F59*D54*D53</f>
        <v>-468.71100000000001</v>
      </c>
      <c r="G72">
        <f>6.3891*G59</f>
        <v>6.3891</v>
      </c>
      <c r="H72">
        <f>-1.0905*H59</f>
        <v>-1.0905</v>
      </c>
      <c r="I72">
        <f>-2.1175*I59</f>
        <v>-2.1175000000000002</v>
      </c>
      <c r="J72">
        <f>-2.2446*J59</f>
        <v>-2.2446000000000002</v>
      </c>
      <c r="K72">
        <f t="shared" si="4"/>
        <v>443.42859999999996</v>
      </c>
      <c r="L72">
        <f t="shared" si="5"/>
        <v>-467.93330000000003</v>
      </c>
    </row>
    <row r="73" spans="3:12" x14ac:dyDescent="0.3">
      <c r="C73">
        <v>3.86</v>
      </c>
      <c r="D73">
        <f>-0.1594*D59</f>
        <v>-0.15939999999999999</v>
      </c>
      <c r="E73">
        <f>442.4311*E59*D54*D53</f>
        <v>442.43110000000001</v>
      </c>
      <c r="F73">
        <f>-468.7717*F59*D54*D53</f>
        <v>-468.77170000000001</v>
      </c>
      <c r="G73">
        <f>6.3305*G59</f>
        <v>6.3304999999999998</v>
      </c>
      <c r="H73">
        <f>-1.0946*H59</f>
        <v>-1.0946</v>
      </c>
      <c r="I73">
        <f>-2.1255*I59</f>
        <v>-2.1255000000000002</v>
      </c>
      <c r="J73">
        <f>-2.253*J59</f>
        <v>-2.2530000000000001</v>
      </c>
      <c r="K73">
        <f t="shared" si="4"/>
        <v>443.12909999999999</v>
      </c>
      <c r="L73">
        <f t="shared" si="5"/>
        <v>-468.07370000000003</v>
      </c>
    </row>
    <row r="77" spans="3:12" x14ac:dyDescent="0.3">
      <c r="C77" t="s">
        <v>22</v>
      </c>
    </row>
    <row r="78" spans="3:12" x14ac:dyDescent="0.3">
      <c r="C78" t="s">
        <v>10</v>
      </c>
      <c r="D78" t="s">
        <v>11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17</v>
      </c>
      <c r="K78" t="s">
        <v>18</v>
      </c>
      <c r="L78" t="s">
        <v>19</v>
      </c>
    </row>
    <row r="79" spans="3:12" x14ac:dyDescent="0.3">
      <c r="C79">
        <v>0</v>
      </c>
      <c r="D79">
        <f>0.021*D59</f>
        <v>2.1000000000000001E-2</v>
      </c>
      <c r="E79">
        <f>125.683*E59*D55*D53</f>
        <v>125.68300000000001</v>
      </c>
      <c r="F79">
        <f>-135.267*F59*D55*D53</f>
        <v>-135.267</v>
      </c>
      <c r="G79">
        <f>-2.552*G59</f>
        <v>-2.552</v>
      </c>
      <c r="H79">
        <f>0.142*H59</f>
        <v>0.14199999999999999</v>
      </c>
      <c r="I79">
        <f>0.275*I59</f>
        <v>0.27500000000000002</v>
      </c>
      <c r="J79">
        <f>0.292*J59</f>
        <v>0.29199999999999998</v>
      </c>
      <c r="K79">
        <f t="shared" ref="K79:K91" si="6">SUM(D79+E79+G79+H79+I79+J79)</f>
        <v>123.861</v>
      </c>
      <c r="L79">
        <f t="shared" ref="L79:L91" si="7">SUM(D79+F79+G79+H79+I79+J79)</f>
        <v>-137.089</v>
      </c>
    </row>
    <row r="80" spans="3:12" x14ac:dyDescent="0.3">
      <c r="C80">
        <v>0.48149999999999998</v>
      </c>
      <c r="D80">
        <f>0.093*D59</f>
        <v>9.2999999999999999E-2</v>
      </c>
      <c r="E80">
        <f>140.04*E59*D55*D53</f>
        <v>140.04</v>
      </c>
      <c r="F80">
        <f>-135.267*F59*D55*D53</f>
        <v>-135.267</v>
      </c>
      <c r="G80">
        <f>4.283*G59</f>
        <v>4.2830000000000004</v>
      </c>
      <c r="H80">
        <f>0.638*H59</f>
        <v>0.63800000000000001</v>
      </c>
      <c r="I80">
        <f>1.238*I59</f>
        <v>1.238</v>
      </c>
      <c r="J80">
        <f>1.313*J59</f>
        <v>1.3129999999999999</v>
      </c>
      <c r="K80">
        <f t="shared" si="6"/>
        <v>147.60499999999996</v>
      </c>
      <c r="L80">
        <f t="shared" si="7"/>
        <v>-127.70200000000001</v>
      </c>
    </row>
    <row r="81" spans="3:12" x14ac:dyDescent="0.3">
      <c r="C81">
        <v>0.96399999999999997</v>
      </c>
      <c r="D81">
        <f>0.165*D59</f>
        <v>0.16500000000000001</v>
      </c>
      <c r="E81">
        <f>153.739*E59*D55*D53</f>
        <v>153.739</v>
      </c>
      <c r="F81">
        <f>-121.489*F59*D55*D53</f>
        <v>-121.489</v>
      </c>
      <c r="G81">
        <f>11.323*G59</f>
        <v>11.323</v>
      </c>
      <c r="H81">
        <f>1.135*H59</f>
        <v>1.135</v>
      </c>
      <c r="I81">
        <f>2.203*I59</f>
        <v>2.2029999999999998</v>
      </c>
      <c r="J81">
        <f>2.336*J59</f>
        <v>2.3359999999999999</v>
      </c>
      <c r="K81">
        <f t="shared" si="6"/>
        <v>170.90100000000001</v>
      </c>
      <c r="L81">
        <f t="shared" si="7"/>
        <v>-104.327</v>
      </c>
    </row>
    <row r="82" spans="3:12" x14ac:dyDescent="0.3">
      <c r="C82">
        <v>1.0461499999999999</v>
      </c>
      <c r="D82">
        <f>0.178*D59</f>
        <v>0.17799999999999999</v>
      </c>
      <c r="E82">
        <f>153.739*E59*D55*D53</f>
        <v>153.739</v>
      </c>
      <c r="F82">
        <f>-108.31*F59*D55*D53</f>
        <v>-108.31</v>
      </c>
      <c r="G82">
        <f>12.541*G59</f>
        <v>12.541</v>
      </c>
      <c r="H82">
        <f>1.219*H59</f>
        <v>1.2190000000000001</v>
      </c>
      <c r="I82">
        <f>2.368*I59</f>
        <v>2.3679999999999999</v>
      </c>
      <c r="J82">
        <f>2.51*J59</f>
        <v>2.5099999999999998</v>
      </c>
      <c r="K82">
        <f t="shared" si="6"/>
        <v>172.55499999999998</v>
      </c>
      <c r="L82">
        <f t="shared" si="7"/>
        <v>-89.494000000000014</v>
      </c>
    </row>
    <row r="83" spans="3:12" x14ac:dyDescent="0.3">
      <c r="C83">
        <v>1.4464999999999999</v>
      </c>
      <c r="D83">
        <f>0.238*D59</f>
        <v>0.23799999999999999</v>
      </c>
      <c r="E83">
        <f>172.164*E59*D55*D53</f>
        <v>172.16399999999999</v>
      </c>
      <c r="F83">
        <f>-108.31*F59*D55*D53</f>
        <v>-108.31</v>
      </c>
      <c r="G83">
        <f>18.571*G59</f>
        <v>18.571000000000002</v>
      </c>
      <c r="H83">
        <f>1.632*H59</f>
        <v>1.6319999999999999</v>
      </c>
      <c r="I83">
        <f>3.168*I59</f>
        <v>3.1680000000000001</v>
      </c>
      <c r="J83">
        <f>3.358*J59</f>
        <v>3.3580000000000001</v>
      </c>
      <c r="K83">
        <f t="shared" si="6"/>
        <v>199.131</v>
      </c>
      <c r="L83">
        <f t="shared" si="7"/>
        <v>-81.342999999999989</v>
      </c>
    </row>
    <row r="84" spans="3:12" x14ac:dyDescent="0.3">
      <c r="C84">
        <v>1.929</v>
      </c>
      <c r="D84">
        <f>0.31*D59</f>
        <v>0.31</v>
      </c>
      <c r="E84">
        <f>190.984*E59*D55*D53</f>
        <v>190.98400000000001</v>
      </c>
      <c r="F84">
        <f>-95.719*F59*D55*D53</f>
        <v>-95.718999999999994</v>
      </c>
      <c r="G84">
        <f>26.058*G59</f>
        <v>26.058</v>
      </c>
      <c r="H84">
        <f>2.129*H59</f>
        <v>2.129</v>
      </c>
      <c r="I84">
        <f>4.133*I59</f>
        <v>4.133</v>
      </c>
      <c r="J84">
        <f>4.381*J59</f>
        <v>4.3810000000000002</v>
      </c>
      <c r="K84">
        <f t="shared" si="6"/>
        <v>227.995</v>
      </c>
      <c r="L84">
        <f t="shared" si="7"/>
        <v>-58.707999999999991</v>
      </c>
    </row>
    <row r="85" spans="3:12" x14ac:dyDescent="0.3">
      <c r="C85">
        <v>2.1584599999999998</v>
      </c>
      <c r="D85">
        <f>0.344*D59</f>
        <v>0.34399999999999997</v>
      </c>
      <c r="E85">
        <f>190.984*E59*D55*D53</f>
        <v>190.98400000000001</v>
      </c>
      <c r="F85">
        <f>-83.702*F59*D55*D53</f>
        <v>-83.701999999999998</v>
      </c>
      <c r="G85">
        <f>29.703*G59</f>
        <v>29.702999999999999</v>
      </c>
      <c r="H85">
        <f>2.365*H59</f>
        <v>2.3650000000000002</v>
      </c>
      <c r="I85">
        <f>4.592*I59</f>
        <v>4.5919999999999996</v>
      </c>
      <c r="J85">
        <f>4.868*J59</f>
        <v>4.8680000000000003</v>
      </c>
      <c r="K85">
        <f t="shared" si="6"/>
        <v>232.85600000000002</v>
      </c>
      <c r="L85">
        <f t="shared" si="7"/>
        <v>-41.83</v>
      </c>
    </row>
    <row r="86" spans="3:12" x14ac:dyDescent="0.3">
      <c r="C86">
        <v>2.4115000000000002</v>
      </c>
      <c r="D86">
        <f>0.382*D59</f>
        <v>0.38200000000000001</v>
      </c>
      <c r="E86">
        <f>208.807*E59*D55*D53</f>
        <v>208.80699999999999</v>
      </c>
      <c r="F86">
        <f>-83.702*F59*D55*D53</f>
        <v>-83.701999999999998</v>
      </c>
      <c r="G86">
        <f>33.788*G59</f>
        <v>33.787999999999997</v>
      </c>
      <c r="H86">
        <f>2.626*H59</f>
        <v>2.6259999999999999</v>
      </c>
      <c r="I86">
        <f>5.098*I59</f>
        <v>5.0979999999999999</v>
      </c>
      <c r="J86">
        <f>5.404*J59</f>
        <v>5.4039999999999999</v>
      </c>
      <c r="K86">
        <f t="shared" si="6"/>
        <v>256.10500000000002</v>
      </c>
      <c r="L86">
        <f t="shared" si="7"/>
        <v>-36.403999999999996</v>
      </c>
    </row>
    <row r="87" spans="3:12" x14ac:dyDescent="0.3">
      <c r="C87">
        <v>2.8940000000000001</v>
      </c>
      <c r="D87">
        <f>0.455*D59</f>
        <v>0.45500000000000002</v>
      </c>
      <c r="E87">
        <f>225.624*E59*D55*D53</f>
        <v>225.624</v>
      </c>
      <c r="F87">
        <f>-72.236*F59*D55*D53</f>
        <v>-72.236000000000004</v>
      </c>
      <c r="G87">
        <f>41.778*G59</f>
        <v>41.777999999999999</v>
      </c>
      <c r="H87">
        <f>3.123*H59</f>
        <v>3.1230000000000002</v>
      </c>
      <c r="I87">
        <f>6.063*I59</f>
        <v>6.0629999999999997</v>
      </c>
      <c r="J87">
        <f>6.427*J59</f>
        <v>6.4269999999999996</v>
      </c>
      <c r="K87">
        <f t="shared" si="6"/>
        <v>283.47000000000003</v>
      </c>
      <c r="L87">
        <f t="shared" si="7"/>
        <v>-14.390000000000008</v>
      </c>
    </row>
    <row r="88" spans="3:12" x14ac:dyDescent="0.3">
      <c r="C88">
        <v>3.2707700000000002</v>
      </c>
      <c r="D88">
        <f>0.511*D59</f>
        <v>0.51100000000000001</v>
      </c>
      <c r="E88">
        <f>225.624*E59*D55*D53</f>
        <v>225.624</v>
      </c>
      <c r="F88">
        <f>-62.428*F59*D55*D53</f>
        <v>-62.427999999999997</v>
      </c>
      <c r="G88">
        <f>48.199*G59</f>
        <v>48.198999999999998</v>
      </c>
      <c r="H88">
        <f>3.511*H59</f>
        <v>3.5110000000000001</v>
      </c>
      <c r="I88">
        <f>6.817*I59</f>
        <v>6.8170000000000002</v>
      </c>
      <c r="J88">
        <f>7.226*J59</f>
        <v>7.226</v>
      </c>
      <c r="K88">
        <f t="shared" si="6"/>
        <v>291.88800000000003</v>
      </c>
      <c r="L88">
        <f t="shared" si="7"/>
        <v>3.836000000000003</v>
      </c>
    </row>
    <row r="89" spans="3:12" x14ac:dyDescent="0.3">
      <c r="C89">
        <v>3.3765000000000001</v>
      </c>
      <c r="D89">
        <f>0.527*D59</f>
        <v>0.52700000000000002</v>
      </c>
      <c r="E89">
        <f>241.446*E59*D55*D53</f>
        <v>241.446</v>
      </c>
      <c r="F89">
        <f>-62.428*F59*D55*D53</f>
        <v>-62.427999999999997</v>
      </c>
      <c r="G89">
        <f>50.033*G59</f>
        <v>50.033000000000001</v>
      </c>
      <c r="H89">
        <f>3.62*H59</f>
        <v>3.62</v>
      </c>
      <c r="I89">
        <f>7.028*I59</f>
        <v>7.0279999999999996</v>
      </c>
      <c r="J89">
        <f>7.45*J59</f>
        <v>7.45</v>
      </c>
      <c r="K89">
        <f t="shared" si="6"/>
        <v>310.10399999999998</v>
      </c>
      <c r="L89">
        <f t="shared" si="7"/>
        <v>6.2300000000000058</v>
      </c>
    </row>
    <row r="90" spans="3:12" x14ac:dyDescent="0.3">
      <c r="C90">
        <v>3.859</v>
      </c>
      <c r="D90">
        <f>0.599*D59</f>
        <v>0.59899999999999998</v>
      </c>
      <c r="E90">
        <f>256.283*E59*D55*D53</f>
        <v>256.28300000000002</v>
      </c>
      <c r="F90">
        <f>-53.142*F59*D55*D53</f>
        <v>-53.142000000000003</v>
      </c>
      <c r="G90">
        <f>58.622*G59</f>
        <v>58.622</v>
      </c>
      <c r="H90">
        <f>4.117*H59</f>
        <v>4.117</v>
      </c>
      <c r="I90">
        <f>7.993*I59</f>
        <v>7.9930000000000003</v>
      </c>
      <c r="J90">
        <f>8.473*J59</f>
        <v>8.4730000000000008</v>
      </c>
      <c r="K90">
        <f t="shared" si="6"/>
        <v>336.08700000000005</v>
      </c>
      <c r="L90">
        <f t="shared" si="7"/>
        <v>26.661999999999992</v>
      </c>
    </row>
    <row r="91" spans="3:12" x14ac:dyDescent="0.3">
      <c r="C91">
        <v>3.86</v>
      </c>
      <c r="D91">
        <f>0.6*D59</f>
        <v>0.6</v>
      </c>
      <c r="E91">
        <f>256.283*E59*D55*D53</f>
        <v>256.28300000000002</v>
      </c>
      <c r="F91">
        <f>-44.285*F59*D55*D53</f>
        <v>-44.284999999999997</v>
      </c>
      <c r="G91">
        <f>58.64*G59</f>
        <v>58.64</v>
      </c>
      <c r="H91">
        <f>4.118*H59</f>
        <v>4.1180000000000003</v>
      </c>
      <c r="I91">
        <f>7.995*I59</f>
        <v>7.9950000000000001</v>
      </c>
      <c r="J91">
        <f>8.475*J59</f>
        <v>8.4749999999999996</v>
      </c>
      <c r="K91">
        <f t="shared" si="6"/>
        <v>336.11100000000005</v>
      </c>
      <c r="L91">
        <f t="shared" si="7"/>
        <v>35.543000000000006</v>
      </c>
    </row>
    <row r="95" spans="3:12" s="2" customFormat="1" ht="28.8" x14ac:dyDescent="0.55000000000000004">
      <c r="C95" s="1" t="s">
        <v>31</v>
      </c>
    </row>
    <row r="98" spans="3:12" x14ac:dyDescent="0.3">
      <c r="C98" s="3" t="s">
        <v>5</v>
      </c>
      <c r="D98" s="3">
        <v>1</v>
      </c>
    </row>
    <row r="99" spans="3:12" x14ac:dyDescent="0.3">
      <c r="C99" s="3" t="s">
        <v>6</v>
      </c>
      <c r="D99" s="3">
        <v>1</v>
      </c>
    </row>
    <row r="100" spans="3:12" x14ac:dyDescent="0.3">
      <c r="C100" s="3" t="s">
        <v>7</v>
      </c>
      <c r="D100" s="3">
        <v>1</v>
      </c>
    </row>
    <row r="103" spans="3:12" x14ac:dyDescent="0.3">
      <c r="C103" t="s">
        <v>23</v>
      </c>
    </row>
    <row r="104" spans="3:12" x14ac:dyDescent="0.3">
      <c r="C104" s="4" t="s">
        <v>9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4">
        <v>1</v>
      </c>
      <c r="K104" s="4"/>
      <c r="L104" s="4"/>
    </row>
    <row r="105" spans="3:12" x14ac:dyDescent="0.3">
      <c r="C105" t="s">
        <v>10</v>
      </c>
      <c r="D105" t="s">
        <v>11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17</v>
      </c>
      <c r="K105" t="s">
        <v>18</v>
      </c>
      <c r="L105" t="s">
        <v>19</v>
      </c>
    </row>
    <row r="106" spans="3:12" x14ac:dyDescent="0.3">
      <c r="C106">
        <v>0</v>
      </c>
      <c r="D106">
        <f>-0.1594*D104</f>
        <v>-0.15939999999999999</v>
      </c>
      <c r="E106">
        <f>442.4311*E104*D99*D98</f>
        <v>442.43110000000001</v>
      </c>
      <c r="F106">
        <f>-468.7717*F104*D99*D98</f>
        <v>-468.77170000000001</v>
      </c>
      <c r="G106">
        <f>6.3305*G104</f>
        <v>6.3304999999999998</v>
      </c>
      <c r="H106">
        <f>-1.0946*H104</f>
        <v>-1.0946</v>
      </c>
      <c r="I106">
        <f>-2.1255*I104</f>
        <v>-2.1255000000000002</v>
      </c>
      <c r="J106">
        <f>-2.253*J104</f>
        <v>-2.2530000000000001</v>
      </c>
      <c r="K106">
        <f t="shared" ref="K106:K118" si="8">SUM(D106+E106+G106+H106+I106+J106)</f>
        <v>443.12909999999999</v>
      </c>
      <c r="L106">
        <f t="shared" ref="L106:L118" si="9">SUM(D106+F106+G106+H106+I106+J106)</f>
        <v>-468.07370000000003</v>
      </c>
    </row>
    <row r="107" spans="3:12" x14ac:dyDescent="0.3">
      <c r="C107">
        <v>0.48149999999999998</v>
      </c>
      <c r="D107">
        <f>-0.4655*D104</f>
        <v>-0.46550000000000002</v>
      </c>
      <c r="E107">
        <f>392.8022*E104*D99*D98</f>
        <v>392.80220000000003</v>
      </c>
      <c r="F107">
        <f>-498.0092*F104*D99*D98</f>
        <v>-498.00920000000002</v>
      </c>
      <c r="G107">
        <f>-24.0422*G104</f>
        <v>-24.042200000000001</v>
      </c>
      <c r="H107">
        <f>-3.1967*H104</f>
        <v>-3.1966999999999999</v>
      </c>
      <c r="I107">
        <f>-6.2071*I104</f>
        <v>-6.2070999999999996</v>
      </c>
      <c r="J107">
        <f>-6.5795*J104</f>
        <v>-6.5795000000000003</v>
      </c>
      <c r="K107">
        <f t="shared" si="8"/>
        <v>352.31119999999999</v>
      </c>
      <c r="L107">
        <f t="shared" si="9"/>
        <v>-538.50020000000006</v>
      </c>
    </row>
    <row r="108" spans="3:12" x14ac:dyDescent="0.3">
      <c r="C108">
        <v>0.52307999999999999</v>
      </c>
      <c r="D108">
        <f>-0.4936*D104</f>
        <v>-0.49359999999999998</v>
      </c>
      <c r="E108">
        <f>383.1416*E104*D99*D98</f>
        <v>383.14159999999998</v>
      </c>
      <c r="F108">
        <f>-500.5338*F104*D99*D98</f>
        <v>-500.53379999999999</v>
      </c>
      <c r="G108">
        <f>-26.8682*G104</f>
        <v>-26.868200000000002</v>
      </c>
      <c r="H108">
        <f>-3.3894*H104</f>
        <v>-3.3894000000000002</v>
      </c>
      <c r="I108">
        <f>-6.5813*I104</f>
        <v>-6.5812999999999997</v>
      </c>
      <c r="J108">
        <f>-6.9762*J104</f>
        <v>-6.9762000000000004</v>
      </c>
      <c r="K108">
        <f t="shared" si="8"/>
        <v>338.83289999999994</v>
      </c>
      <c r="L108">
        <f t="shared" si="9"/>
        <v>-544.84250000000009</v>
      </c>
    </row>
    <row r="109" spans="3:12" x14ac:dyDescent="0.3">
      <c r="C109">
        <v>0.96399999999999997</v>
      </c>
      <c r="D109">
        <f>-0.8072*D104</f>
        <v>-0.80720000000000003</v>
      </c>
      <c r="E109">
        <f>335.6608*E104*D99*D98</f>
        <v>335.66079999999999</v>
      </c>
      <c r="F109">
        <f>-527.3075*F104*D99*D98</f>
        <v>-527.3075</v>
      </c>
      <c r="G109">
        <f>-58.8868*G104</f>
        <v>-58.886800000000001</v>
      </c>
      <c r="H109">
        <f>-5.5426*H104</f>
        <v>-5.5426000000000002</v>
      </c>
      <c r="I109">
        <f>-10.7623*I104</f>
        <v>-10.7623</v>
      </c>
      <c r="J109">
        <f>-11.408*J104</f>
        <v>-11.407999999999999</v>
      </c>
      <c r="K109">
        <f t="shared" si="8"/>
        <v>248.25390000000002</v>
      </c>
      <c r="L109">
        <f t="shared" si="9"/>
        <v>-614.71439999999996</v>
      </c>
    </row>
    <row r="110" spans="3:12" x14ac:dyDescent="0.3">
      <c r="C110">
        <v>1.4464999999999999</v>
      </c>
      <c r="D110">
        <f>-1.1837*D104</f>
        <v>-1.1837</v>
      </c>
      <c r="E110">
        <f>277.0511*E104*D99*D98</f>
        <v>277.05110000000002</v>
      </c>
      <c r="F110">
        <f>-556.6057*F104*D99*D98</f>
        <v>-556.60569999999996</v>
      </c>
      <c r="G110">
        <f>-98.3434*G104</f>
        <v>-98.343400000000003</v>
      </c>
      <c r="H110">
        <f>-8.1283*H104</f>
        <v>-8.1282999999999994</v>
      </c>
      <c r="I110">
        <f>-15.7831*I104</f>
        <v>-15.783099999999999</v>
      </c>
      <c r="J110">
        <f>-16.7301*J104</f>
        <v>-16.7301</v>
      </c>
      <c r="K110">
        <f t="shared" si="8"/>
        <v>136.88250000000005</v>
      </c>
      <c r="L110">
        <f t="shared" si="9"/>
        <v>-696.77429999999993</v>
      </c>
    </row>
    <row r="111" spans="3:12" x14ac:dyDescent="0.3">
      <c r="C111">
        <v>1.6353800000000001</v>
      </c>
      <c r="D111">
        <f>-1.3407*D104</f>
        <v>-1.3407</v>
      </c>
      <c r="E111">
        <f>246.4199*E104*D99*D98</f>
        <v>246.41990000000001</v>
      </c>
      <c r="F111">
        <f>-568.0751*F104*D99*D98</f>
        <v>-568.07510000000002</v>
      </c>
      <c r="G111">
        <f>-115.0899*G104</f>
        <v>-115.0899</v>
      </c>
      <c r="H111">
        <f>-9.2058*H104</f>
        <v>-9.2058</v>
      </c>
      <c r="I111">
        <f>-17.8754*I104</f>
        <v>-17.875399999999999</v>
      </c>
      <c r="J111">
        <f>-18.9479*J104</f>
        <v>-18.947900000000001</v>
      </c>
      <c r="K111">
        <f t="shared" si="8"/>
        <v>83.960200000000015</v>
      </c>
      <c r="L111">
        <f t="shared" si="9"/>
        <v>-730.5347999999999</v>
      </c>
    </row>
    <row r="112" spans="3:12" x14ac:dyDescent="0.3">
      <c r="C112">
        <v>1.929</v>
      </c>
      <c r="D112">
        <f>-1.5952*D104</f>
        <v>-1.5952</v>
      </c>
      <c r="E112">
        <f>217.0301*E104*D99*D98</f>
        <v>217.0301</v>
      </c>
      <c r="F112">
        <f>-585.9039*F104*D99*D98</f>
        <v>-585.90390000000002</v>
      </c>
      <c r="G112">
        <f>-142.6166*G104</f>
        <v>-142.61660000000001</v>
      </c>
      <c r="H112">
        <f>-10.9538*H104</f>
        <v>-10.953799999999999</v>
      </c>
      <c r="I112">
        <f>-21.2695*I104</f>
        <v>-21.269500000000001</v>
      </c>
      <c r="J112">
        <f>-22.5457*J104</f>
        <v>-22.5457</v>
      </c>
      <c r="K112">
        <f t="shared" si="8"/>
        <v>18.049299999999992</v>
      </c>
      <c r="L112">
        <f t="shared" si="9"/>
        <v>-784.88470000000007</v>
      </c>
    </row>
    <row r="113" spans="3:12" x14ac:dyDescent="0.3">
      <c r="C113">
        <v>2.4115000000000002</v>
      </c>
      <c r="D113">
        <f>-2.0416*D104</f>
        <v>-2.0415999999999999</v>
      </c>
      <c r="E113">
        <f>168.4687*E104*D99*D98</f>
        <v>168.46870000000001</v>
      </c>
      <c r="F113">
        <f>-625.8426*F104*D99*D98</f>
        <v>-625.84259999999995</v>
      </c>
      <c r="G113">
        <f>-191.9169*G104</f>
        <v>-191.9169</v>
      </c>
      <c r="H113">
        <f>-14.0191*H104</f>
        <v>-14.0191</v>
      </c>
      <c r="I113">
        <f>-27.2216*I104</f>
        <v>-27.221599999999999</v>
      </c>
      <c r="J113">
        <f>-28.8549*J104</f>
        <v>-28.854900000000001</v>
      </c>
      <c r="K113">
        <f t="shared" si="8"/>
        <v>-95.585399999999979</v>
      </c>
      <c r="L113">
        <f t="shared" si="9"/>
        <v>-889.8966999999999</v>
      </c>
    </row>
    <row r="114" spans="3:12" x14ac:dyDescent="0.3">
      <c r="C114">
        <v>2.74769</v>
      </c>
      <c r="D114">
        <f>-2.3733*D104</f>
        <v>-2.3733</v>
      </c>
      <c r="E114">
        <f>174.059*E104*D99*D98</f>
        <v>174.059</v>
      </c>
      <c r="F114">
        <f>-661.4432*F104*D99*D98</f>
        <v>-661.44320000000005</v>
      </c>
      <c r="G114">
        <f>-229.3537*G104</f>
        <v>-229.3537</v>
      </c>
      <c r="H114">
        <f>-16.2967*H104</f>
        <v>-16.296700000000001</v>
      </c>
      <c r="I114">
        <f>-31.644*I104</f>
        <v>-31.643999999999998</v>
      </c>
      <c r="J114">
        <f>-33.5427*J104</f>
        <v>-33.542700000000004</v>
      </c>
      <c r="K114">
        <f t="shared" si="8"/>
        <v>-139.1514</v>
      </c>
      <c r="L114">
        <f t="shared" si="9"/>
        <v>-974.65359999999998</v>
      </c>
    </row>
    <row r="115" spans="3:12" x14ac:dyDescent="0.3">
      <c r="C115">
        <v>2.8940000000000001</v>
      </c>
      <c r="D115">
        <f>-2.5229*D104</f>
        <v>-2.5228999999999999</v>
      </c>
      <c r="E115">
        <f>176.4919*E104*D99*D98</f>
        <v>176.49189999999999</v>
      </c>
      <c r="F115">
        <f>-677.1398*F104*D99*D98</f>
        <v>-677.13980000000004</v>
      </c>
      <c r="G115">
        <f>-246.4593*G104</f>
        <v>-246.45930000000001</v>
      </c>
      <c r="H115">
        <f>-17.3242*H104</f>
        <v>-17.324200000000001</v>
      </c>
      <c r="I115">
        <f>-33.6392*I104</f>
        <v>-33.639200000000002</v>
      </c>
      <c r="J115">
        <f>-35.6576*J104</f>
        <v>-35.657600000000002</v>
      </c>
      <c r="K115">
        <f t="shared" si="8"/>
        <v>-159.11130000000003</v>
      </c>
      <c r="L115">
        <f t="shared" si="9"/>
        <v>-1012.7430000000001</v>
      </c>
    </row>
    <row r="116" spans="3:12" x14ac:dyDescent="0.3">
      <c r="C116">
        <v>3.3765000000000001</v>
      </c>
      <c r="D116">
        <f>-3.0392*D104</f>
        <v>-3.0392000000000001</v>
      </c>
      <c r="E116">
        <f>184.515*E104*D99*D98</f>
        <v>184.51499999999999</v>
      </c>
      <c r="F116">
        <f>-765.5389*F104*D99*D98</f>
        <v>-765.53890000000001</v>
      </c>
      <c r="G116">
        <f>-306.4702*G104</f>
        <v>-306.47019999999998</v>
      </c>
      <c r="H116">
        <f>-20.8691*H104</f>
        <v>-20.8691</v>
      </c>
      <c r="I116">
        <f>-40.5225*I104</f>
        <v>-40.522500000000001</v>
      </c>
      <c r="J116">
        <f>-42.9538*J104</f>
        <v>-42.953800000000001</v>
      </c>
      <c r="K116">
        <f t="shared" si="8"/>
        <v>-229.3398</v>
      </c>
      <c r="L116">
        <f t="shared" si="9"/>
        <v>-1179.3936999999999</v>
      </c>
    </row>
    <row r="117" spans="3:12" x14ac:dyDescent="0.3">
      <c r="C117">
        <v>3.859</v>
      </c>
      <c r="D117">
        <f>-3.5904*D104</f>
        <v>-3.5903999999999998</v>
      </c>
      <c r="E117">
        <f>192.5381*E104*D99*D98</f>
        <v>192.53809999999999</v>
      </c>
      <c r="F117">
        <f>-884.7415*F104*D99*D98</f>
        <v>-884.74149999999997</v>
      </c>
      <c r="G117">
        <f>-372.1943*G104</f>
        <v>-372.1943</v>
      </c>
      <c r="H117">
        <f>-24.6537*H104</f>
        <v>-24.653700000000001</v>
      </c>
      <c r="I117">
        <f>-47.8714*I104</f>
        <v>-47.871400000000001</v>
      </c>
      <c r="J117">
        <f>-50.7436*J104</f>
        <v>-50.743600000000001</v>
      </c>
      <c r="K117">
        <f t="shared" si="8"/>
        <v>-306.51530000000002</v>
      </c>
      <c r="L117">
        <f t="shared" si="9"/>
        <v>-1383.7949000000001</v>
      </c>
    </row>
    <row r="118" spans="3:12" x14ac:dyDescent="0.3">
      <c r="C118">
        <v>3.86</v>
      </c>
      <c r="D118">
        <f>-3.5915*D104</f>
        <v>-3.5914999999999999</v>
      </c>
      <c r="E118">
        <f>192.5547*E104*D99*D98</f>
        <v>192.5547</v>
      </c>
      <c r="F118">
        <f>-884.9914*F104*D99*D98</f>
        <v>-884.9914</v>
      </c>
      <c r="G118">
        <f>-372.3367*G104</f>
        <v>-372.33670000000001</v>
      </c>
      <c r="H118">
        <f>-24.6618*H104</f>
        <v>-24.661799999999999</v>
      </c>
      <c r="I118">
        <f>-47.8871*I104</f>
        <v>-47.887099999999997</v>
      </c>
      <c r="J118">
        <f>-50.7603*J104</f>
        <v>-50.760300000000001</v>
      </c>
      <c r="K118">
        <f t="shared" si="8"/>
        <v>-306.68270000000001</v>
      </c>
      <c r="L118">
        <f t="shared" si="9"/>
        <v>-1384.2287999999999</v>
      </c>
    </row>
    <row r="122" spans="3:12" x14ac:dyDescent="0.3">
      <c r="C122" t="s">
        <v>24</v>
      </c>
    </row>
    <row r="123" spans="3:12" x14ac:dyDescent="0.3">
      <c r="C123" t="s">
        <v>10</v>
      </c>
      <c r="D123" t="s">
        <v>11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17</v>
      </c>
      <c r="K123" t="s">
        <v>18</v>
      </c>
      <c r="L123" t="s">
        <v>19</v>
      </c>
    </row>
    <row r="124" spans="3:12" x14ac:dyDescent="0.3">
      <c r="C124">
        <v>0</v>
      </c>
      <c r="D124">
        <f>0.6*D104</f>
        <v>0.6</v>
      </c>
      <c r="E124">
        <f>256.283*E104*D100*D98</f>
        <v>256.28300000000002</v>
      </c>
      <c r="F124">
        <f>-44.285*F104*D100*D98</f>
        <v>-44.284999999999997</v>
      </c>
      <c r="G124">
        <f>58.64*G104</f>
        <v>58.64</v>
      </c>
      <c r="H124">
        <f>4.118*H104</f>
        <v>4.1180000000000003</v>
      </c>
      <c r="I124">
        <f>7.995*I104</f>
        <v>7.9950000000000001</v>
      </c>
      <c r="J124">
        <f>8.475*J104</f>
        <v>8.4749999999999996</v>
      </c>
      <c r="K124">
        <f t="shared" ref="K124:K136" si="10">SUM(D124+E124+G124+H124+I124+J124)</f>
        <v>336.11100000000005</v>
      </c>
      <c r="L124">
        <f t="shared" ref="L124:L136" si="11">SUM(D124+F124+G124+H124+I124+J124)</f>
        <v>35.543000000000006</v>
      </c>
    </row>
    <row r="125" spans="3:12" x14ac:dyDescent="0.3">
      <c r="C125">
        <v>0.48149999999999998</v>
      </c>
      <c r="D125">
        <f>0.672*D104</f>
        <v>0.67200000000000004</v>
      </c>
      <c r="E125">
        <f>270.151*E104*D100*D98</f>
        <v>270.15100000000001</v>
      </c>
      <c r="F125">
        <f>-44.285*F104*D100*D98</f>
        <v>-44.284999999999997</v>
      </c>
      <c r="G125">
        <f>67.579*G104</f>
        <v>67.578999999999994</v>
      </c>
      <c r="H125">
        <f>4.614*H104</f>
        <v>4.6139999999999999</v>
      </c>
      <c r="I125">
        <f>8.958*I104</f>
        <v>8.9580000000000002</v>
      </c>
      <c r="J125">
        <f>9.496*J104</f>
        <v>9.4960000000000004</v>
      </c>
      <c r="K125">
        <f t="shared" si="10"/>
        <v>361.47</v>
      </c>
      <c r="L125">
        <f t="shared" si="11"/>
        <v>47.033999999999999</v>
      </c>
    </row>
    <row r="126" spans="3:12" x14ac:dyDescent="0.3">
      <c r="C126">
        <v>0.52307999999999999</v>
      </c>
      <c r="D126">
        <f>0.678*D104</f>
        <v>0.67800000000000005</v>
      </c>
      <c r="E126">
        <f>270.151*E104*D100*D98</f>
        <v>270.15100000000001</v>
      </c>
      <c r="F126">
        <f>-35.828*F104*D100*D98</f>
        <v>-35.828000000000003</v>
      </c>
      <c r="G126">
        <f>68.368*G104</f>
        <v>68.367999999999995</v>
      </c>
      <c r="H126">
        <f>4.656*H104</f>
        <v>4.6559999999999997</v>
      </c>
      <c r="I126">
        <f>9.041*I104</f>
        <v>9.0410000000000004</v>
      </c>
      <c r="J126">
        <f>9.584*J104</f>
        <v>9.5839999999999996</v>
      </c>
      <c r="K126">
        <f t="shared" si="10"/>
        <v>362.47800000000001</v>
      </c>
      <c r="L126">
        <f t="shared" si="11"/>
        <v>56.498999999999995</v>
      </c>
    </row>
    <row r="127" spans="3:12" x14ac:dyDescent="0.3">
      <c r="C127">
        <v>0.96399999999999997</v>
      </c>
      <c r="D127">
        <f>0.744*D104</f>
        <v>0.74399999999999999</v>
      </c>
      <c r="E127">
        <f>283.066*E104*D100*D98</f>
        <v>283.06599999999997</v>
      </c>
      <c r="F127">
        <f>-35.828*F104*D100*D98</f>
        <v>-35.828000000000003</v>
      </c>
      <c r="G127">
        <f>76.926*G104</f>
        <v>76.926000000000002</v>
      </c>
      <c r="H127">
        <f>5.111*H104</f>
        <v>5.1109999999999998</v>
      </c>
      <c r="I127">
        <f>9.923*I104</f>
        <v>9.923</v>
      </c>
      <c r="J127">
        <f>10.519*J104</f>
        <v>10.519</v>
      </c>
      <c r="K127">
        <f t="shared" si="10"/>
        <v>386.28899999999999</v>
      </c>
      <c r="L127">
        <f t="shared" si="11"/>
        <v>67.394999999999996</v>
      </c>
    </row>
    <row r="128" spans="3:12" x14ac:dyDescent="0.3">
      <c r="C128">
        <v>1.4464999999999999</v>
      </c>
      <c r="D128">
        <f>0.817*D104</f>
        <v>0.81699999999999995</v>
      </c>
      <c r="E128">
        <f>295.05*E104*D100*D98</f>
        <v>295.05</v>
      </c>
      <c r="F128">
        <f>-27.742*F104*D100*D98</f>
        <v>-27.742000000000001</v>
      </c>
      <c r="G128">
        <f>86.696*G104</f>
        <v>86.695999999999998</v>
      </c>
      <c r="H128">
        <f>5.607*H104</f>
        <v>5.6070000000000002</v>
      </c>
      <c r="I128">
        <f>10.888*I104</f>
        <v>10.888</v>
      </c>
      <c r="J128">
        <f>11.542*J104</f>
        <v>11.542</v>
      </c>
      <c r="K128">
        <f t="shared" si="10"/>
        <v>410.59999999999997</v>
      </c>
      <c r="L128">
        <f t="shared" si="11"/>
        <v>87.808000000000007</v>
      </c>
    </row>
    <row r="129" spans="3:12" x14ac:dyDescent="0.3">
      <c r="C129">
        <v>1.6353800000000001</v>
      </c>
      <c r="D129">
        <f>0.845*D104</f>
        <v>0.84499999999999997</v>
      </c>
      <c r="E129">
        <f>295.05*E104*D100*D98</f>
        <v>295.05</v>
      </c>
      <c r="F129">
        <f>-19.999*F104*D100*D98</f>
        <v>-19.998999999999999</v>
      </c>
      <c r="G129">
        <f>90.636*G104</f>
        <v>90.635999999999996</v>
      </c>
      <c r="H129">
        <f>5.802*H104</f>
        <v>5.8019999999999996</v>
      </c>
      <c r="I129">
        <f>11.266*I104</f>
        <v>11.266</v>
      </c>
      <c r="J129">
        <f>11.942*J104</f>
        <v>11.942</v>
      </c>
      <c r="K129">
        <f t="shared" si="10"/>
        <v>415.54100000000011</v>
      </c>
      <c r="L129">
        <f t="shared" si="11"/>
        <v>100.49199999999999</v>
      </c>
    </row>
    <row r="130" spans="3:12" x14ac:dyDescent="0.3">
      <c r="C130">
        <v>1.929</v>
      </c>
      <c r="D130">
        <f>0.889*D104</f>
        <v>0.88900000000000001</v>
      </c>
      <c r="E130">
        <f>306.122*E104*D100*D98</f>
        <v>306.12200000000001</v>
      </c>
      <c r="F130">
        <f>-19.999*F104*D100*D98</f>
        <v>-19.998999999999999</v>
      </c>
      <c r="G130">
        <f>96.893*G104</f>
        <v>96.893000000000001</v>
      </c>
      <c r="H130">
        <f>6.104*H104</f>
        <v>6.1040000000000001</v>
      </c>
      <c r="I130">
        <f>11.853*I104</f>
        <v>11.853</v>
      </c>
      <c r="J130">
        <f>12.565*J104</f>
        <v>12.565</v>
      </c>
      <c r="K130">
        <f t="shared" si="10"/>
        <v>434.42599999999999</v>
      </c>
      <c r="L130">
        <f t="shared" si="11"/>
        <v>108.30499999999999</v>
      </c>
    </row>
    <row r="131" spans="3:12" x14ac:dyDescent="0.3">
      <c r="C131">
        <v>2.4115000000000002</v>
      </c>
      <c r="D131">
        <f>0.961*D104</f>
        <v>0.96099999999999997</v>
      </c>
      <c r="E131">
        <f>316.305*E104*D100*D98</f>
        <v>316.30500000000001</v>
      </c>
      <c r="F131">
        <f>-16.628*F104*D100*D98</f>
        <v>-16.628</v>
      </c>
      <c r="G131">
        <f>107.535*G104</f>
        <v>107.535</v>
      </c>
      <c r="H131">
        <f>6.601*H104</f>
        <v>6.601</v>
      </c>
      <c r="I131">
        <f>12.818*I104</f>
        <v>12.818</v>
      </c>
      <c r="J131">
        <f>13.587*J104</f>
        <v>13.587</v>
      </c>
      <c r="K131">
        <f t="shared" si="10"/>
        <v>457.80700000000002</v>
      </c>
      <c r="L131">
        <f t="shared" si="11"/>
        <v>124.874</v>
      </c>
    </row>
    <row r="132" spans="3:12" x14ac:dyDescent="0.3">
      <c r="C132">
        <v>2.74769</v>
      </c>
      <c r="D132">
        <f>1.012*D104</f>
        <v>1.012</v>
      </c>
      <c r="E132">
        <f>316.305*E104*D100*D98</f>
        <v>316.30500000000001</v>
      </c>
      <c r="F132">
        <f>-16.628*F104*D100*D98</f>
        <v>-16.628</v>
      </c>
      <c r="G132">
        <f>115.213*G104</f>
        <v>115.21299999999999</v>
      </c>
      <c r="H132">
        <f>6.948*H104</f>
        <v>6.9480000000000004</v>
      </c>
      <c r="I132">
        <f>13.491*I104</f>
        <v>13.491</v>
      </c>
      <c r="J132">
        <f>14.3*J104</f>
        <v>14.3</v>
      </c>
      <c r="K132">
        <f t="shared" si="10"/>
        <v>467.26899999999995</v>
      </c>
      <c r="L132">
        <f t="shared" si="11"/>
        <v>134.33599999999998</v>
      </c>
    </row>
    <row r="133" spans="3:12" x14ac:dyDescent="0.3">
      <c r="C133">
        <v>2.8940000000000001</v>
      </c>
      <c r="D133">
        <f>1.034*D104</f>
        <v>1.034</v>
      </c>
      <c r="E133">
        <f>325.629*E104*D100*D98</f>
        <v>325.62900000000002</v>
      </c>
      <c r="F133">
        <f>-16.628*F104*D100*D98</f>
        <v>-16.628</v>
      </c>
      <c r="G133">
        <f>118.625*G104</f>
        <v>118.625</v>
      </c>
      <c r="H133">
        <f>7.098*H104</f>
        <v>7.0979999999999999</v>
      </c>
      <c r="I133">
        <f>13.783*I104</f>
        <v>13.782999999999999</v>
      </c>
      <c r="J133">
        <f>14.61*J104</f>
        <v>14.61</v>
      </c>
      <c r="K133">
        <f t="shared" si="10"/>
        <v>480.77900000000005</v>
      </c>
      <c r="L133">
        <f t="shared" si="11"/>
        <v>138.52199999999999</v>
      </c>
    </row>
    <row r="134" spans="3:12" x14ac:dyDescent="0.3">
      <c r="C134">
        <v>3.3765000000000001</v>
      </c>
      <c r="D134">
        <f>1.106*D104</f>
        <v>1.1060000000000001</v>
      </c>
      <c r="E134">
        <f>336.579*E104*D100*D98</f>
        <v>336.57900000000001</v>
      </c>
      <c r="F134">
        <f>-16.628*F104*D100*D98</f>
        <v>-16.628</v>
      </c>
      <c r="G134">
        <f>130.21*G104</f>
        <v>130.21</v>
      </c>
      <c r="H134">
        <f>7.595*H104</f>
        <v>7.5949999999999998</v>
      </c>
      <c r="I134">
        <f>14.748*I104</f>
        <v>14.747999999999999</v>
      </c>
      <c r="J134">
        <f>15.633*J104</f>
        <v>15.632999999999999</v>
      </c>
      <c r="K134">
        <f t="shared" si="10"/>
        <v>505.87099999999998</v>
      </c>
      <c r="L134">
        <f t="shared" si="11"/>
        <v>152.66400000000002</v>
      </c>
    </row>
    <row r="135" spans="3:12" x14ac:dyDescent="0.3">
      <c r="C135">
        <v>3.859</v>
      </c>
      <c r="D135">
        <f>1.178*D104</f>
        <v>1.1779999999999999</v>
      </c>
      <c r="E135">
        <f>353.371*E104*D100*D98</f>
        <v>353.37099999999998</v>
      </c>
      <c r="F135">
        <f>-16.628*F104*D100*D98</f>
        <v>-16.628</v>
      </c>
      <c r="G135">
        <f>142.307*G104</f>
        <v>142.30699999999999</v>
      </c>
      <c r="H135">
        <f>8.092*H104</f>
        <v>8.0920000000000005</v>
      </c>
      <c r="I135">
        <f>15.713*I104</f>
        <v>15.712999999999999</v>
      </c>
      <c r="J135">
        <f>16.656*J104</f>
        <v>16.655999999999999</v>
      </c>
      <c r="K135">
        <f t="shared" si="10"/>
        <v>537.31699999999989</v>
      </c>
      <c r="L135">
        <f t="shared" si="11"/>
        <v>167.31799999999998</v>
      </c>
    </row>
    <row r="136" spans="3:12" x14ac:dyDescent="0.3">
      <c r="C136">
        <v>3.86</v>
      </c>
      <c r="D136">
        <f>1.179*D104</f>
        <v>1.179</v>
      </c>
      <c r="E136">
        <f>353.371*E104*D100*D98</f>
        <v>353.37099999999998</v>
      </c>
      <c r="F136">
        <f>-16.628*F104*D100*D98</f>
        <v>-16.628</v>
      </c>
      <c r="G136">
        <f>142.333*G104</f>
        <v>142.333</v>
      </c>
      <c r="H136">
        <f>8.093*H104</f>
        <v>8.093</v>
      </c>
      <c r="I136">
        <f>15.715*I104</f>
        <v>15.715</v>
      </c>
      <c r="J136">
        <f>16.658*J104</f>
        <v>16.658000000000001</v>
      </c>
      <c r="K136">
        <f t="shared" si="10"/>
        <v>537.34899999999993</v>
      </c>
      <c r="L136">
        <f t="shared" si="11"/>
        <v>167.35000000000002</v>
      </c>
    </row>
    <row r="140" spans="3:12" s="2" customFormat="1" ht="28.8" x14ac:dyDescent="0.55000000000000004">
      <c r="C140" s="1" t="s">
        <v>32</v>
      </c>
    </row>
    <row r="143" spans="3:12" x14ac:dyDescent="0.3">
      <c r="C143" s="3" t="s">
        <v>5</v>
      </c>
      <c r="D143" s="3">
        <v>1</v>
      </c>
    </row>
    <row r="144" spans="3:12" x14ac:dyDescent="0.3">
      <c r="C144" s="3" t="s">
        <v>6</v>
      </c>
      <c r="D144" s="3">
        <v>1</v>
      </c>
    </row>
    <row r="145" spans="3:12" x14ac:dyDescent="0.3">
      <c r="C145" s="3" t="s">
        <v>7</v>
      </c>
      <c r="D145" s="3">
        <v>1</v>
      </c>
    </row>
    <row r="148" spans="3:12" x14ac:dyDescent="0.3">
      <c r="C148" t="s">
        <v>25</v>
      </c>
    </row>
    <row r="149" spans="3:12" x14ac:dyDescent="0.3">
      <c r="C149" s="4" t="s">
        <v>9</v>
      </c>
      <c r="D149" s="4">
        <v>1</v>
      </c>
      <c r="E149" s="4">
        <v>1</v>
      </c>
      <c r="F149" s="4">
        <v>1</v>
      </c>
      <c r="G149" s="4">
        <v>1</v>
      </c>
      <c r="H149" s="4">
        <v>1</v>
      </c>
      <c r="I149" s="4">
        <v>1</v>
      </c>
      <c r="J149" s="4">
        <v>1</v>
      </c>
      <c r="K149" s="4"/>
      <c r="L149" s="4"/>
    </row>
    <row r="150" spans="3:12" x14ac:dyDescent="0.3">
      <c r="C150" t="s">
        <v>10</v>
      </c>
      <c r="D150" t="s">
        <v>11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17</v>
      </c>
      <c r="K150" t="s">
        <v>18</v>
      </c>
      <c r="L150" t="s">
        <v>19</v>
      </c>
    </row>
    <row r="151" spans="3:12" x14ac:dyDescent="0.3">
      <c r="C151">
        <v>0</v>
      </c>
      <c r="D151">
        <f>-3.5915*D149</f>
        <v>-3.5914999999999999</v>
      </c>
      <c r="E151">
        <f>192.5547*E149*D144*D143</f>
        <v>192.5547</v>
      </c>
      <c r="F151">
        <f>-884.9914*F149*D144*D143</f>
        <v>-884.9914</v>
      </c>
      <c r="G151">
        <f>-372.3367*G149</f>
        <v>-372.33670000000001</v>
      </c>
      <c r="H151">
        <f>-24.6618*H149</f>
        <v>-24.661799999999999</v>
      </c>
      <c r="I151">
        <f>-47.8871*I149</f>
        <v>-47.887099999999997</v>
      </c>
      <c r="J151">
        <f>-50.7603*J149</f>
        <v>-50.760300000000001</v>
      </c>
      <c r="K151">
        <f t="shared" ref="K151:K162" si="12">SUM(D151+E151+G151+H151+I151+J151)</f>
        <v>-306.68270000000001</v>
      </c>
      <c r="L151">
        <f t="shared" ref="L151:L162" si="13">SUM(D151+F151+G151+H151+I151+J151)</f>
        <v>-1384.2287999999999</v>
      </c>
    </row>
    <row r="152" spans="3:12" x14ac:dyDescent="0.3">
      <c r="C152">
        <v>0.47525000000000001</v>
      </c>
      <c r="D152">
        <f>-3.0653*D149</f>
        <v>-3.0653000000000001</v>
      </c>
      <c r="E152">
        <f>173.6001*E149*D144*D143</f>
        <v>173.6001</v>
      </c>
      <c r="F152">
        <f>-771.8625*F149*D144*D143</f>
        <v>-771.86249999999995</v>
      </c>
      <c r="G152">
        <f>-313.0017*G149</f>
        <v>-313.00170000000003</v>
      </c>
      <c r="H152">
        <f>-21.0481*H149</f>
        <v>-21.048100000000002</v>
      </c>
      <c r="I152">
        <f>-40.8701*I149</f>
        <v>-40.870100000000001</v>
      </c>
      <c r="J152">
        <f>-43.3223*J149</f>
        <v>-43.322299999999998</v>
      </c>
      <c r="K152">
        <f t="shared" si="12"/>
        <v>-247.70740000000006</v>
      </c>
      <c r="L152">
        <f t="shared" si="13"/>
        <v>-1193.17</v>
      </c>
    </row>
    <row r="153" spans="3:12" x14ac:dyDescent="0.3">
      <c r="C153">
        <v>0.95150000000000001</v>
      </c>
      <c r="D153">
        <f>-2.5719*D149</f>
        <v>-2.5718999999999999</v>
      </c>
      <c r="E153">
        <f>154.6056*E149*D144*D143</f>
        <v>154.60560000000001</v>
      </c>
      <c r="F153">
        <f>-662.1369*F149*D144*D143</f>
        <v>-662.13689999999997</v>
      </c>
      <c r="G153">
        <f>-259.0205*G149</f>
        <v>-259.02050000000003</v>
      </c>
      <c r="H153">
        <f>-17.6601*H149</f>
        <v>-17.6601</v>
      </c>
      <c r="I153">
        <f>-34.2915*I149</f>
        <v>-34.291499999999999</v>
      </c>
      <c r="J153">
        <f>-36.349*J149</f>
        <v>-36.348999999999997</v>
      </c>
      <c r="K153">
        <f t="shared" si="12"/>
        <v>-195.28739999999999</v>
      </c>
      <c r="L153">
        <f t="shared" si="13"/>
        <v>-1012.0299000000001</v>
      </c>
    </row>
    <row r="154" spans="3:12" x14ac:dyDescent="0.3">
      <c r="C154">
        <v>1.4277500000000001</v>
      </c>
      <c r="D154">
        <f>-2.1125*D149</f>
        <v>-2.1124999999999998</v>
      </c>
      <c r="E154">
        <f>135.6111*E149*D144*D143</f>
        <v>135.61109999999999</v>
      </c>
      <c r="F154">
        <f>-555.7233*F149*D144*D143</f>
        <v>-555.72329999999999</v>
      </c>
      <c r="G154">
        <f>-210.1994*G149</f>
        <v>-210.1994</v>
      </c>
      <c r="H154">
        <f>-14.5057*H149</f>
        <v>-14.505699999999999</v>
      </c>
      <c r="I154">
        <f>-28.1665*I149</f>
        <v>-28.166499999999999</v>
      </c>
      <c r="J154">
        <f>-29.8565*J149</f>
        <v>-29.8565</v>
      </c>
      <c r="K154">
        <f t="shared" si="12"/>
        <v>-149.22950000000003</v>
      </c>
      <c r="L154">
        <f t="shared" si="13"/>
        <v>-840.56389999999999</v>
      </c>
    </row>
    <row r="155" spans="3:12" x14ac:dyDescent="0.3">
      <c r="C155">
        <v>1.524</v>
      </c>
      <c r="D155">
        <f>-2.0238*D149</f>
        <v>-2.0238</v>
      </c>
      <c r="E155">
        <f>131.7723*E149*D144*D143</f>
        <v>131.7723</v>
      </c>
      <c r="F155">
        <f>-534.589*F149*D144*D143</f>
        <v>-534.58900000000006</v>
      </c>
      <c r="G155">
        <f>-200.9306*G149</f>
        <v>-200.9306</v>
      </c>
      <c r="H155">
        <f>-13.8966*H149</f>
        <v>-13.896599999999999</v>
      </c>
      <c r="I155">
        <f>-26.9837*I149</f>
        <v>-26.983699999999999</v>
      </c>
      <c r="J155">
        <f>-28.6028*J149</f>
        <v>-28.602799999999998</v>
      </c>
      <c r="K155">
        <f t="shared" si="12"/>
        <v>-140.6652</v>
      </c>
      <c r="L155">
        <f t="shared" si="13"/>
        <v>-807.02650000000017</v>
      </c>
    </row>
    <row r="156" spans="3:12" x14ac:dyDescent="0.3">
      <c r="C156">
        <v>1.9039999999999999</v>
      </c>
      <c r="D156">
        <f>-1.6871*D149</f>
        <v>-1.6871</v>
      </c>
      <c r="E156">
        <f>138.1975*E149*D144*D143</f>
        <v>138.19749999999999</v>
      </c>
      <c r="F156">
        <f>-453.5159*F149*D144*D143</f>
        <v>-453.51589999999999</v>
      </c>
      <c r="G156">
        <f>-166.2198*G149</f>
        <v>-166.21979999999999</v>
      </c>
      <c r="H156">
        <f>-11.585*H149</f>
        <v>-11.585000000000001</v>
      </c>
      <c r="I156">
        <f>-22.4952*I149</f>
        <v>-22.495200000000001</v>
      </c>
      <c r="J156">
        <f>-23.8449*J149</f>
        <v>-23.844899999999999</v>
      </c>
      <c r="K156">
        <f t="shared" si="12"/>
        <v>-87.634499999999989</v>
      </c>
      <c r="L156">
        <f t="shared" si="13"/>
        <v>-679.34789999999998</v>
      </c>
    </row>
    <row r="157" spans="3:12" x14ac:dyDescent="0.3">
      <c r="C157">
        <v>2.3802500000000002</v>
      </c>
      <c r="D157">
        <f>-1.2958*D149</f>
        <v>-1.2958000000000001</v>
      </c>
      <c r="E157">
        <f>186.9392*E149*D144*D143</f>
        <v>186.9392</v>
      </c>
      <c r="F157">
        <f>-408.4742*F149*D144*D143</f>
        <v>-408.4742</v>
      </c>
      <c r="G157">
        <f>-126.8058*G149</f>
        <v>-126.8058</v>
      </c>
      <c r="H157">
        <f>-8.8979*H149</f>
        <v>-8.8978999999999999</v>
      </c>
      <c r="I157">
        <f>-17.2774*I149</f>
        <v>-17.2774</v>
      </c>
      <c r="J157">
        <f>-18.3141*J149</f>
        <v>-18.3141</v>
      </c>
      <c r="K157">
        <f t="shared" si="12"/>
        <v>14.348199999999981</v>
      </c>
      <c r="L157">
        <f t="shared" si="13"/>
        <v>-581.0652</v>
      </c>
    </row>
    <row r="158" spans="3:12" x14ac:dyDescent="0.3">
      <c r="C158">
        <v>2.8565</v>
      </c>
      <c r="D158">
        <f>-0.9385*D149</f>
        <v>-0.9385</v>
      </c>
      <c r="E158">
        <f>232.5105*E149*D144*D143</f>
        <v>232.51050000000001</v>
      </c>
      <c r="F158">
        <f>-365.5576*F149*D144*D143</f>
        <v>-365.55759999999998</v>
      </c>
      <c r="G158">
        <f>-91.7007*G149</f>
        <v>-91.700699999999998</v>
      </c>
      <c r="H158">
        <f>-6.4444*H149</f>
        <v>-6.4443999999999999</v>
      </c>
      <c r="I158">
        <f>-12.5133*I149</f>
        <v>-12.513299999999999</v>
      </c>
      <c r="J158">
        <f>-13.2641*J149</f>
        <v>-13.264099999999999</v>
      </c>
      <c r="K158">
        <f t="shared" si="12"/>
        <v>107.64950000000002</v>
      </c>
      <c r="L158">
        <f t="shared" si="13"/>
        <v>-490.41859999999991</v>
      </c>
    </row>
    <row r="159" spans="3:12" x14ac:dyDescent="0.3">
      <c r="C159">
        <v>3.048</v>
      </c>
      <c r="D159">
        <f>-0.8044*D149</f>
        <v>-0.8044</v>
      </c>
      <c r="E159">
        <f>245.3167*E149*D144*D143</f>
        <v>245.3167</v>
      </c>
      <c r="F159">
        <f>-348.4433*F149*D144*D143</f>
        <v>-348.44330000000002</v>
      </c>
      <c r="G159">
        <f>-78.7417*G149</f>
        <v>-78.741699999999994</v>
      </c>
      <c r="H159">
        <f>-5.5237*H149</f>
        <v>-5.5236999999999998</v>
      </c>
      <c r="I159">
        <f>-10.7256*I149</f>
        <v>-10.7256</v>
      </c>
      <c r="J159">
        <f>-11.3691*J149</f>
        <v>-11.3691</v>
      </c>
      <c r="K159">
        <f t="shared" si="12"/>
        <v>138.15219999999999</v>
      </c>
      <c r="L159">
        <f t="shared" si="13"/>
        <v>-455.6078</v>
      </c>
    </row>
    <row r="160" spans="3:12" x14ac:dyDescent="0.3">
      <c r="C160">
        <v>3.3327499999999999</v>
      </c>
      <c r="D160">
        <f>-0.6152*D149</f>
        <v>-0.61519999999999997</v>
      </c>
      <c r="E160">
        <f>273.0188*E149*D144*D143</f>
        <v>273.0188</v>
      </c>
      <c r="F160">
        <f>-323.0854*F149*D144*D143</f>
        <v>-323.08539999999999</v>
      </c>
      <c r="G160">
        <f>-60.6506*G149</f>
        <v>-60.650599999999997</v>
      </c>
      <c r="H160">
        <f>-4.2245*H149</f>
        <v>-4.2244999999999999</v>
      </c>
      <c r="I160">
        <f>-8.2029*I149</f>
        <v>-8.2028999999999996</v>
      </c>
      <c r="J160">
        <f>-8.695*J149</f>
        <v>-8.6950000000000003</v>
      </c>
      <c r="K160">
        <f t="shared" si="12"/>
        <v>190.63059999999999</v>
      </c>
      <c r="L160">
        <f t="shared" si="13"/>
        <v>-405.47359999999998</v>
      </c>
    </row>
    <row r="161" spans="3:12" x14ac:dyDescent="0.3">
      <c r="C161">
        <v>3.8090000000000002</v>
      </c>
      <c r="D161">
        <f>-0.326*D149</f>
        <v>-0.32600000000000001</v>
      </c>
      <c r="E161">
        <f>308.4549*E149*D144*D143</f>
        <v>308.45490000000001</v>
      </c>
      <c r="F161">
        <f>-281.8887*F149*D144*D143</f>
        <v>-281.88869999999997</v>
      </c>
      <c r="G161">
        <f>-33.4424*G149</f>
        <v>-33.442399999999999</v>
      </c>
      <c r="H161">
        <f>-2.2382*H149</f>
        <v>-2.2382</v>
      </c>
      <c r="I161">
        <f>-4.346*I149</f>
        <v>-4.3460000000000001</v>
      </c>
      <c r="J161">
        <f>-4.6068*J149</f>
        <v>-4.6067999999999998</v>
      </c>
      <c r="K161">
        <f t="shared" si="12"/>
        <v>263.49549999999994</v>
      </c>
      <c r="L161">
        <f t="shared" si="13"/>
        <v>-326.84810000000004</v>
      </c>
    </row>
    <row r="162" spans="3:12" x14ac:dyDescent="0.3">
      <c r="C162">
        <v>3.81</v>
      </c>
      <c r="D162">
        <f>-0.3254*D149</f>
        <v>-0.32540000000000002</v>
      </c>
      <c r="E162">
        <f>308.4025*E149*D144*D143</f>
        <v>308.40249999999997</v>
      </c>
      <c r="F162">
        <f>-281.8041*F149*D144*D143</f>
        <v>-281.80410000000001</v>
      </c>
      <c r="G162">
        <f>-33.3892*G149</f>
        <v>-33.389200000000002</v>
      </c>
      <c r="H162">
        <f>-2.2343*H149</f>
        <v>-2.2343000000000002</v>
      </c>
      <c r="I162">
        <f>-4.3384*I149</f>
        <v>-4.3384</v>
      </c>
      <c r="J162">
        <f>-4.5987*J149</f>
        <v>-4.5987</v>
      </c>
      <c r="K162">
        <f t="shared" si="12"/>
        <v>263.51649999999995</v>
      </c>
      <c r="L162">
        <f t="shared" si="13"/>
        <v>-326.69010000000003</v>
      </c>
    </row>
    <row r="166" spans="3:12" x14ac:dyDescent="0.3">
      <c r="C166" t="s">
        <v>26</v>
      </c>
    </row>
    <row r="167" spans="3:12" x14ac:dyDescent="0.3">
      <c r="C167" t="s">
        <v>10</v>
      </c>
      <c r="D167" t="s">
        <v>11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17</v>
      </c>
      <c r="K167" t="s">
        <v>18</v>
      </c>
      <c r="L167" t="s">
        <v>19</v>
      </c>
    </row>
    <row r="168" spans="3:12" x14ac:dyDescent="0.3">
      <c r="C168">
        <v>0</v>
      </c>
      <c r="D168">
        <f>-1.143*D149</f>
        <v>-1.143</v>
      </c>
      <c r="E168">
        <f>39.883*E149*D145*D143</f>
        <v>39.883000000000003</v>
      </c>
      <c r="F168">
        <f>-351.001*F149*D145*D143</f>
        <v>-351.00099999999998</v>
      </c>
      <c r="G168">
        <f>-130.822*G149</f>
        <v>-130.822</v>
      </c>
      <c r="H168">
        <f>-7.849*H149</f>
        <v>-7.8490000000000002</v>
      </c>
      <c r="I168">
        <f>-15.24*I149</f>
        <v>-15.24</v>
      </c>
      <c r="J168">
        <f>-16.154*J149</f>
        <v>-16.154</v>
      </c>
      <c r="K168">
        <f t="shared" ref="K168:K179" si="14">SUM(D168+E168+G168+H168+I168+J168)</f>
        <v>-131.32499999999999</v>
      </c>
      <c r="L168">
        <f t="shared" ref="L168:L179" si="15">SUM(D168+F168+G168+H168+I168+J168)</f>
        <v>-522.20899999999995</v>
      </c>
    </row>
    <row r="169" spans="3:12" x14ac:dyDescent="0.3">
      <c r="C169">
        <v>0.47525000000000001</v>
      </c>
      <c r="D169">
        <f>-1.072*D149</f>
        <v>-1.0720000000000001</v>
      </c>
      <c r="E169">
        <f>39.883*E149*D145*D143</f>
        <v>39.883000000000003</v>
      </c>
      <c r="F169">
        <f>-351.001*F149*D145*D143</f>
        <v>-351.00099999999998</v>
      </c>
      <c r="G169">
        <f>-118.991*G149</f>
        <v>-118.991</v>
      </c>
      <c r="H169">
        <f>-7.359*H149</f>
        <v>-7.359</v>
      </c>
      <c r="I169">
        <f>-14.29*I149</f>
        <v>-14.29</v>
      </c>
      <c r="J169">
        <f>-15.147*J149</f>
        <v>-15.147</v>
      </c>
      <c r="K169">
        <f t="shared" si="14"/>
        <v>-116.97600000000001</v>
      </c>
      <c r="L169">
        <f t="shared" si="15"/>
        <v>-507.85999999999996</v>
      </c>
    </row>
    <row r="170" spans="3:12" x14ac:dyDescent="0.3">
      <c r="C170">
        <v>0.95150000000000001</v>
      </c>
      <c r="D170">
        <f>-1*D149</f>
        <v>-1</v>
      </c>
      <c r="E170">
        <f>39.883*E149*D145*D143</f>
        <v>39.883000000000003</v>
      </c>
      <c r="F170">
        <f>-335.081*F149*D145*D143</f>
        <v>-335.08100000000002</v>
      </c>
      <c r="G170">
        <f>-107.815*G149</f>
        <v>-107.815</v>
      </c>
      <c r="H170">
        <f>-6.869*H149</f>
        <v>-6.8689999999999998</v>
      </c>
      <c r="I170">
        <f>-13.337*I149</f>
        <v>-13.337</v>
      </c>
      <c r="J170">
        <f>-14.137*J149</f>
        <v>-14.137</v>
      </c>
      <c r="K170">
        <f t="shared" si="14"/>
        <v>-103.27499999999999</v>
      </c>
      <c r="L170">
        <f t="shared" si="15"/>
        <v>-478.23899999999998</v>
      </c>
    </row>
    <row r="171" spans="3:12" x14ac:dyDescent="0.3">
      <c r="C171">
        <v>1.4277500000000001</v>
      </c>
      <c r="D171">
        <f>-0.929*D149</f>
        <v>-0.92900000000000005</v>
      </c>
      <c r="E171">
        <f>39.883*E149*D145*D143</f>
        <v>39.883000000000003</v>
      </c>
      <c r="F171">
        <f>-320.697*F149*D145*D143</f>
        <v>-320.697</v>
      </c>
      <c r="G171">
        <f>-97.321*G149</f>
        <v>-97.320999999999998</v>
      </c>
      <c r="H171">
        <f>-6.378*H149</f>
        <v>-6.3780000000000001</v>
      </c>
      <c r="I171">
        <f>-12.385*I149</f>
        <v>-12.385</v>
      </c>
      <c r="J171">
        <f>-13.128*J149</f>
        <v>-13.128</v>
      </c>
      <c r="K171">
        <f t="shared" si="14"/>
        <v>-90.25800000000001</v>
      </c>
      <c r="L171">
        <f t="shared" si="15"/>
        <v>-450.83799999999997</v>
      </c>
    </row>
    <row r="172" spans="3:12" x14ac:dyDescent="0.3">
      <c r="C172">
        <v>1.524</v>
      </c>
      <c r="D172">
        <f>-0.914*D149</f>
        <v>-0.91400000000000003</v>
      </c>
      <c r="E172">
        <f>39.883*E149*D145*D143</f>
        <v>39.883000000000003</v>
      </c>
      <c r="F172">
        <f>-306.058*F149*D145*D143</f>
        <v>-306.05799999999999</v>
      </c>
      <c r="G172">
        <f>-95.283*G149</f>
        <v>-95.283000000000001</v>
      </c>
      <c r="H172">
        <f>-6.279*H149</f>
        <v>-6.2789999999999999</v>
      </c>
      <c r="I172">
        <f>-12.192*I149</f>
        <v>-12.192</v>
      </c>
      <c r="J172">
        <f>-12.924*J149</f>
        <v>-12.923999999999999</v>
      </c>
      <c r="K172">
        <f t="shared" si="14"/>
        <v>-87.709000000000003</v>
      </c>
      <c r="L172">
        <f t="shared" si="15"/>
        <v>-433.65</v>
      </c>
    </row>
    <row r="173" spans="3:12" x14ac:dyDescent="0.3">
      <c r="C173">
        <v>1.9039999999999999</v>
      </c>
      <c r="D173">
        <f>-0.857*D149</f>
        <v>-0.85699999999999998</v>
      </c>
      <c r="E173">
        <f>39.883*E149*D145*D143</f>
        <v>39.883000000000003</v>
      </c>
      <c r="F173">
        <f>-306.058*F149*D145*D143</f>
        <v>-306.05799999999999</v>
      </c>
      <c r="G173">
        <f>-87.463*G149</f>
        <v>-87.462999999999994</v>
      </c>
      <c r="H173">
        <f>-5.888*H149</f>
        <v>-5.8879999999999999</v>
      </c>
      <c r="I173">
        <f>-11.432*I149</f>
        <v>-11.432</v>
      </c>
      <c r="J173">
        <f>-12.118*J149</f>
        <v>-12.118</v>
      </c>
      <c r="K173">
        <f t="shared" si="14"/>
        <v>-77.874999999999986</v>
      </c>
      <c r="L173">
        <f t="shared" si="15"/>
        <v>-423.81600000000003</v>
      </c>
    </row>
    <row r="174" spans="3:12" x14ac:dyDescent="0.3">
      <c r="C174">
        <v>2.3802500000000002</v>
      </c>
      <c r="D174">
        <f>-0.786*D149</f>
        <v>-0.78600000000000003</v>
      </c>
      <c r="E174">
        <f>39.883*E149*D145*D143</f>
        <v>39.883000000000003</v>
      </c>
      <c r="F174">
        <f>-291.175*F149*D145*D143</f>
        <v>-291.17500000000001</v>
      </c>
      <c r="G174">
        <f>-78.146*G149</f>
        <v>-78.146000000000001</v>
      </c>
      <c r="H174">
        <f>-5.397*H149</f>
        <v>-5.3970000000000002</v>
      </c>
      <c r="I174">
        <f>-10.48*I149</f>
        <v>-10.48</v>
      </c>
      <c r="J174">
        <f>-11.108*J149</f>
        <v>-11.108000000000001</v>
      </c>
      <c r="K174">
        <f t="shared" si="14"/>
        <v>-66.034000000000006</v>
      </c>
      <c r="L174">
        <f t="shared" si="15"/>
        <v>-397.09200000000004</v>
      </c>
    </row>
    <row r="175" spans="3:12" x14ac:dyDescent="0.3">
      <c r="C175">
        <v>2.8565</v>
      </c>
      <c r="D175">
        <f>-0.715*D149</f>
        <v>-0.71499999999999997</v>
      </c>
      <c r="E175">
        <f>39.883*E149*D145*D143</f>
        <v>39.883000000000003</v>
      </c>
      <c r="F175">
        <f>-280.875*F149*D145*D143</f>
        <v>-280.875</v>
      </c>
      <c r="G175">
        <f>-69.367*G149</f>
        <v>-69.367000000000004</v>
      </c>
      <c r="H175">
        <f>-4.906*H149</f>
        <v>-4.9059999999999997</v>
      </c>
      <c r="I175">
        <f>-9.527*I149</f>
        <v>-9.5269999999999992</v>
      </c>
      <c r="J175">
        <f>-10.099*J149</f>
        <v>-10.099</v>
      </c>
      <c r="K175">
        <f t="shared" si="14"/>
        <v>-54.731000000000009</v>
      </c>
      <c r="L175">
        <f t="shared" si="15"/>
        <v>-375.48899999999998</v>
      </c>
    </row>
    <row r="176" spans="3:12" x14ac:dyDescent="0.3">
      <c r="C176">
        <v>3.048</v>
      </c>
      <c r="D176">
        <f>-0.686*D149</f>
        <v>-0.68600000000000005</v>
      </c>
      <c r="E176">
        <f>39.883*E149*D145*D143</f>
        <v>39.883000000000003</v>
      </c>
      <c r="F176">
        <f>-270.431*F149*D145*D143</f>
        <v>-270.43099999999998</v>
      </c>
      <c r="G176">
        <f>-65.989*G149</f>
        <v>-65.989000000000004</v>
      </c>
      <c r="H176">
        <f>-4.709*H149</f>
        <v>-4.7089999999999996</v>
      </c>
      <c r="I176">
        <f>-9.144*I149</f>
        <v>-9.1440000000000001</v>
      </c>
      <c r="J176">
        <f>-9.693*J149</f>
        <v>-9.6929999999999996</v>
      </c>
      <c r="K176">
        <f t="shared" si="14"/>
        <v>-50.338000000000001</v>
      </c>
      <c r="L176">
        <f t="shared" si="15"/>
        <v>-360.65199999999999</v>
      </c>
    </row>
    <row r="177" spans="3:12" x14ac:dyDescent="0.3">
      <c r="C177">
        <v>3.3327499999999999</v>
      </c>
      <c r="D177">
        <f>-0.643*D149</f>
        <v>-0.64300000000000002</v>
      </c>
      <c r="E177">
        <f>45.068*E149*D145*D143</f>
        <v>45.067999999999998</v>
      </c>
      <c r="F177">
        <f>-270.431*F149*D145*D143</f>
        <v>-270.43099999999998</v>
      </c>
      <c r="G177">
        <f>-61.099*G149</f>
        <v>-61.098999999999997</v>
      </c>
      <c r="H177">
        <f>-4.416*H149</f>
        <v>-4.4160000000000004</v>
      </c>
      <c r="I177">
        <f>-8.575*I149</f>
        <v>-8.5749999999999993</v>
      </c>
      <c r="J177">
        <f>-9.089*J149</f>
        <v>-9.0890000000000004</v>
      </c>
      <c r="K177">
        <f t="shared" si="14"/>
        <v>-38.753999999999998</v>
      </c>
      <c r="L177">
        <f t="shared" si="15"/>
        <v>-354.25299999999993</v>
      </c>
    </row>
    <row r="178" spans="3:12" x14ac:dyDescent="0.3">
      <c r="C178">
        <v>3.8090000000000002</v>
      </c>
      <c r="D178">
        <f>-0.572*D149</f>
        <v>-0.57199999999999995</v>
      </c>
      <c r="E178">
        <f>52.448*E149*D145*D143</f>
        <v>52.448</v>
      </c>
      <c r="F178">
        <f>-259.054*F149*D145*D143</f>
        <v>-259.05399999999997</v>
      </c>
      <c r="G178">
        <f>-53.224*G149</f>
        <v>-53.223999999999997</v>
      </c>
      <c r="H178">
        <f>-3.925*H149</f>
        <v>-3.9249999999999998</v>
      </c>
      <c r="I178">
        <f>-7.622*I149</f>
        <v>-7.6219999999999999</v>
      </c>
      <c r="J178">
        <f>-8.079*J149</f>
        <v>-8.0790000000000006</v>
      </c>
      <c r="K178">
        <f t="shared" si="14"/>
        <v>-20.974</v>
      </c>
      <c r="L178">
        <f t="shared" si="15"/>
        <v>-332.476</v>
      </c>
    </row>
    <row r="179" spans="3:12" x14ac:dyDescent="0.3">
      <c r="C179">
        <v>3.81</v>
      </c>
      <c r="D179">
        <f>-0.572*D149</f>
        <v>-0.57199999999999995</v>
      </c>
      <c r="E179">
        <f>52.448*E149*D145*D143</f>
        <v>52.448</v>
      </c>
      <c r="F179">
        <f>-246.761*F149*D145*D143</f>
        <v>-246.761</v>
      </c>
      <c r="G179">
        <f>-53.208*G149</f>
        <v>-53.207999999999998</v>
      </c>
      <c r="H179">
        <f>-3.924*H149</f>
        <v>-3.9239999999999999</v>
      </c>
      <c r="I179">
        <f>-7.62*I149</f>
        <v>-7.62</v>
      </c>
      <c r="J179">
        <f>-8.077*J149</f>
        <v>-8.077</v>
      </c>
      <c r="K179">
        <f t="shared" si="14"/>
        <v>-20.953000000000003</v>
      </c>
      <c r="L179">
        <f t="shared" si="15"/>
        <v>-320.16199999999998</v>
      </c>
    </row>
    <row r="183" spans="3:12" s="2" customFormat="1" ht="28.8" x14ac:dyDescent="0.55000000000000004">
      <c r="C183" s="1" t="s">
        <v>33</v>
      </c>
    </row>
    <row r="186" spans="3:12" x14ac:dyDescent="0.3">
      <c r="C186" s="3" t="s">
        <v>5</v>
      </c>
      <c r="D186" s="3">
        <v>1</v>
      </c>
    </row>
    <row r="187" spans="3:12" x14ac:dyDescent="0.3">
      <c r="C187" s="3" t="s">
        <v>6</v>
      </c>
      <c r="D187" s="3">
        <v>1</v>
      </c>
    </row>
    <row r="188" spans="3:12" x14ac:dyDescent="0.3">
      <c r="C188" s="3" t="s">
        <v>7</v>
      </c>
      <c r="D188" s="3">
        <v>1</v>
      </c>
    </row>
    <row r="191" spans="3:12" x14ac:dyDescent="0.3">
      <c r="C191" t="s">
        <v>27</v>
      </c>
    </row>
    <row r="192" spans="3:12" x14ac:dyDescent="0.3">
      <c r="C192" s="4" t="s">
        <v>9</v>
      </c>
      <c r="D192" s="4">
        <v>1</v>
      </c>
      <c r="E192" s="4">
        <v>1</v>
      </c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/>
      <c r="L192" s="4"/>
    </row>
    <row r="193" spans="3:12" x14ac:dyDescent="0.3">
      <c r="C193" t="s">
        <v>10</v>
      </c>
      <c r="D193" t="s">
        <v>11</v>
      </c>
      <c r="E193" t="s">
        <v>12</v>
      </c>
      <c r="F193" t="s">
        <v>13</v>
      </c>
      <c r="G193" t="s">
        <v>14</v>
      </c>
      <c r="H193" t="s">
        <v>15</v>
      </c>
      <c r="I193" t="s">
        <v>16</v>
      </c>
      <c r="J193" t="s">
        <v>17</v>
      </c>
      <c r="K193" t="s">
        <v>18</v>
      </c>
      <c r="L193" t="s">
        <v>19</v>
      </c>
    </row>
    <row r="194" spans="3:12" x14ac:dyDescent="0.3">
      <c r="C194">
        <v>0</v>
      </c>
      <c r="D194">
        <f>-0.3254*D192</f>
        <v>-0.32540000000000002</v>
      </c>
      <c r="E194">
        <f>308.4025*E192*D187*D186</f>
        <v>308.40249999999997</v>
      </c>
      <c r="F194">
        <f>-281.8041*F192*D187*D186</f>
        <v>-281.80410000000001</v>
      </c>
      <c r="G194">
        <f>-33.3892*G192</f>
        <v>-33.389200000000002</v>
      </c>
      <c r="H194">
        <f>-2.2343*H192</f>
        <v>-2.2343000000000002</v>
      </c>
      <c r="I194">
        <f>-4.3384*I192</f>
        <v>-4.3384</v>
      </c>
      <c r="J194">
        <f>-4.5987*J192</f>
        <v>-4.5987</v>
      </c>
      <c r="K194">
        <f t="shared" ref="K194:K205" si="16">SUM(D194+E194+G194+H194+I194+J194)</f>
        <v>263.51649999999995</v>
      </c>
      <c r="L194">
        <f t="shared" ref="L194:L205" si="17">SUM(D194+F194+G194+H194+I194+J194)</f>
        <v>-326.69010000000003</v>
      </c>
    </row>
    <row r="195" spans="3:12" x14ac:dyDescent="0.3">
      <c r="C195">
        <v>0.47525000000000001</v>
      </c>
      <c r="D195">
        <f>-0.0707*D192</f>
        <v>-7.0699999999999999E-2</v>
      </c>
      <c r="E195">
        <f>341.6806*E192*D187*D186</f>
        <v>341.68060000000003</v>
      </c>
      <c r="F195">
        <f>-244.3598*F192*D187*D186</f>
        <v>-244.35980000000001</v>
      </c>
      <c r="G195">
        <f>-9.8942*G192</f>
        <v>-9.8941999999999997</v>
      </c>
      <c r="H195">
        <f>-0.4856*H192</f>
        <v>-0.48559999999999998</v>
      </c>
      <c r="I195">
        <f>-0.9428*I192</f>
        <v>-0.94279999999999997</v>
      </c>
      <c r="J195">
        <f>-0.9994*J192</f>
        <v>-0.99939999999999996</v>
      </c>
      <c r="K195">
        <f t="shared" si="16"/>
        <v>329.28790000000009</v>
      </c>
      <c r="L195">
        <f t="shared" si="17"/>
        <v>-256.7525</v>
      </c>
    </row>
    <row r="196" spans="3:12" x14ac:dyDescent="0.3">
      <c r="C196">
        <v>0.76200000000000001</v>
      </c>
      <c r="D196">
        <f>0.0666*D192</f>
        <v>6.6600000000000006E-2</v>
      </c>
      <c r="E196">
        <f>358.8915*E192*D187*D186</f>
        <v>358.89150000000001</v>
      </c>
      <c r="F196">
        <f>-232.9232*F192*D187*D186</f>
        <v>-232.92320000000001</v>
      </c>
      <c r="G196">
        <f>2.5945*G192</f>
        <v>2.5945</v>
      </c>
      <c r="H196">
        <f>0.457*H192</f>
        <v>0.45700000000000002</v>
      </c>
      <c r="I196">
        <f>0.8874*I192</f>
        <v>0.88739999999999997</v>
      </c>
      <c r="J196">
        <f>0.9407*J192</f>
        <v>0.94069999999999998</v>
      </c>
      <c r="K196">
        <f t="shared" si="16"/>
        <v>363.83769999999998</v>
      </c>
      <c r="L196">
        <f t="shared" si="17"/>
        <v>-227.977</v>
      </c>
    </row>
    <row r="197" spans="3:12" x14ac:dyDescent="0.3">
      <c r="C197">
        <v>0.95150000000000001</v>
      </c>
      <c r="D197">
        <f>0.1505*D192</f>
        <v>0.15049999999999999</v>
      </c>
      <c r="E197">
        <f>377.7945*E192*D187*D186</f>
        <v>377.79450000000003</v>
      </c>
      <c r="F197">
        <f>-225.3653*F192*D187*D186</f>
        <v>-225.36529999999999</v>
      </c>
      <c r="G197">
        <f>10.1741*G192</f>
        <v>10.174099999999999</v>
      </c>
      <c r="H197">
        <f>1.0335*H192</f>
        <v>1.0335000000000001</v>
      </c>
      <c r="I197">
        <f>2.0067*I192</f>
        <v>2.0066999999999999</v>
      </c>
      <c r="J197">
        <f>2.1272*J192</f>
        <v>2.1272000000000002</v>
      </c>
      <c r="K197">
        <f t="shared" si="16"/>
        <v>393.2865000000001</v>
      </c>
      <c r="L197">
        <f t="shared" si="17"/>
        <v>-209.8733</v>
      </c>
    </row>
    <row r="198" spans="3:12" x14ac:dyDescent="0.3">
      <c r="C198">
        <v>1.4277500000000001</v>
      </c>
      <c r="D198">
        <f>0.3377*D192</f>
        <v>0.3377</v>
      </c>
      <c r="E198">
        <f>410.98*E192*D187*D186</f>
        <v>410.98</v>
      </c>
      <c r="F198">
        <f>-206.3707*F192*D187*D186</f>
        <v>-206.3707</v>
      </c>
      <c r="G198">
        <f>26.9127*G192</f>
        <v>26.912700000000001</v>
      </c>
      <c r="H198">
        <f>2.3189*H192</f>
        <v>2.3189000000000002</v>
      </c>
      <c r="I198">
        <f>4.5027*I192</f>
        <v>4.5026999999999999</v>
      </c>
      <c r="J198">
        <f>4.7729*J192</f>
        <v>4.7728999999999999</v>
      </c>
      <c r="K198">
        <f t="shared" si="16"/>
        <v>449.82490000000001</v>
      </c>
      <c r="L198">
        <f t="shared" si="17"/>
        <v>-167.52579999999998</v>
      </c>
    </row>
    <row r="199" spans="3:12" x14ac:dyDescent="0.3">
      <c r="C199">
        <v>1.9039999999999999</v>
      </c>
      <c r="D199">
        <f>0.4909*D192</f>
        <v>0.4909</v>
      </c>
      <c r="E199">
        <f>443.7817*E192*D187*D186</f>
        <v>443.7817</v>
      </c>
      <c r="F199">
        <f>-187.3762*F192*D187*D186</f>
        <v>-187.37620000000001</v>
      </c>
      <c r="G199">
        <f>40.4322*G192</f>
        <v>40.432200000000002</v>
      </c>
      <c r="H199">
        <f>3.3707*H192</f>
        <v>3.3706999999999998</v>
      </c>
      <c r="I199">
        <f>6.545*I192</f>
        <v>6.5449999999999999</v>
      </c>
      <c r="J199">
        <f>6.9377*J192</f>
        <v>6.9377000000000004</v>
      </c>
      <c r="K199">
        <f t="shared" si="16"/>
        <v>501.55820000000006</v>
      </c>
      <c r="L199">
        <f t="shared" si="17"/>
        <v>-129.59970000000001</v>
      </c>
    </row>
    <row r="200" spans="3:12" x14ac:dyDescent="0.3">
      <c r="C200">
        <v>2.286</v>
      </c>
      <c r="D200">
        <f>0.5891*D192</f>
        <v>0.58909999999999996</v>
      </c>
      <c r="E200">
        <f>463.1678*E192*D187*D186</f>
        <v>463.1678</v>
      </c>
      <c r="F200">
        <f>-172.1407*F192*D187*D186</f>
        <v>-172.14070000000001</v>
      </c>
      <c r="G200">
        <f>49.0225*G192</f>
        <v>49.022500000000001</v>
      </c>
      <c r="H200">
        <f>4.0455*H192</f>
        <v>4.0454999999999997</v>
      </c>
      <c r="I200">
        <f>7.8553*I192</f>
        <v>7.8552999999999997</v>
      </c>
      <c r="J200">
        <f>8.3266*J192</f>
        <v>8.3265999999999991</v>
      </c>
      <c r="K200">
        <f t="shared" si="16"/>
        <v>533.0068</v>
      </c>
      <c r="L200">
        <f t="shared" si="17"/>
        <v>-102.3017</v>
      </c>
    </row>
    <row r="201" spans="3:12" x14ac:dyDescent="0.3">
      <c r="C201">
        <v>2.3802500000000002</v>
      </c>
      <c r="D201">
        <f>0.61*D192</f>
        <v>0.61</v>
      </c>
      <c r="E201">
        <f>469.324*E192*D187*D186</f>
        <v>469.32400000000001</v>
      </c>
      <c r="F201">
        <f>-168.3817*F192*D187*D186</f>
        <v>-168.3817</v>
      </c>
      <c r="G201">
        <f>50.8405*G192</f>
        <v>50.840499999999999</v>
      </c>
      <c r="H201">
        <f>4.1889*H192</f>
        <v>4.1889000000000003</v>
      </c>
      <c r="I201">
        <f>8.1337*I192</f>
        <v>8.1336999999999993</v>
      </c>
      <c r="J201">
        <f>8.6217*J192</f>
        <v>8.6217000000000006</v>
      </c>
      <c r="K201">
        <f t="shared" si="16"/>
        <v>541.71879999999999</v>
      </c>
      <c r="L201">
        <f t="shared" si="17"/>
        <v>-95.986899999999977</v>
      </c>
    </row>
    <row r="202" spans="3:12" x14ac:dyDescent="0.3">
      <c r="C202">
        <v>2.8565</v>
      </c>
      <c r="D202">
        <f>0.6952*D192</f>
        <v>0.69520000000000004</v>
      </c>
      <c r="E202">
        <f>485.8504*E192*D187*D186</f>
        <v>485.85039999999998</v>
      </c>
      <c r="F202">
        <f>-149.3871*F192*D187*D186</f>
        <v>-149.3871</v>
      </c>
      <c r="G202">
        <f>58.2258*G192</f>
        <v>58.2258</v>
      </c>
      <c r="H202">
        <f>4.7734*H192</f>
        <v>4.7733999999999996</v>
      </c>
      <c r="I202">
        <f>9.2688*I192</f>
        <v>9.2688000000000006</v>
      </c>
      <c r="J202">
        <f>9.8249*J192</f>
        <v>9.8248999999999995</v>
      </c>
      <c r="K202">
        <f t="shared" si="16"/>
        <v>568.63850000000002</v>
      </c>
      <c r="L202">
        <f t="shared" si="17"/>
        <v>-66.599000000000018</v>
      </c>
    </row>
    <row r="203" spans="3:12" x14ac:dyDescent="0.3">
      <c r="C203">
        <v>3.3327499999999999</v>
      </c>
      <c r="D203">
        <f>0.7463*D192</f>
        <v>0.74629999999999996</v>
      </c>
      <c r="E203">
        <f>493.2244*E192*D187*D186</f>
        <v>493.2244</v>
      </c>
      <c r="F203">
        <f>-130.3926*F192*D187*D186</f>
        <v>-130.39259999999999</v>
      </c>
      <c r="G203">
        <f>62.632*G192</f>
        <v>62.631999999999998</v>
      </c>
      <c r="H203">
        <f>5.1244*H192</f>
        <v>5.1243999999999996</v>
      </c>
      <c r="I203">
        <f>9.9502*I192</f>
        <v>9.9502000000000006</v>
      </c>
      <c r="J203">
        <f>10.5472*J192</f>
        <v>10.5472</v>
      </c>
      <c r="K203">
        <f t="shared" si="16"/>
        <v>582.22450000000003</v>
      </c>
      <c r="L203">
        <f t="shared" si="17"/>
        <v>-41.392499999999984</v>
      </c>
    </row>
    <row r="204" spans="3:12" x14ac:dyDescent="0.3">
      <c r="C204">
        <v>3.8090000000000002</v>
      </c>
      <c r="D204">
        <f>0.7634*D192</f>
        <v>0.76339999999999997</v>
      </c>
      <c r="E204">
        <f>491.4376*E192*D187*D186</f>
        <v>491.43759999999997</v>
      </c>
      <c r="F204">
        <f>-111.3981*F192*D187*D186</f>
        <v>-111.3981</v>
      </c>
      <c r="G204">
        <f>64.0967*G192</f>
        <v>64.096699999999998</v>
      </c>
      <c r="H204">
        <f>5.2417*H192</f>
        <v>5.2416999999999998</v>
      </c>
      <c r="I204">
        <f>10.178*I192</f>
        <v>10.178000000000001</v>
      </c>
      <c r="J204">
        <f>10.7887*J192</f>
        <v>10.7887</v>
      </c>
      <c r="K204">
        <f t="shared" si="16"/>
        <v>582.50609999999995</v>
      </c>
      <c r="L204">
        <f t="shared" si="17"/>
        <v>-20.329599999999992</v>
      </c>
    </row>
    <row r="205" spans="3:12" x14ac:dyDescent="0.3">
      <c r="C205">
        <v>3.81</v>
      </c>
      <c r="D205">
        <f>0.7634*D192</f>
        <v>0.76339999999999997</v>
      </c>
      <c r="E205">
        <f>491.3977*E192*D187*D186</f>
        <v>491.39769999999999</v>
      </c>
      <c r="F205">
        <f>-111.3582*F192*D187*D186</f>
        <v>-111.3582</v>
      </c>
      <c r="G205">
        <f>64.0967*G192</f>
        <v>64.096699999999998</v>
      </c>
      <c r="H205">
        <f>5.2417*H192</f>
        <v>5.2416999999999998</v>
      </c>
      <c r="I205">
        <f>10.178*I192</f>
        <v>10.178000000000001</v>
      </c>
      <c r="J205">
        <f>10.7887*J192</f>
        <v>10.7887</v>
      </c>
      <c r="K205">
        <f t="shared" si="16"/>
        <v>582.46619999999996</v>
      </c>
      <c r="L205">
        <f t="shared" si="17"/>
        <v>-20.289699999999989</v>
      </c>
    </row>
    <row r="209" spans="3:12" x14ac:dyDescent="0.3">
      <c r="C209" t="s">
        <v>28</v>
      </c>
    </row>
    <row r="210" spans="3:12" x14ac:dyDescent="0.3">
      <c r="C210" t="s">
        <v>10</v>
      </c>
      <c r="D210" t="s">
        <v>11</v>
      </c>
      <c r="E210" t="s">
        <v>12</v>
      </c>
      <c r="F210" t="s">
        <v>13</v>
      </c>
      <c r="G210" t="s">
        <v>14</v>
      </c>
      <c r="H210" t="s">
        <v>15</v>
      </c>
      <c r="I210" t="s">
        <v>16</v>
      </c>
      <c r="J210" t="s">
        <v>17</v>
      </c>
      <c r="K210" t="s">
        <v>18</v>
      </c>
      <c r="L210" t="s">
        <v>19</v>
      </c>
    </row>
    <row r="211" spans="3:12" x14ac:dyDescent="0.3">
      <c r="C211">
        <v>0</v>
      </c>
      <c r="D211">
        <f>-0.572*D192</f>
        <v>-0.57199999999999995</v>
      </c>
      <c r="E211">
        <f>52.448*E192*D188*D186</f>
        <v>52.448</v>
      </c>
      <c r="F211">
        <f>-246.761*F192*D188*D186</f>
        <v>-246.761</v>
      </c>
      <c r="G211">
        <f>-53.208*G192</f>
        <v>-53.207999999999998</v>
      </c>
      <c r="H211">
        <f>-3.924*H192</f>
        <v>-3.9239999999999999</v>
      </c>
      <c r="I211">
        <f>-7.62*I192</f>
        <v>-7.62</v>
      </c>
      <c r="J211">
        <f>-8.077*J192</f>
        <v>-8.077</v>
      </c>
      <c r="K211">
        <f t="shared" ref="K211:K222" si="18">SUM(D211+E211+G211+H211+I211+J211)</f>
        <v>-20.953000000000003</v>
      </c>
      <c r="L211">
        <f t="shared" ref="L211:L222" si="19">SUM(D211+F211+G211+H211+I211+J211)</f>
        <v>-320.16199999999998</v>
      </c>
    </row>
    <row r="212" spans="3:12" x14ac:dyDescent="0.3">
      <c r="C212">
        <v>0.47525000000000001</v>
      </c>
      <c r="D212">
        <f>-0.5*D192</f>
        <v>-0.5</v>
      </c>
      <c r="E212">
        <f>62.457*E192*D188*D186</f>
        <v>62.457000000000001</v>
      </c>
      <c r="F212">
        <f>-246.761*F192*D188*D186</f>
        <v>-246.761</v>
      </c>
      <c r="G212">
        <f>-45.729*G192</f>
        <v>-45.728999999999999</v>
      </c>
      <c r="H212">
        <f>-3.435*H192</f>
        <v>-3.4350000000000001</v>
      </c>
      <c r="I212">
        <f>-6.67*I192</f>
        <v>-6.67</v>
      </c>
      <c r="J212">
        <f>-7.07*J192</f>
        <v>-7.07</v>
      </c>
      <c r="K212">
        <f t="shared" si="18"/>
        <v>-0.94699999999999918</v>
      </c>
      <c r="L212">
        <f t="shared" si="19"/>
        <v>-310.16500000000002</v>
      </c>
    </row>
    <row r="213" spans="3:12" x14ac:dyDescent="0.3">
      <c r="C213">
        <v>0.76200000000000001</v>
      </c>
      <c r="D213">
        <f>-0.457*D192</f>
        <v>-0.45700000000000002</v>
      </c>
      <c r="E213">
        <f>62.457*E192*D188*D186</f>
        <v>62.457000000000001</v>
      </c>
      <c r="F213">
        <f>-233.586*F192*D188*D186</f>
        <v>-233.58600000000001</v>
      </c>
      <c r="G213">
        <f>-41.4*G192</f>
        <v>-41.4</v>
      </c>
      <c r="H213">
        <f>-3.139*H192</f>
        <v>-3.1389999999999998</v>
      </c>
      <c r="I213">
        <f>-6.096*I192</f>
        <v>-6.0960000000000001</v>
      </c>
      <c r="J213">
        <f>-6.462*J192</f>
        <v>-6.4619999999999997</v>
      </c>
      <c r="K213">
        <f t="shared" si="18"/>
        <v>4.9030000000000022</v>
      </c>
      <c r="L213">
        <f t="shared" si="19"/>
        <v>-291.14</v>
      </c>
    </row>
    <row r="214" spans="3:12" x14ac:dyDescent="0.3">
      <c r="C214">
        <v>0.95150000000000001</v>
      </c>
      <c r="D214">
        <f>-0.429*D192</f>
        <v>-0.42899999999999999</v>
      </c>
      <c r="E214">
        <f>72.866*E192*D188*D186</f>
        <v>72.866</v>
      </c>
      <c r="F214">
        <f>-233.586*F192*D188*D186</f>
        <v>-233.58600000000001</v>
      </c>
      <c r="G214">
        <f>-38.602*G192</f>
        <v>-38.601999999999997</v>
      </c>
      <c r="H214">
        <f>-2.944*H192</f>
        <v>-2.944</v>
      </c>
      <c r="I214">
        <f>-5.717*I192</f>
        <v>-5.7169999999999996</v>
      </c>
      <c r="J214">
        <f>-6.06*J192</f>
        <v>-6.06</v>
      </c>
      <c r="K214">
        <f t="shared" si="18"/>
        <v>19.114000000000004</v>
      </c>
      <c r="L214">
        <f t="shared" si="19"/>
        <v>-287.33800000000002</v>
      </c>
    </row>
    <row r="215" spans="3:12" x14ac:dyDescent="0.3">
      <c r="C215">
        <v>1.4277500000000001</v>
      </c>
      <c r="D215">
        <f>-0.357*D192</f>
        <v>-0.35699999999999998</v>
      </c>
      <c r="E215">
        <f>84.537*E192*D188*D186</f>
        <v>84.537000000000006</v>
      </c>
      <c r="F215">
        <f>-219.577*F192*D188*D186</f>
        <v>-219.577</v>
      </c>
      <c r="G215">
        <f>-31.729*G192</f>
        <v>-31.728999999999999</v>
      </c>
      <c r="H215">
        <f>-2.454*H192</f>
        <v>-2.4540000000000002</v>
      </c>
      <c r="I215">
        <f>-4.765*I192</f>
        <v>-4.7649999999999997</v>
      </c>
      <c r="J215">
        <f>-5.05*J192</f>
        <v>-5.05</v>
      </c>
      <c r="K215">
        <f t="shared" si="18"/>
        <v>40.182000000000009</v>
      </c>
      <c r="L215">
        <f t="shared" si="19"/>
        <v>-263.93200000000002</v>
      </c>
    </row>
    <row r="216" spans="3:12" x14ac:dyDescent="0.3">
      <c r="C216">
        <v>1.9039999999999999</v>
      </c>
      <c r="D216">
        <f>-0.286*D192</f>
        <v>-0.28599999999999998</v>
      </c>
      <c r="E216">
        <f>96.661*E192*D188*D186</f>
        <v>96.661000000000001</v>
      </c>
      <c r="F216">
        <f>-204.813*F192*D188*D186</f>
        <v>-204.81299999999999</v>
      </c>
      <c r="G216">
        <f>-25.083*G192</f>
        <v>-25.082999999999998</v>
      </c>
      <c r="H216">
        <f>-1.963*H192</f>
        <v>-1.9630000000000001</v>
      </c>
      <c r="I216">
        <f>-3.812*I192</f>
        <v>-3.8119999999999998</v>
      </c>
      <c r="J216">
        <f>-4.041*J192</f>
        <v>-4.0410000000000004</v>
      </c>
      <c r="K216">
        <f t="shared" si="18"/>
        <v>61.476000000000013</v>
      </c>
      <c r="L216">
        <f t="shared" si="19"/>
        <v>-239.99799999999999</v>
      </c>
    </row>
    <row r="217" spans="3:12" x14ac:dyDescent="0.3">
      <c r="C217">
        <v>2.286</v>
      </c>
      <c r="D217">
        <f>-0.229*D192</f>
        <v>-0.22900000000000001</v>
      </c>
      <c r="E217">
        <f>96.661*E192*D188*D186</f>
        <v>96.661000000000001</v>
      </c>
      <c r="F217">
        <f>-189.391*F192*D188*D186</f>
        <v>-189.39099999999999</v>
      </c>
      <c r="G217">
        <f>-19.917*G192</f>
        <v>-19.917000000000002</v>
      </c>
      <c r="H217">
        <f>-1.57*H192</f>
        <v>-1.57</v>
      </c>
      <c r="I217">
        <f>-3.048*I192</f>
        <v>-3.048</v>
      </c>
      <c r="J217">
        <f>-3.231*J192</f>
        <v>-3.2309999999999999</v>
      </c>
      <c r="K217">
        <f t="shared" si="18"/>
        <v>68.666000000000011</v>
      </c>
      <c r="L217">
        <f t="shared" si="19"/>
        <v>-217.386</v>
      </c>
    </row>
    <row r="218" spans="3:12" x14ac:dyDescent="0.3">
      <c r="C218">
        <v>2.3802500000000002</v>
      </c>
      <c r="D218">
        <f>-0.214*D192</f>
        <v>-0.214</v>
      </c>
      <c r="E218">
        <f>109.127*E192*D188*D186</f>
        <v>109.127</v>
      </c>
      <c r="F218">
        <f>-189.391*F192*D188*D186</f>
        <v>-189.39099999999999</v>
      </c>
      <c r="G218">
        <f>-18.661*G192</f>
        <v>-18.661000000000001</v>
      </c>
      <c r="H218">
        <f>-1.473*H192</f>
        <v>-1.4730000000000001</v>
      </c>
      <c r="I218">
        <f>-2.86*I192</f>
        <v>-2.86</v>
      </c>
      <c r="J218">
        <f>-3.031*J192</f>
        <v>-3.0310000000000001</v>
      </c>
      <c r="K218">
        <f t="shared" si="18"/>
        <v>82.887999999999991</v>
      </c>
      <c r="L218">
        <f t="shared" si="19"/>
        <v>-215.63000000000002</v>
      </c>
    </row>
    <row r="219" spans="3:12" x14ac:dyDescent="0.3">
      <c r="C219">
        <v>2.8565</v>
      </c>
      <c r="D219">
        <f>-0.143*D192</f>
        <v>-0.14299999999999999</v>
      </c>
      <c r="E219">
        <f>121.876*E192*D188*D186</f>
        <v>121.876</v>
      </c>
      <c r="F219">
        <f>-173.907*F192*D188*D186</f>
        <v>-173.90700000000001</v>
      </c>
      <c r="G219">
        <f>-12.366*G192</f>
        <v>-12.366</v>
      </c>
      <c r="H219">
        <f>-0.982*H192</f>
        <v>-0.98199999999999998</v>
      </c>
      <c r="I219">
        <f>-1.907*I192</f>
        <v>-1.907</v>
      </c>
      <c r="J219">
        <f>-2.022*J192</f>
        <v>-2.0219999999999998</v>
      </c>
      <c r="K219">
        <f t="shared" si="18"/>
        <v>104.456</v>
      </c>
      <c r="L219">
        <f t="shared" si="19"/>
        <v>-191.327</v>
      </c>
    </row>
    <row r="220" spans="3:12" x14ac:dyDescent="0.3">
      <c r="C220">
        <v>3.3327499999999999</v>
      </c>
      <c r="D220">
        <f>-0.072*D192</f>
        <v>-7.1999999999999995E-2</v>
      </c>
      <c r="E220">
        <f>134.824*E192*D188*D186</f>
        <v>134.82400000000001</v>
      </c>
      <c r="F220">
        <f>-160.984*F192*D188*D186</f>
        <v>-160.98400000000001</v>
      </c>
      <c r="G220">
        <f>-6.15*G192</f>
        <v>-6.15</v>
      </c>
      <c r="H220">
        <f>-0.492*H192</f>
        <v>-0.49199999999999999</v>
      </c>
      <c r="I220">
        <f>-0.955*I192</f>
        <v>-0.95499999999999996</v>
      </c>
      <c r="J220">
        <f>-1.012*J192</f>
        <v>-1.012</v>
      </c>
      <c r="K220">
        <f t="shared" si="18"/>
        <v>126.14300000000001</v>
      </c>
      <c r="L220">
        <f t="shared" si="19"/>
        <v>-169.66500000000002</v>
      </c>
    </row>
    <row r="221" spans="3:12" x14ac:dyDescent="0.3">
      <c r="C221">
        <v>3.8090000000000002</v>
      </c>
      <c r="D221">
        <f>-0.0001569*D192</f>
        <v>-1.5689999999999999E-4</v>
      </c>
      <c r="E221">
        <f>147.877*E192*D188*D186</f>
        <v>147.87700000000001</v>
      </c>
      <c r="F221">
        <f>-147.935*F192*D188*D186</f>
        <v>-147.935</v>
      </c>
      <c r="G221">
        <f>-0.014*G192</f>
        <v>-1.4E-2</v>
      </c>
      <c r="H221">
        <f>-0.001078*H192</f>
        <v>-1.078E-3</v>
      </c>
      <c r="I221">
        <f>-0.002092*I192</f>
        <v>-2.0920000000000001E-3</v>
      </c>
      <c r="J221">
        <f>-0.002218*J192</f>
        <v>-2.2179999999999999E-3</v>
      </c>
      <c r="K221">
        <f t="shared" si="18"/>
        <v>147.85745509999998</v>
      </c>
      <c r="L221">
        <f t="shared" si="19"/>
        <v>-147.95454490000003</v>
      </c>
    </row>
    <row r="222" spans="3:12" x14ac:dyDescent="0.3">
      <c r="C222">
        <v>3.81</v>
      </c>
      <c r="D222">
        <f>-0.00000692*D192</f>
        <v>-6.9199999999999998E-6</v>
      </c>
      <c r="E222">
        <f>147.877*E192*D188*D186</f>
        <v>147.87700000000001</v>
      </c>
      <c r="F222">
        <f>-134.882*F192*D188*D186</f>
        <v>-134.88200000000001</v>
      </c>
      <c r="G222">
        <f>-0.001021*G192</f>
        <v>-1.021E-3</v>
      </c>
      <c r="H222">
        <f>-0.00004752*H192</f>
        <v>-4.7519999999999999E-5</v>
      </c>
      <c r="I222">
        <f>-0.00009227*I192</f>
        <v>-9.2269999999999996E-5</v>
      </c>
      <c r="J222">
        <f>-0.00009781*J192</f>
        <v>-9.781E-5</v>
      </c>
      <c r="K222">
        <f t="shared" si="18"/>
        <v>147.87573447999998</v>
      </c>
      <c r="L222">
        <f t="shared" si="19"/>
        <v>-134.88326552000004</v>
      </c>
    </row>
  </sheetData>
  <pageMargins left="0.7" right="0.7" top="0.75" bottom="0.75" header="0.3" footer="0.3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S140"/>
  <sheetViews>
    <sheetView topLeftCell="A16" workbookViewId="0">
      <selection activeCell="Q16" sqref="Q16"/>
    </sheetView>
  </sheetViews>
  <sheetFormatPr defaultRowHeight="14.4" x14ac:dyDescent="0.3"/>
  <cols>
    <col min="3" max="8" width="10.44140625" customWidth="1"/>
    <col min="14" max="19" width="10.44140625" customWidth="1"/>
  </cols>
  <sheetData>
    <row r="7" spans="3:19" x14ac:dyDescent="0.3">
      <c r="N7" s="5" t="s">
        <v>34</v>
      </c>
    </row>
    <row r="8" spans="3:19" x14ac:dyDescent="0.3">
      <c r="N8" s="6" t="s">
        <v>35</v>
      </c>
      <c r="O8" s="6">
        <v>10</v>
      </c>
    </row>
    <row r="10" spans="3:19" x14ac:dyDescent="0.3">
      <c r="N10" t="s">
        <v>36</v>
      </c>
      <c r="O10" s="7" t="s">
        <v>37</v>
      </c>
      <c r="P10" s="7" t="s">
        <v>38</v>
      </c>
      <c r="Q10" s="7" t="s">
        <v>39</v>
      </c>
      <c r="R10" s="7" t="s">
        <v>40</v>
      </c>
      <c r="S10" s="7" t="s">
        <v>41</v>
      </c>
    </row>
    <row r="11" spans="3:19" x14ac:dyDescent="0.3">
      <c r="N11" t="s">
        <v>42</v>
      </c>
      <c r="O11" s="7">
        <v>21.580249999999999</v>
      </c>
      <c r="P11" s="7">
        <v>450.08109999999999</v>
      </c>
      <c r="Q11" s="7">
        <v>-167.35149999999999</v>
      </c>
      <c r="R11" s="7">
        <v>263.82799999999997</v>
      </c>
      <c r="S11" s="7">
        <v>-40.274000000000001</v>
      </c>
    </row>
    <row r="12" spans="3:19" x14ac:dyDescent="0.3">
      <c r="N12" s="5" t="s">
        <v>35</v>
      </c>
      <c r="O12" s="8">
        <v>22</v>
      </c>
      <c r="P12" s="8">
        <f>-((P13-P11)/(O13-O11)*(O13-O12)-P13)</f>
        <v>400.25886824146983</v>
      </c>
      <c r="Q12" s="8">
        <f>-((Q13-Q11)/(O13-O11)*(O13-O12)-Q13)</f>
        <v>-204.65773422572178</v>
      </c>
      <c r="R12" s="8">
        <f>-((R13-R11)/(O13-O11)*(O13-O12)-R13)</f>
        <v>284.45898792650917</v>
      </c>
      <c r="S12" s="8">
        <f>-((S13-S11)/(O13-O11)*(O13-O12)-S13)</f>
        <v>-21.702761679790015</v>
      </c>
    </row>
    <row r="13" spans="3:19" x14ac:dyDescent="0.3">
      <c r="N13" t="s">
        <v>43</v>
      </c>
      <c r="O13" s="7">
        <v>22.0565</v>
      </c>
      <c r="P13" s="7">
        <v>393.55260000000004</v>
      </c>
      <c r="Q13" s="7">
        <v>-209.67929999999998</v>
      </c>
      <c r="R13" s="7">
        <v>287.23599999999999</v>
      </c>
      <c r="S13" s="7">
        <v>-19.202999999999999</v>
      </c>
    </row>
    <row r="15" spans="3:19" x14ac:dyDescent="0.3">
      <c r="C15" t="s">
        <v>44</v>
      </c>
      <c r="D15" t="s">
        <v>10</v>
      </c>
      <c r="E15" t="s">
        <v>45</v>
      </c>
      <c r="F15" t="s">
        <v>46</v>
      </c>
      <c r="G15" t="s">
        <v>47</v>
      </c>
      <c r="H15" t="s">
        <v>48</v>
      </c>
    </row>
    <row r="16" spans="3:19" x14ac:dyDescent="0.3">
      <c r="C16">
        <v>1</v>
      </c>
      <c r="D16">
        <v>0</v>
      </c>
      <c r="E16">
        <f>'[1]Simplified Analysis 1'!K16</f>
        <v>-2.1315000000000002E-14</v>
      </c>
      <c r="F16">
        <f>'[1]Simplified Analysis 1'!L16</f>
        <v>-2.1315000000000002E-14</v>
      </c>
      <c r="G16">
        <f>'[1]Simplified Analysis 1'!K34</f>
        <v>-12.430999999999996</v>
      </c>
      <c r="H16">
        <f>'[1]Simplified Analysis 1'!L34</f>
        <v>-372.464</v>
      </c>
    </row>
    <row r="17" spans="3:8" x14ac:dyDescent="0.3">
      <c r="C17">
        <v>1</v>
      </c>
      <c r="D17">
        <v>0.48237999999999998</v>
      </c>
      <c r="E17">
        <f>'[1]Simplified Analysis 1'!K17</f>
        <v>167.07490000000001</v>
      </c>
      <c r="F17">
        <f>'[1]Simplified Analysis 1'!L17</f>
        <v>3.8894999999999982</v>
      </c>
      <c r="G17">
        <f>'[1]Simplified Analysis 1'!K35</f>
        <v>-3.6919999999999931</v>
      </c>
      <c r="H17">
        <f>'[1]Simplified Analysis 1'!L35</f>
        <v>-341.98800000000006</v>
      </c>
    </row>
    <row r="18" spans="3:8" x14ac:dyDescent="0.3">
      <c r="C18">
        <v>1</v>
      </c>
      <c r="D18">
        <v>0.96475</v>
      </c>
      <c r="E18">
        <f>'[1]Simplified Analysis 1'!K18</f>
        <v>309.3938</v>
      </c>
      <c r="F18">
        <f>'[1]Simplified Analysis 1'!L18</f>
        <v>3.5589000000000013</v>
      </c>
      <c r="G18">
        <f>'[1]Simplified Analysis 1'!K36</f>
        <v>5.0660000000000025</v>
      </c>
      <c r="H18">
        <f>'[1]Simplified Analysis 1'!L36</f>
        <v>-311.94399999999996</v>
      </c>
    </row>
    <row r="19" spans="3:8" x14ac:dyDescent="0.3">
      <c r="C19">
        <v>1</v>
      </c>
      <c r="D19">
        <v>1.44713</v>
      </c>
      <c r="E19">
        <f>'[1]Simplified Analysis 1'!K19</f>
        <v>427.6789</v>
      </c>
      <c r="F19">
        <f>'[1]Simplified Analysis 1'!L19</f>
        <v>-1.0000000000000053</v>
      </c>
      <c r="G19">
        <f>'[1]Simplified Analysis 1'!K37</f>
        <v>22.332000000000001</v>
      </c>
      <c r="H19">
        <f>'[1]Simplified Analysis 1'!L37</f>
        <v>-282.387</v>
      </c>
    </row>
    <row r="20" spans="3:8" x14ac:dyDescent="0.3">
      <c r="C20">
        <v>1</v>
      </c>
      <c r="D20">
        <v>1.5692299999999999</v>
      </c>
      <c r="E20">
        <f>'[1]Simplified Analysis 1'!K20</f>
        <v>444.92919999999998</v>
      </c>
      <c r="F20">
        <f>'[1]Simplified Analysis 1'!L20</f>
        <v>-2.8256999999999923</v>
      </c>
      <c r="G20">
        <f>'[1]Simplified Analysis 1'!K38</f>
        <v>24.553999999999995</v>
      </c>
      <c r="H20">
        <f>'[1]Simplified Analysis 1'!L38</f>
        <v>-259.93900000000002</v>
      </c>
    </row>
    <row r="21" spans="3:8" x14ac:dyDescent="0.3">
      <c r="C21">
        <v>1</v>
      </c>
      <c r="D21">
        <v>1.9295</v>
      </c>
      <c r="E21">
        <f>'[1]Simplified Analysis 1'!K21</f>
        <v>522.74770000000001</v>
      </c>
      <c r="F21">
        <f>'[1]Simplified Analysis 1'!L21</f>
        <v>-9.798</v>
      </c>
      <c r="G21">
        <f>'[1]Simplified Analysis 1'!K39</f>
        <v>40.580999999999996</v>
      </c>
      <c r="H21">
        <f>'[1]Simplified Analysis 1'!L39</f>
        <v>-253.352</v>
      </c>
    </row>
    <row r="22" spans="3:8" x14ac:dyDescent="0.3">
      <c r="C22">
        <v>1</v>
      </c>
      <c r="D22">
        <v>2.41188</v>
      </c>
      <c r="E22">
        <f>'[1]Simplified Analysis 1'!K22</f>
        <v>597.00130000000001</v>
      </c>
      <c r="F22">
        <f>'[1]Simplified Analysis 1'!L22</f>
        <v>-22.865900000000003</v>
      </c>
      <c r="G22">
        <f>'[1]Simplified Analysis 1'!K40</f>
        <v>58.050999999999995</v>
      </c>
      <c r="H22">
        <f>'[1]Simplified Analysis 1'!L40</f>
        <v>-225.46099999999998</v>
      </c>
    </row>
    <row r="23" spans="3:8" x14ac:dyDescent="0.3">
      <c r="C23">
        <v>1</v>
      </c>
      <c r="D23">
        <v>2.68154</v>
      </c>
      <c r="E23">
        <f>'[1]Simplified Analysis 1'!K23</f>
        <v>619.37139999999999</v>
      </c>
      <c r="F23">
        <f>'[1]Simplified Analysis 1'!L23</f>
        <v>-32.047899999999991</v>
      </c>
      <c r="G23">
        <f>'[1]Simplified Analysis 1'!K41</f>
        <v>63.063000000000002</v>
      </c>
      <c r="H23">
        <f>'[1]Simplified Analysis 1'!L41</f>
        <v>-204.33599999999998</v>
      </c>
    </row>
    <row r="24" spans="3:8" x14ac:dyDescent="0.3">
      <c r="C24">
        <v>1</v>
      </c>
      <c r="D24">
        <v>2.89425</v>
      </c>
      <c r="E24">
        <f>'[1]Simplified Analysis 1'!K24</f>
        <v>656.96069999999997</v>
      </c>
      <c r="F24">
        <f>'[1]Simplified Analysis 1'!L24</f>
        <v>-40.246600000000001</v>
      </c>
      <c r="G24">
        <f>'[1]Simplified Analysis 1'!K42</f>
        <v>74.709999999999994</v>
      </c>
      <c r="H24">
        <f>'[1]Simplified Analysis 1'!L42</f>
        <v>-200.36</v>
      </c>
    </row>
    <row r="25" spans="3:8" x14ac:dyDescent="0.3">
      <c r="C25">
        <v>1</v>
      </c>
      <c r="D25">
        <v>3.37663</v>
      </c>
      <c r="E25">
        <f>'[1]Simplified Analysis 1'!K25</f>
        <v>698.89570000000015</v>
      </c>
      <c r="F25">
        <f>'[1]Simplified Analysis 1'!L25</f>
        <v>-61.991199999999999</v>
      </c>
      <c r="G25">
        <f>'[1]Simplified Analysis 1'!K43</f>
        <v>99.48</v>
      </c>
      <c r="H25">
        <f>'[1]Simplified Analysis 1'!L43</f>
        <v>-175.696</v>
      </c>
    </row>
    <row r="26" spans="3:8" x14ac:dyDescent="0.3">
      <c r="C26">
        <v>1</v>
      </c>
      <c r="D26">
        <v>3.7938399999999999</v>
      </c>
      <c r="E26">
        <f>'[1]Simplified Analysis 1'!K26</f>
        <v>713.73629999999991</v>
      </c>
      <c r="F26">
        <f>'[1]Simplified Analysis 1'!L26</f>
        <v>-84.364999999999981</v>
      </c>
      <c r="G26">
        <f>'[1]Simplified Analysis 1'!K44</f>
        <v>107.462</v>
      </c>
      <c r="H26">
        <f>'[1]Simplified Analysis 1'!L44</f>
        <v>-152.74199999999999</v>
      </c>
    </row>
    <row r="27" spans="3:8" x14ac:dyDescent="0.3">
      <c r="C27">
        <v>1</v>
      </c>
      <c r="D27">
        <v>3.859</v>
      </c>
      <c r="E27">
        <f>'[1]Simplified Analysis 1'!K27</f>
        <v>723.64739999999983</v>
      </c>
      <c r="F27">
        <f>'[1]Simplified Analysis 1'!L27</f>
        <v>-88.160399999999996</v>
      </c>
      <c r="G27">
        <f>'[1]Simplified Analysis 1'!K45</f>
        <v>123.84100000000001</v>
      </c>
      <c r="H27">
        <f>'[1]Simplified Analysis 1'!L45</f>
        <v>-151.488</v>
      </c>
    </row>
    <row r="28" spans="3:8" x14ac:dyDescent="0.3">
      <c r="C28">
        <v>1</v>
      </c>
      <c r="D28">
        <v>3.86</v>
      </c>
      <c r="E28">
        <f>'[1]Simplified Analysis 1'!K28</f>
        <v>723.65909999999997</v>
      </c>
      <c r="F28">
        <f>'[1]Simplified Analysis 1'!L28</f>
        <v>-88.219199999999987</v>
      </c>
      <c r="G28">
        <f>'[1]Simplified Analysis 1'!K46</f>
        <v>123.861</v>
      </c>
      <c r="H28">
        <f>'[1]Simplified Analysis 1'!L46</f>
        <v>-137.089</v>
      </c>
    </row>
    <row r="29" spans="3:8" x14ac:dyDescent="0.3">
      <c r="C29">
        <v>2</v>
      </c>
      <c r="D29">
        <v>3.86</v>
      </c>
      <c r="E29">
        <f>'[1]Simplified Analysis 1'!K61</f>
        <v>723.65909999999997</v>
      </c>
      <c r="F29">
        <f>'[1]Simplified Analysis 1'!L61</f>
        <v>-88.219199999999987</v>
      </c>
      <c r="G29">
        <f>'[1]Simplified Analysis 1'!K79</f>
        <v>123.861</v>
      </c>
      <c r="H29">
        <f>'[1]Simplified Analysis 1'!L79</f>
        <v>-137.089</v>
      </c>
    </row>
    <row r="30" spans="3:8" x14ac:dyDescent="0.3">
      <c r="C30">
        <v>2</v>
      </c>
      <c r="D30">
        <v>4.3414999999999999</v>
      </c>
      <c r="E30">
        <f>'[1]Simplified Analysis 1'!K62</f>
        <v>732.05420000000004</v>
      </c>
      <c r="F30">
        <f>'[1]Simplified Analysis 1'!L62</f>
        <v>-118.83170000000001</v>
      </c>
      <c r="G30">
        <f>'[1]Simplified Analysis 1'!K80</f>
        <v>147.60499999999996</v>
      </c>
      <c r="H30">
        <f>'[1]Simplified Analysis 1'!L80</f>
        <v>-127.70200000000001</v>
      </c>
    </row>
    <row r="31" spans="3:8" x14ac:dyDescent="0.3">
      <c r="C31">
        <v>2</v>
      </c>
      <c r="D31">
        <v>4.8239999999999998</v>
      </c>
      <c r="E31">
        <f>'[1]Simplified Analysis 1'!K63</f>
        <v>727.57620000000009</v>
      </c>
      <c r="F31">
        <f>'[1]Simplified Analysis 1'!L63</f>
        <v>-154.08740000000006</v>
      </c>
      <c r="G31">
        <f>'[1]Simplified Analysis 1'!K81</f>
        <v>170.90100000000001</v>
      </c>
      <c r="H31">
        <f>'[1]Simplified Analysis 1'!L81</f>
        <v>-104.327</v>
      </c>
    </row>
    <row r="32" spans="3:8" x14ac:dyDescent="0.3">
      <c r="C32">
        <v>2</v>
      </c>
      <c r="D32">
        <v>4.9061500000000002</v>
      </c>
      <c r="E32">
        <f>'[1]Simplified Analysis 1'!K64</f>
        <v>723.0637999999999</v>
      </c>
      <c r="F32">
        <f>'[1]Simplified Analysis 1'!L64</f>
        <v>-160.55360000000002</v>
      </c>
      <c r="G32">
        <f>'[1]Simplified Analysis 1'!K82</f>
        <v>172.55499999999998</v>
      </c>
      <c r="H32">
        <f>'[1]Simplified Analysis 1'!L82</f>
        <v>-89.494000000000014</v>
      </c>
    </row>
    <row r="33" spans="3:8" x14ac:dyDescent="0.3">
      <c r="C33">
        <v>2</v>
      </c>
      <c r="D33">
        <v>5.3064999999999998</v>
      </c>
      <c r="E33">
        <f>'[1]Simplified Analysis 1'!K65</f>
        <v>714.78599999999994</v>
      </c>
      <c r="F33">
        <f>'[1]Simplified Analysis 1'!L65</f>
        <v>-194.02230000000003</v>
      </c>
      <c r="G33">
        <f>'[1]Simplified Analysis 1'!K83</f>
        <v>199.131</v>
      </c>
      <c r="H33">
        <f>'[1]Simplified Analysis 1'!L83</f>
        <v>-81.342999999999989</v>
      </c>
    </row>
    <row r="34" spans="3:8" x14ac:dyDescent="0.3">
      <c r="C34">
        <v>2</v>
      </c>
      <c r="D34">
        <v>5.7889999999999997</v>
      </c>
      <c r="E34">
        <f>'[1]Simplified Analysis 1'!K66</f>
        <v>687.077</v>
      </c>
      <c r="F34">
        <f>'[1]Simplified Analysis 1'!L66</f>
        <v>-238.74569999999997</v>
      </c>
      <c r="G34">
        <f>'[1]Simplified Analysis 1'!K84</f>
        <v>227.995</v>
      </c>
      <c r="H34">
        <f>'[1]Simplified Analysis 1'!L84</f>
        <v>-58.707999999999991</v>
      </c>
    </row>
    <row r="35" spans="3:8" x14ac:dyDescent="0.3">
      <c r="C35">
        <v>2</v>
      </c>
      <c r="D35">
        <v>6.0184599999999993</v>
      </c>
      <c r="E35">
        <f>'[1]Simplified Analysis 1'!K67</f>
        <v>664.3289000000002</v>
      </c>
      <c r="F35">
        <f>'[1]Simplified Analysis 1'!L67</f>
        <v>-261.72820000000007</v>
      </c>
      <c r="G35">
        <f>'[1]Simplified Analysis 1'!K85</f>
        <v>232.85600000000002</v>
      </c>
      <c r="H35">
        <f>'[1]Simplified Analysis 1'!L85</f>
        <v>-41.83</v>
      </c>
    </row>
    <row r="36" spans="3:8" x14ac:dyDescent="0.3">
      <c r="C36">
        <v>2</v>
      </c>
      <c r="D36">
        <v>6.2714999999999996</v>
      </c>
      <c r="E36">
        <f>'[1]Simplified Analysis 1'!K68</f>
        <v>645.39609999999993</v>
      </c>
      <c r="F36">
        <f>'[1]Simplified Analysis 1'!L68</f>
        <v>-288.37360000000001</v>
      </c>
      <c r="G36">
        <f>'[1]Simplified Analysis 1'!K86</f>
        <v>256.10500000000002</v>
      </c>
      <c r="H36">
        <f>'[1]Simplified Analysis 1'!L86</f>
        <v>-36.403999999999996</v>
      </c>
    </row>
    <row r="37" spans="3:8" x14ac:dyDescent="0.3">
      <c r="C37">
        <v>2</v>
      </c>
      <c r="D37">
        <v>6.7539999999999996</v>
      </c>
      <c r="E37">
        <f>'[1]Simplified Analysis 1'!K69</f>
        <v>589.62450000000013</v>
      </c>
      <c r="F37">
        <f>'[1]Simplified Analysis 1'!L69</f>
        <v>-343.02719999999999</v>
      </c>
      <c r="G37">
        <f>'[1]Simplified Analysis 1'!K87</f>
        <v>283.47000000000003</v>
      </c>
      <c r="H37">
        <f>'[1]Simplified Analysis 1'!L87</f>
        <v>-14.390000000000008</v>
      </c>
    </row>
    <row r="38" spans="3:8" x14ac:dyDescent="0.3">
      <c r="C38">
        <v>2</v>
      </c>
      <c r="D38">
        <v>7.1307700000000001</v>
      </c>
      <c r="E38">
        <f>'[1]Simplified Analysis 1'!K70</f>
        <v>535.26779999999985</v>
      </c>
      <c r="F38">
        <f>'[1]Simplified Analysis 1'!L70</f>
        <v>-389.28049999999996</v>
      </c>
      <c r="G38">
        <f>'[1]Simplified Analysis 1'!K88</f>
        <v>291.88800000000003</v>
      </c>
      <c r="H38">
        <f>'[1]Simplified Analysis 1'!L88</f>
        <v>3.836000000000003</v>
      </c>
    </row>
    <row r="39" spans="3:8" x14ac:dyDescent="0.3">
      <c r="C39">
        <v>2</v>
      </c>
      <c r="D39">
        <v>7.2364999999999995</v>
      </c>
      <c r="E39">
        <f>'[1]Simplified Analysis 1'!K71</f>
        <v>521.08640000000003</v>
      </c>
      <c r="F39">
        <f>'[1]Simplified Analysis 1'!L71</f>
        <v>-402.83339999999998</v>
      </c>
      <c r="G39">
        <f>'[1]Simplified Analysis 1'!K89</f>
        <v>310.10399999999998</v>
      </c>
      <c r="H39">
        <f>'[1]Simplified Analysis 1'!L89</f>
        <v>6.2300000000000058</v>
      </c>
    </row>
    <row r="40" spans="3:8" x14ac:dyDescent="0.3">
      <c r="C40">
        <v>2</v>
      </c>
      <c r="D40">
        <v>7.7189999999999994</v>
      </c>
      <c r="E40">
        <f>'[1]Simplified Analysis 1'!K72</f>
        <v>443.42859999999996</v>
      </c>
      <c r="F40">
        <f>'[1]Simplified Analysis 1'!L72</f>
        <v>-467.93330000000003</v>
      </c>
      <c r="G40">
        <f>'[1]Simplified Analysis 1'!K90</f>
        <v>336.08700000000005</v>
      </c>
      <c r="H40">
        <f>'[1]Simplified Analysis 1'!L90</f>
        <v>26.661999999999992</v>
      </c>
    </row>
    <row r="41" spans="3:8" x14ac:dyDescent="0.3">
      <c r="C41">
        <v>2</v>
      </c>
      <c r="D41">
        <v>7.72</v>
      </c>
      <c r="E41">
        <f>'[1]Simplified Analysis 1'!K73</f>
        <v>443.12909999999999</v>
      </c>
      <c r="F41">
        <f>'[1]Simplified Analysis 1'!L73</f>
        <v>-468.07370000000003</v>
      </c>
      <c r="G41">
        <f>'[1]Simplified Analysis 1'!K91</f>
        <v>336.11100000000005</v>
      </c>
      <c r="H41">
        <f>'[1]Simplified Analysis 1'!L91</f>
        <v>35.543000000000006</v>
      </c>
    </row>
    <row r="42" spans="3:8" x14ac:dyDescent="0.3">
      <c r="C42">
        <v>3</v>
      </c>
      <c r="D42">
        <v>7.72</v>
      </c>
      <c r="E42">
        <f>'[1]Simplified Analysis 1'!K106</f>
        <v>443.12909999999999</v>
      </c>
      <c r="F42">
        <f>'[1]Simplified Analysis 1'!L106</f>
        <v>-468.07370000000003</v>
      </c>
      <c r="G42">
        <f>'[1]Simplified Analysis 1'!K124</f>
        <v>336.11100000000005</v>
      </c>
      <c r="H42">
        <f>'[1]Simplified Analysis 1'!L124</f>
        <v>35.543000000000006</v>
      </c>
    </row>
    <row r="43" spans="3:8" x14ac:dyDescent="0.3">
      <c r="C43">
        <v>3</v>
      </c>
      <c r="D43">
        <v>8.2014999999999993</v>
      </c>
      <c r="E43">
        <f>'[1]Simplified Analysis 1'!K107</f>
        <v>352.31119999999999</v>
      </c>
      <c r="F43">
        <f>'[1]Simplified Analysis 1'!L107</f>
        <v>-538.50020000000006</v>
      </c>
      <c r="G43">
        <f>'[1]Simplified Analysis 1'!K125</f>
        <v>361.47</v>
      </c>
      <c r="H43">
        <f>'[1]Simplified Analysis 1'!L125</f>
        <v>47.033999999999999</v>
      </c>
    </row>
    <row r="44" spans="3:8" x14ac:dyDescent="0.3">
      <c r="C44">
        <v>3</v>
      </c>
      <c r="D44">
        <v>8.2430799999999991</v>
      </c>
      <c r="E44">
        <f>'[1]Simplified Analysis 1'!K108</f>
        <v>338.83289999999994</v>
      </c>
      <c r="F44">
        <f>'[1]Simplified Analysis 1'!L108</f>
        <v>-544.84250000000009</v>
      </c>
      <c r="G44">
        <f>'[1]Simplified Analysis 1'!K126</f>
        <v>362.47800000000001</v>
      </c>
      <c r="H44">
        <f>'[1]Simplified Analysis 1'!L126</f>
        <v>56.498999999999995</v>
      </c>
    </row>
    <row r="45" spans="3:8" x14ac:dyDescent="0.3">
      <c r="C45">
        <v>3</v>
      </c>
      <c r="D45">
        <v>8.6839999999999993</v>
      </c>
      <c r="E45">
        <f>'[1]Simplified Analysis 1'!K109</f>
        <v>248.25390000000002</v>
      </c>
      <c r="F45">
        <f>'[1]Simplified Analysis 1'!L109</f>
        <v>-614.71439999999996</v>
      </c>
      <c r="G45">
        <f>'[1]Simplified Analysis 1'!K127</f>
        <v>386.28899999999999</v>
      </c>
      <c r="H45">
        <f>'[1]Simplified Analysis 1'!L127</f>
        <v>67.394999999999996</v>
      </c>
    </row>
    <row r="46" spans="3:8" x14ac:dyDescent="0.3">
      <c r="C46">
        <v>3</v>
      </c>
      <c r="D46">
        <v>9.1664999999999992</v>
      </c>
      <c r="E46">
        <f>'[1]Simplified Analysis 1'!K110</f>
        <v>136.88250000000005</v>
      </c>
      <c r="F46">
        <f>'[1]Simplified Analysis 1'!L110</f>
        <v>-696.77429999999993</v>
      </c>
      <c r="G46">
        <f>'[1]Simplified Analysis 1'!K128</f>
        <v>410.59999999999997</v>
      </c>
      <c r="H46">
        <f>'[1]Simplified Analysis 1'!L128</f>
        <v>87.808000000000007</v>
      </c>
    </row>
    <row r="47" spans="3:8" x14ac:dyDescent="0.3">
      <c r="C47">
        <v>3</v>
      </c>
      <c r="D47">
        <v>9.3553800000000003</v>
      </c>
      <c r="E47">
        <f>'[1]Simplified Analysis 1'!K111</f>
        <v>83.960200000000015</v>
      </c>
      <c r="F47">
        <f>'[1]Simplified Analysis 1'!L111</f>
        <v>-730.5347999999999</v>
      </c>
      <c r="G47">
        <f>'[1]Simplified Analysis 1'!K129</f>
        <v>415.54100000000011</v>
      </c>
      <c r="H47">
        <f>'[1]Simplified Analysis 1'!L129</f>
        <v>100.49199999999999</v>
      </c>
    </row>
    <row r="48" spans="3:8" x14ac:dyDescent="0.3">
      <c r="C48">
        <v>3</v>
      </c>
      <c r="D48">
        <v>9.6489999999999991</v>
      </c>
      <c r="E48">
        <f>'[1]Simplified Analysis 1'!K112</f>
        <v>18.049299999999992</v>
      </c>
      <c r="F48">
        <f>'[1]Simplified Analysis 1'!L112</f>
        <v>-784.88470000000007</v>
      </c>
      <c r="G48">
        <f>'[1]Simplified Analysis 1'!K130</f>
        <v>434.42599999999999</v>
      </c>
      <c r="H48">
        <f>'[1]Simplified Analysis 1'!L130</f>
        <v>108.30499999999999</v>
      </c>
    </row>
    <row r="49" spans="3:8" x14ac:dyDescent="0.3">
      <c r="C49">
        <v>3</v>
      </c>
      <c r="D49">
        <v>10.131499999999999</v>
      </c>
      <c r="E49">
        <f>'[1]Simplified Analysis 1'!K113</f>
        <v>-95.585399999999979</v>
      </c>
      <c r="F49">
        <f>'[1]Simplified Analysis 1'!L113</f>
        <v>-889.8966999999999</v>
      </c>
      <c r="G49">
        <f>'[1]Simplified Analysis 1'!K131</f>
        <v>457.80700000000002</v>
      </c>
      <c r="H49">
        <f>'[1]Simplified Analysis 1'!L131</f>
        <v>124.874</v>
      </c>
    </row>
    <row r="50" spans="3:8" x14ac:dyDescent="0.3">
      <c r="C50">
        <v>3</v>
      </c>
      <c r="D50">
        <v>10.467689999999999</v>
      </c>
      <c r="E50">
        <f>'[1]Simplified Analysis 1'!K114</f>
        <v>-139.1514</v>
      </c>
      <c r="F50">
        <f>'[1]Simplified Analysis 1'!L114</f>
        <v>-974.65359999999998</v>
      </c>
      <c r="G50">
        <f>'[1]Simplified Analysis 1'!K132</f>
        <v>467.26899999999995</v>
      </c>
      <c r="H50">
        <f>'[1]Simplified Analysis 1'!L132</f>
        <v>134.33599999999998</v>
      </c>
    </row>
    <row r="51" spans="3:8" x14ac:dyDescent="0.3">
      <c r="C51">
        <v>3</v>
      </c>
      <c r="D51">
        <v>10.614000000000001</v>
      </c>
      <c r="E51">
        <f>'[1]Simplified Analysis 1'!K115</f>
        <v>-159.11130000000003</v>
      </c>
      <c r="F51">
        <f>'[1]Simplified Analysis 1'!L115</f>
        <v>-1012.7430000000001</v>
      </c>
      <c r="G51">
        <f>'[1]Simplified Analysis 1'!K133</f>
        <v>480.77900000000005</v>
      </c>
      <c r="H51">
        <f>'[1]Simplified Analysis 1'!L133</f>
        <v>138.52199999999999</v>
      </c>
    </row>
    <row r="52" spans="3:8" x14ac:dyDescent="0.3">
      <c r="C52">
        <v>3</v>
      </c>
      <c r="D52">
        <v>11.096499999999999</v>
      </c>
      <c r="E52">
        <f>'[1]Simplified Analysis 1'!K116</f>
        <v>-229.3398</v>
      </c>
      <c r="F52">
        <f>'[1]Simplified Analysis 1'!L116</f>
        <v>-1179.3936999999999</v>
      </c>
      <c r="G52">
        <f>'[1]Simplified Analysis 1'!K134</f>
        <v>505.87099999999998</v>
      </c>
      <c r="H52">
        <f>'[1]Simplified Analysis 1'!L134</f>
        <v>152.66400000000002</v>
      </c>
    </row>
    <row r="53" spans="3:8" x14ac:dyDescent="0.3">
      <c r="C53">
        <v>3</v>
      </c>
      <c r="D53">
        <v>11.579000000000001</v>
      </c>
      <c r="E53">
        <f>'[1]Simplified Analysis 1'!K117</f>
        <v>-306.51530000000002</v>
      </c>
      <c r="F53">
        <f>'[1]Simplified Analysis 1'!L117</f>
        <v>-1383.7949000000001</v>
      </c>
      <c r="G53">
        <f>'[1]Simplified Analysis 1'!K135</f>
        <v>537.31699999999989</v>
      </c>
      <c r="H53">
        <f>'[1]Simplified Analysis 1'!L135</f>
        <v>167.31799999999998</v>
      </c>
    </row>
    <row r="54" spans="3:8" x14ac:dyDescent="0.3">
      <c r="C54">
        <v>3</v>
      </c>
      <c r="D54">
        <v>11.58</v>
      </c>
      <c r="E54">
        <f>'[1]Simplified Analysis 1'!K118</f>
        <v>-306.68270000000001</v>
      </c>
      <c r="F54">
        <f>'[1]Simplified Analysis 1'!L118</f>
        <v>-1384.2287999999999</v>
      </c>
      <c r="G54">
        <f>'[1]Simplified Analysis 1'!K136</f>
        <v>537.34899999999993</v>
      </c>
      <c r="H54">
        <f>'[1]Simplified Analysis 1'!L136</f>
        <v>167.35000000000002</v>
      </c>
    </row>
    <row r="55" spans="3:8" x14ac:dyDescent="0.3">
      <c r="C55">
        <v>4</v>
      </c>
      <c r="D55">
        <v>11.58</v>
      </c>
      <c r="E55">
        <f>'[1]Simplified Analysis 1'!K151</f>
        <v>-306.68270000000001</v>
      </c>
      <c r="F55">
        <f>'[1]Simplified Analysis 1'!L151</f>
        <v>-1384.2287999999999</v>
      </c>
      <c r="G55">
        <f>'[1]Simplified Analysis 1'!K168</f>
        <v>-131.32499999999999</v>
      </c>
      <c r="H55">
        <f>'[1]Simplified Analysis 1'!L168</f>
        <v>-522.20899999999995</v>
      </c>
    </row>
    <row r="56" spans="3:8" x14ac:dyDescent="0.3">
      <c r="C56">
        <v>4</v>
      </c>
      <c r="D56">
        <v>12.055250000000001</v>
      </c>
      <c r="E56">
        <f>'[1]Simplified Analysis 1'!K152</f>
        <v>-247.70740000000006</v>
      </c>
      <c r="F56">
        <f>'[1]Simplified Analysis 1'!L152</f>
        <v>-1193.17</v>
      </c>
      <c r="G56">
        <f>'[1]Simplified Analysis 1'!K169</f>
        <v>-116.97600000000001</v>
      </c>
      <c r="H56">
        <f>'[1]Simplified Analysis 1'!L169</f>
        <v>-507.85999999999996</v>
      </c>
    </row>
    <row r="57" spans="3:8" x14ac:dyDescent="0.3">
      <c r="C57">
        <v>4</v>
      </c>
      <c r="D57">
        <v>12.531499999999999</v>
      </c>
      <c r="E57">
        <f>'[1]Simplified Analysis 1'!K153</f>
        <v>-195.28739999999999</v>
      </c>
      <c r="F57">
        <f>'[1]Simplified Analysis 1'!L153</f>
        <v>-1012.0299000000001</v>
      </c>
      <c r="G57">
        <f>'[1]Simplified Analysis 1'!K170</f>
        <v>-103.27499999999999</v>
      </c>
      <c r="H57">
        <f>'[1]Simplified Analysis 1'!L170</f>
        <v>-478.23899999999998</v>
      </c>
    </row>
    <row r="58" spans="3:8" x14ac:dyDescent="0.3">
      <c r="C58">
        <v>4</v>
      </c>
      <c r="D58">
        <v>13.00775</v>
      </c>
      <c r="E58">
        <f>'[1]Simplified Analysis 1'!K154</f>
        <v>-149.22950000000003</v>
      </c>
      <c r="F58">
        <f>'[1]Simplified Analysis 1'!L154</f>
        <v>-840.56389999999999</v>
      </c>
      <c r="G58">
        <f>'[1]Simplified Analysis 1'!K171</f>
        <v>-90.25800000000001</v>
      </c>
      <c r="H58">
        <f>'[1]Simplified Analysis 1'!L171</f>
        <v>-450.83799999999997</v>
      </c>
    </row>
    <row r="59" spans="3:8" x14ac:dyDescent="0.3">
      <c r="C59">
        <v>4</v>
      </c>
      <c r="D59">
        <v>13.103999999999999</v>
      </c>
      <c r="E59">
        <f>'[1]Simplified Analysis 1'!K155</f>
        <v>-140.6652</v>
      </c>
      <c r="F59">
        <f>'[1]Simplified Analysis 1'!L155</f>
        <v>-807.02650000000017</v>
      </c>
      <c r="G59">
        <f>'[1]Simplified Analysis 1'!K172</f>
        <v>-87.709000000000003</v>
      </c>
      <c r="H59">
        <f>'[1]Simplified Analysis 1'!L172</f>
        <v>-433.65</v>
      </c>
    </row>
    <row r="60" spans="3:8" x14ac:dyDescent="0.3">
      <c r="C60">
        <v>4</v>
      </c>
      <c r="D60">
        <v>13.484</v>
      </c>
      <c r="E60">
        <f>'[1]Simplified Analysis 1'!K156</f>
        <v>-87.634499999999989</v>
      </c>
      <c r="F60">
        <f>'[1]Simplified Analysis 1'!L156</f>
        <v>-679.34789999999998</v>
      </c>
      <c r="G60">
        <f>'[1]Simplified Analysis 1'!K173</f>
        <v>-77.874999999999986</v>
      </c>
      <c r="H60">
        <f>'[1]Simplified Analysis 1'!L173</f>
        <v>-423.81600000000003</v>
      </c>
    </row>
    <row r="61" spans="3:8" x14ac:dyDescent="0.3">
      <c r="C61">
        <v>4</v>
      </c>
      <c r="D61">
        <v>13.96025</v>
      </c>
      <c r="E61">
        <f>'[1]Simplified Analysis 1'!K157</f>
        <v>14.348199999999981</v>
      </c>
      <c r="F61">
        <f>'[1]Simplified Analysis 1'!L157</f>
        <v>-581.0652</v>
      </c>
      <c r="G61">
        <f>'[1]Simplified Analysis 1'!K174</f>
        <v>-66.034000000000006</v>
      </c>
      <c r="H61">
        <f>'[1]Simplified Analysis 1'!L174</f>
        <v>-397.09200000000004</v>
      </c>
    </row>
    <row r="62" spans="3:8" x14ac:dyDescent="0.3">
      <c r="C62">
        <v>4</v>
      </c>
      <c r="D62">
        <v>14.436500000000001</v>
      </c>
      <c r="E62">
        <f>'[1]Simplified Analysis 1'!K158</f>
        <v>107.64950000000002</v>
      </c>
      <c r="F62">
        <f>'[1]Simplified Analysis 1'!L158</f>
        <v>-490.41859999999991</v>
      </c>
      <c r="G62">
        <f>'[1]Simplified Analysis 1'!K175</f>
        <v>-54.731000000000009</v>
      </c>
      <c r="H62">
        <f>'[1]Simplified Analysis 1'!L175</f>
        <v>-375.48899999999998</v>
      </c>
    </row>
    <row r="63" spans="3:8" x14ac:dyDescent="0.3">
      <c r="C63">
        <v>4</v>
      </c>
      <c r="D63">
        <v>14.628</v>
      </c>
      <c r="E63">
        <f>'[1]Simplified Analysis 1'!K159</f>
        <v>138.15219999999999</v>
      </c>
      <c r="F63">
        <f>'[1]Simplified Analysis 1'!L159</f>
        <v>-455.6078</v>
      </c>
      <c r="G63">
        <f>'[1]Simplified Analysis 1'!K176</f>
        <v>-50.338000000000001</v>
      </c>
      <c r="H63">
        <f>'[1]Simplified Analysis 1'!L176</f>
        <v>-360.65199999999999</v>
      </c>
    </row>
    <row r="64" spans="3:8" x14ac:dyDescent="0.3">
      <c r="C64">
        <v>4</v>
      </c>
      <c r="D64">
        <v>14.912749999999999</v>
      </c>
      <c r="E64">
        <f>'[1]Simplified Analysis 1'!K160</f>
        <v>190.63059999999999</v>
      </c>
      <c r="F64">
        <f>'[1]Simplified Analysis 1'!L160</f>
        <v>-405.47359999999998</v>
      </c>
      <c r="G64">
        <f>'[1]Simplified Analysis 1'!K177</f>
        <v>-38.753999999999998</v>
      </c>
      <c r="H64">
        <f>'[1]Simplified Analysis 1'!L177</f>
        <v>-354.25299999999993</v>
      </c>
    </row>
    <row r="65" spans="3:8" x14ac:dyDescent="0.3">
      <c r="C65">
        <v>4</v>
      </c>
      <c r="D65">
        <v>15.388999999999999</v>
      </c>
      <c r="E65">
        <f>'[1]Simplified Analysis 1'!K161</f>
        <v>263.49549999999994</v>
      </c>
      <c r="F65">
        <f>'[1]Simplified Analysis 1'!L161</f>
        <v>-326.84810000000004</v>
      </c>
      <c r="G65">
        <f>'[1]Simplified Analysis 1'!K178</f>
        <v>-20.974</v>
      </c>
      <c r="H65">
        <f>'[1]Simplified Analysis 1'!L178</f>
        <v>-332.476</v>
      </c>
    </row>
    <row r="66" spans="3:8" x14ac:dyDescent="0.3">
      <c r="C66">
        <v>4</v>
      </c>
      <c r="D66">
        <v>15.39</v>
      </c>
      <c r="E66">
        <f>'[1]Simplified Analysis 1'!K162</f>
        <v>263.51649999999995</v>
      </c>
      <c r="F66">
        <f>'[1]Simplified Analysis 1'!L162</f>
        <v>-326.69010000000003</v>
      </c>
      <c r="G66">
        <f>'[1]Simplified Analysis 1'!K179</f>
        <v>-20.953000000000003</v>
      </c>
      <c r="H66">
        <f>'[1]Simplified Analysis 1'!L179</f>
        <v>-320.16199999999998</v>
      </c>
    </row>
    <row r="67" spans="3:8" x14ac:dyDescent="0.3">
      <c r="C67">
        <v>5</v>
      </c>
      <c r="D67">
        <v>15.39</v>
      </c>
      <c r="E67">
        <f>'[1]Simplified Analysis 1'!K194</f>
        <v>263.51649999999995</v>
      </c>
      <c r="F67">
        <f>'[1]Simplified Analysis 1'!L194</f>
        <v>-326.69010000000003</v>
      </c>
      <c r="G67">
        <f>'[1]Simplified Analysis 1'!K211</f>
        <v>-20.953000000000003</v>
      </c>
      <c r="H67">
        <f>'[1]Simplified Analysis 1'!L211</f>
        <v>-320.16199999999998</v>
      </c>
    </row>
    <row r="68" spans="3:8" x14ac:dyDescent="0.3">
      <c r="C68">
        <v>5</v>
      </c>
      <c r="D68">
        <v>15.865250000000001</v>
      </c>
      <c r="E68">
        <f>'[1]Simplified Analysis 1'!K195</f>
        <v>329.28790000000009</v>
      </c>
      <c r="F68">
        <f>'[1]Simplified Analysis 1'!L195</f>
        <v>-256.7525</v>
      </c>
      <c r="G68">
        <f>'[1]Simplified Analysis 1'!K212</f>
        <v>-0.94699999999999918</v>
      </c>
      <c r="H68">
        <f>'[1]Simplified Analysis 1'!L212</f>
        <v>-310.16500000000002</v>
      </c>
    </row>
    <row r="69" spans="3:8" x14ac:dyDescent="0.3">
      <c r="C69">
        <v>5</v>
      </c>
      <c r="D69">
        <v>16.152000000000001</v>
      </c>
      <c r="E69">
        <f>'[1]Simplified Analysis 1'!K196</f>
        <v>363.83769999999998</v>
      </c>
      <c r="F69">
        <f>'[1]Simplified Analysis 1'!L196</f>
        <v>-227.977</v>
      </c>
      <c r="G69">
        <f>'[1]Simplified Analysis 1'!K213</f>
        <v>4.9030000000000022</v>
      </c>
      <c r="H69">
        <f>'[1]Simplified Analysis 1'!L213</f>
        <v>-291.14</v>
      </c>
    </row>
    <row r="70" spans="3:8" x14ac:dyDescent="0.3">
      <c r="C70">
        <v>5</v>
      </c>
      <c r="D70">
        <v>16.3415</v>
      </c>
      <c r="E70">
        <f>'[1]Simplified Analysis 1'!K197</f>
        <v>393.2865000000001</v>
      </c>
      <c r="F70">
        <f>'[1]Simplified Analysis 1'!L197</f>
        <v>-209.8733</v>
      </c>
      <c r="G70">
        <f>'[1]Simplified Analysis 1'!K214</f>
        <v>19.114000000000004</v>
      </c>
      <c r="H70">
        <f>'[1]Simplified Analysis 1'!L214</f>
        <v>-287.33800000000002</v>
      </c>
    </row>
    <row r="71" spans="3:8" x14ac:dyDescent="0.3">
      <c r="C71">
        <v>5</v>
      </c>
      <c r="D71">
        <v>16.81775</v>
      </c>
      <c r="E71">
        <f>'[1]Simplified Analysis 1'!K198</f>
        <v>449.82490000000001</v>
      </c>
      <c r="F71">
        <f>'[1]Simplified Analysis 1'!L198</f>
        <v>-167.52579999999998</v>
      </c>
      <c r="G71">
        <f>'[1]Simplified Analysis 1'!K215</f>
        <v>40.182000000000009</v>
      </c>
      <c r="H71">
        <f>'[1]Simplified Analysis 1'!L215</f>
        <v>-263.93200000000002</v>
      </c>
    </row>
    <row r="72" spans="3:8" x14ac:dyDescent="0.3">
      <c r="C72">
        <v>5</v>
      </c>
      <c r="D72">
        <v>17.294</v>
      </c>
      <c r="E72">
        <f>'[1]Simplified Analysis 1'!K199</f>
        <v>501.55820000000006</v>
      </c>
      <c r="F72">
        <f>'[1]Simplified Analysis 1'!L199</f>
        <v>-129.59970000000001</v>
      </c>
      <c r="G72">
        <f>'[1]Simplified Analysis 1'!K216</f>
        <v>61.476000000000013</v>
      </c>
      <c r="H72">
        <f>'[1]Simplified Analysis 1'!L216</f>
        <v>-239.99799999999999</v>
      </c>
    </row>
    <row r="73" spans="3:8" x14ac:dyDescent="0.3">
      <c r="C73">
        <v>5</v>
      </c>
      <c r="D73">
        <v>17.676000000000002</v>
      </c>
      <c r="E73">
        <f>'[1]Simplified Analysis 1'!K200</f>
        <v>533.0068</v>
      </c>
      <c r="F73">
        <f>'[1]Simplified Analysis 1'!L200</f>
        <v>-102.3017</v>
      </c>
      <c r="G73">
        <f>'[1]Simplified Analysis 1'!K217</f>
        <v>68.666000000000011</v>
      </c>
      <c r="H73">
        <f>'[1]Simplified Analysis 1'!L217</f>
        <v>-217.386</v>
      </c>
    </row>
    <row r="74" spans="3:8" x14ac:dyDescent="0.3">
      <c r="C74">
        <v>5</v>
      </c>
      <c r="D74">
        <v>17.770250000000001</v>
      </c>
      <c r="E74">
        <f>'[1]Simplified Analysis 1'!K201</f>
        <v>541.71879999999999</v>
      </c>
      <c r="F74">
        <f>'[1]Simplified Analysis 1'!L201</f>
        <v>-95.986899999999977</v>
      </c>
      <c r="G74">
        <f>'[1]Simplified Analysis 1'!K218</f>
        <v>82.887999999999991</v>
      </c>
      <c r="H74">
        <f>'[1]Simplified Analysis 1'!L218</f>
        <v>-215.63000000000002</v>
      </c>
    </row>
    <row r="75" spans="3:8" x14ac:dyDescent="0.3">
      <c r="C75">
        <v>5</v>
      </c>
      <c r="D75">
        <v>18.246500000000001</v>
      </c>
      <c r="E75">
        <f>'[1]Simplified Analysis 1'!K202</f>
        <v>568.63850000000002</v>
      </c>
      <c r="F75">
        <f>'[1]Simplified Analysis 1'!L202</f>
        <v>-66.599000000000018</v>
      </c>
      <c r="G75">
        <f>'[1]Simplified Analysis 1'!K219</f>
        <v>104.456</v>
      </c>
      <c r="H75">
        <f>'[1]Simplified Analysis 1'!L219</f>
        <v>-191.327</v>
      </c>
    </row>
    <row r="76" spans="3:8" x14ac:dyDescent="0.3">
      <c r="C76">
        <v>5</v>
      </c>
      <c r="D76">
        <v>18.722750000000001</v>
      </c>
      <c r="E76">
        <f>'[1]Simplified Analysis 1'!K203</f>
        <v>582.22450000000003</v>
      </c>
      <c r="F76">
        <f>'[1]Simplified Analysis 1'!L203</f>
        <v>-41.392499999999984</v>
      </c>
      <c r="G76">
        <f>'[1]Simplified Analysis 1'!K220</f>
        <v>126.14300000000001</v>
      </c>
      <c r="H76">
        <f>'[1]Simplified Analysis 1'!L220</f>
        <v>-169.66500000000002</v>
      </c>
    </row>
    <row r="77" spans="3:8" x14ac:dyDescent="0.3">
      <c r="C77">
        <v>5</v>
      </c>
      <c r="D77">
        <v>19.199000000000002</v>
      </c>
      <c r="E77">
        <f>'[1]Simplified Analysis 1'!K204</f>
        <v>582.50609999999995</v>
      </c>
      <c r="F77">
        <f>'[1]Simplified Analysis 1'!L204</f>
        <v>-20.329599999999992</v>
      </c>
      <c r="G77">
        <f>'[1]Simplified Analysis 1'!K221</f>
        <v>147.85745509999998</v>
      </c>
      <c r="H77">
        <f>'[1]Simplified Analysis 1'!L221</f>
        <v>-147.95454490000003</v>
      </c>
    </row>
    <row r="78" spans="3:8" x14ac:dyDescent="0.3">
      <c r="C78">
        <v>5</v>
      </c>
      <c r="D78">
        <v>19.2</v>
      </c>
      <c r="E78">
        <f>'[1]Simplified Analysis 1'!K205</f>
        <v>582.46619999999996</v>
      </c>
      <c r="F78">
        <f>'[1]Simplified Analysis 1'!L205</f>
        <v>-20.289699999999989</v>
      </c>
      <c r="G78">
        <f>'[1]Simplified Analysis 1'!K222</f>
        <v>147.87573447999998</v>
      </c>
      <c r="H78">
        <f>'[1]Simplified Analysis 1'!L222</f>
        <v>-134.88326552000004</v>
      </c>
    </row>
    <row r="79" spans="3:8" x14ac:dyDescent="0.3">
      <c r="C79">
        <v>6</v>
      </c>
      <c r="D79">
        <v>19.2</v>
      </c>
      <c r="E79">
        <f>'[1]Simplified Analysis 1'!K237</f>
        <v>582.46619999999996</v>
      </c>
      <c r="F79">
        <f>'[1]Simplified Analysis 1'!L237</f>
        <v>-20.289699999999989</v>
      </c>
      <c r="G79">
        <f>'[1]Simplified Analysis 1'!K254</f>
        <v>147.87573447999998</v>
      </c>
      <c r="H79">
        <f>'[1]Simplified Analysis 1'!L254</f>
        <v>-134.88326552000004</v>
      </c>
    </row>
    <row r="80" spans="3:8" x14ac:dyDescent="0.3">
      <c r="C80">
        <v>6</v>
      </c>
      <c r="D80">
        <v>19.675249999999998</v>
      </c>
      <c r="E80">
        <f>'[1]Simplified Analysis 1'!K238</f>
        <v>582.25909999999999</v>
      </c>
      <c r="F80">
        <f>'[1]Simplified Analysis 1'!L238</f>
        <v>-41.293599999999991</v>
      </c>
      <c r="G80">
        <f>'[1]Simplified Analysis 1'!K255</f>
        <v>169.56499999999997</v>
      </c>
      <c r="H80">
        <f>'[1]Simplified Analysis 1'!L255</f>
        <v>-126.24300000000001</v>
      </c>
    </row>
    <row r="81" spans="3:8" x14ac:dyDescent="0.3">
      <c r="C81">
        <v>6</v>
      </c>
      <c r="D81">
        <v>20.151499999999999</v>
      </c>
      <c r="E81">
        <f>'[1]Simplified Analysis 1'!K239</f>
        <v>568.7322999999999</v>
      </c>
      <c r="F81">
        <f>'[1]Simplified Analysis 1'!L239</f>
        <v>-66.481300000000005</v>
      </c>
      <c r="G81">
        <f>'[1]Simplified Analysis 1'!K256</f>
        <v>191.23099999999997</v>
      </c>
      <c r="H81">
        <f>'[1]Simplified Analysis 1'!L256</f>
        <v>-104.55200000000001</v>
      </c>
    </row>
    <row r="82" spans="3:8" x14ac:dyDescent="0.3">
      <c r="C82">
        <v>6</v>
      </c>
      <c r="D82">
        <v>20.627749999999999</v>
      </c>
      <c r="E82">
        <f>'[1]Simplified Analysis 1'!K240</f>
        <v>541.87099999999998</v>
      </c>
      <c r="F82">
        <f>'[1]Simplified Analysis 1'!L240</f>
        <v>-95.850499999999982</v>
      </c>
      <c r="G82">
        <f>'[1]Simplified Analysis 1'!K257</f>
        <v>215.524</v>
      </c>
      <c r="H82">
        <f>'[1]Simplified Analysis 1'!L257</f>
        <v>-82.983000000000004</v>
      </c>
    </row>
    <row r="83" spans="3:8" x14ac:dyDescent="0.3">
      <c r="C83">
        <v>6</v>
      </c>
      <c r="D83">
        <v>20.724</v>
      </c>
      <c r="E83">
        <f>'[1]Simplified Analysis 1'!K241</f>
        <v>532.98310000000004</v>
      </c>
      <c r="F83">
        <f>'[1]Simplified Analysis 1'!L241</f>
        <v>-102.29720000000002</v>
      </c>
      <c r="G83">
        <f>'[1]Simplified Analysis 1'!K258</f>
        <v>217.31700000000001</v>
      </c>
      <c r="H83">
        <f>'[1]Simplified Analysis 1'!L258</f>
        <v>-68.722000000000008</v>
      </c>
    </row>
    <row r="84" spans="3:8" x14ac:dyDescent="0.3">
      <c r="C84">
        <v>6</v>
      </c>
      <c r="D84">
        <v>21.103999999999999</v>
      </c>
      <c r="E84">
        <f>'[1]Simplified Analysis 1'!K242</f>
        <v>501.76799999999992</v>
      </c>
      <c r="F84">
        <f>'[1]Simplified Analysis 1'!L242</f>
        <v>-129.4444</v>
      </c>
      <c r="G84">
        <f>'[1]Simplified Analysis 1'!K259</f>
        <v>239.89300000000003</v>
      </c>
      <c r="H84">
        <f>'[1]Simplified Analysis 1'!L259</f>
        <v>-61.568999999999988</v>
      </c>
    </row>
    <row r="85" spans="3:8" x14ac:dyDescent="0.3">
      <c r="C85">
        <v>6</v>
      </c>
      <c r="D85">
        <v>21.580249999999999</v>
      </c>
      <c r="E85">
        <f>'[1]Simplified Analysis 1'!K243</f>
        <v>450.08109999999999</v>
      </c>
      <c r="F85">
        <f>'[1]Simplified Analysis 1'!L243</f>
        <v>-167.35149999999999</v>
      </c>
      <c r="G85">
        <f>'[1]Simplified Analysis 1'!K260</f>
        <v>263.82799999999997</v>
      </c>
      <c r="H85">
        <f>'[1]Simplified Analysis 1'!L260</f>
        <v>-40.274000000000001</v>
      </c>
    </row>
    <row r="86" spans="3:8" x14ac:dyDescent="0.3">
      <c r="C86">
        <v>6</v>
      </c>
      <c r="D86">
        <v>22.0565</v>
      </c>
      <c r="E86">
        <f>'[1]Simplified Analysis 1'!K244</f>
        <v>393.55260000000004</v>
      </c>
      <c r="F86">
        <f>'[1]Simplified Analysis 1'!L244</f>
        <v>-209.67929999999998</v>
      </c>
      <c r="G86">
        <f>'[1]Simplified Analysis 1'!K261</f>
        <v>287.23599999999999</v>
      </c>
      <c r="H86">
        <f>'[1]Simplified Analysis 1'!L261</f>
        <v>-19.202999999999999</v>
      </c>
    </row>
    <row r="87" spans="3:8" x14ac:dyDescent="0.3">
      <c r="C87">
        <v>6</v>
      </c>
      <c r="D87">
        <v>22.247999999999998</v>
      </c>
      <c r="E87">
        <f>'[1]Simplified Analysis 1'!K245</f>
        <v>363.80679999999995</v>
      </c>
      <c r="F87">
        <f>'[1]Simplified Analysis 1'!L245</f>
        <v>-227.96979999999999</v>
      </c>
      <c r="G87">
        <f>'[1]Simplified Analysis 1'!K262</f>
        <v>291.07800000000003</v>
      </c>
      <c r="H87">
        <f>'[1]Simplified Analysis 1'!L262</f>
        <v>-4.9499999999999993</v>
      </c>
    </row>
    <row r="88" spans="3:8" x14ac:dyDescent="0.3">
      <c r="C88">
        <v>6</v>
      </c>
      <c r="D88">
        <v>22.53275</v>
      </c>
      <c r="E88">
        <f>'[1]Simplified Analysis 1'!K246</f>
        <v>329.59379999999993</v>
      </c>
      <c r="F88">
        <f>'[1]Simplified Analysis 1'!L246</f>
        <v>-256.5385</v>
      </c>
      <c r="G88">
        <f>'[1]Simplified Analysis 1'!K263</f>
        <v>310.06500000000005</v>
      </c>
      <c r="H88">
        <f>'[1]Simplified Analysis 1'!L263</f>
        <v>0.85800000000000054</v>
      </c>
    </row>
    <row r="89" spans="3:8" x14ac:dyDescent="0.3">
      <c r="C89">
        <v>6</v>
      </c>
      <c r="D89">
        <v>23.009</v>
      </c>
      <c r="E89">
        <f>'[1]Simplified Analysis 1'!K247</f>
        <v>263.79719999999998</v>
      </c>
      <c r="F89">
        <f>'[1]Simplified Analysis 1'!L247</f>
        <v>-326.51620000000003</v>
      </c>
      <c r="G89">
        <f>'[1]Simplified Analysis 1'!K264</f>
        <v>332.38</v>
      </c>
      <c r="H89">
        <f>'[1]Simplified Analysis 1'!L264</f>
        <v>20.898000000000003</v>
      </c>
    </row>
    <row r="90" spans="3:8" x14ac:dyDescent="0.3">
      <c r="C90">
        <v>6</v>
      </c>
      <c r="D90">
        <v>23.009999999999998</v>
      </c>
      <c r="E90">
        <f>'[1]Simplified Analysis 1'!K248</f>
        <v>263.63629999999995</v>
      </c>
      <c r="F90">
        <f>'[1]Simplified Analysis 1'!L248</f>
        <v>-326.67400000000004</v>
      </c>
      <c r="G90">
        <f>'[1]Simplified Analysis 1'!K265</f>
        <v>332.40100000000001</v>
      </c>
      <c r="H90">
        <f>'[1]Simplified Analysis 1'!L265</f>
        <v>28.298999999999999</v>
      </c>
    </row>
    <row r="91" spans="3:8" x14ac:dyDescent="0.3">
      <c r="C91">
        <v>7</v>
      </c>
      <c r="D91">
        <v>23.009999999999998</v>
      </c>
      <c r="E91">
        <f>'[1]Simplified Analysis 1'!K280</f>
        <v>263.63629999999995</v>
      </c>
      <c r="F91">
        <f>'[1]Simplified Analysis 1'!L280</f>
        <v>-326.67400000000004</v>
      </c>
      <c r="G91">
        <f>'[1]Simplified Analysis 1'!K297</f>
        <v>332.40100000000001</v>
      </c>
      <c r="H91">
        <f>'[1]Simplified Analysis 1'!L297</f>
        <v>28.298999999999999</v>
      </c>
    </row>
    <row r="92" spans="3:8" x14ac:dyDescent="0.3">
      <c r="C92">
        <v>7</v>
      </c>
      <c r="D92">
        <v>23.485249999999997</v>
      </c>
      <c r="E92">
        <f>'[1]Simplified Analysis 1'!K281</f>
        <v>190.97439999999997</v>
      </c>
      <c r="F92">
        <f>'[1]Simplified Analysis 1'!L281</f>
        <v>-405.11559999999997</v>
      </c>
      <c r="G92">
        <f>'[1]Simplified Analysis 1'!K298</f>
        <v>354.15899999999993</v>
      </c>
      <c r="H92">
        <f>'[1]Simplified Analysis 1'!L298</f>
        <v>38.676000000000002</v>
      </c>
    </row>
    <row r="93" spans="3:8" x14ac:dyDescent="0.3">
      <c r="C93">
        <v>7</v>
      </c>
      <c r="D93">
        <v>23.771999999999998</v>
      </c>
      <c r="E93">
        <f>'[1]Simplified Analysis 1'!K282</f>
        <v>138.14619999999996</v>
      </c>
      <c r="F93">
        <f>'[1]Simplified Analysis 1'!L282</f>
        <v>-455.59639999999996</v>
      </c>
      <c r="G93">
        <f>'[1]Simplified Analysis 1'!K299</f>
        <v>360.60299999999995</v>
      </c>
      <c r="H93">
        <f>'[1]Simplified Analysis 1'!L299</f>
        <v>50.335999999999999</v>
      </c>
    </row>
    <row r="94" spans="3:8" x14ac:dyDescent="0.3">
      <c r="C94">
        <v>7</v>
      </c>
      <c r="D94">
        <v>23.961499999999997</v>
      </c>
      <c r="E94">
        <f>'[1]Simplified Analysis 1'!K283</f>
        <v>108.0354</v>
      </c>
      <c r="F94">
        <f>'[1]Simplified Analysis 1'!L283</f>
        <v>-490.03590000000003</v>
      </c>
      <c r="G94">
        <f>'[1]Simplified Analysis 1'!K300</f>
        <v>375.39700000000005</v>
      </c>
      <c r="H94">
        <f>'[1]Simplified Analysis 1'!L300</f>
        <v>54.681999999999995</v>
      </c>
    </row>
    <row r="95" spans="3:8" x14ac:dyDescent="0.3">
      <c r="C95">
        <v>7</v>
      </c>
      <c r="D95">
        <v>24.437749999999998</v>
      </c>
      <c r="E95">
        <f>'[1]Simplified Analysis 1'!K284</f>
        <v>14.770300000000024</v>
      </c>
      <c r="F95">
        <f>'[1]Simplified Analysis 1'!L284</f>
        <v>-580.6567</v>
      </c>
      <c r="G95">
        <f>'[1]Simplified Analysis 1'!K301</f>
        <v>396.97700000000003</v>
      </c>
      <c r="H95">
        <f>'[1]Simplified Analysis 1'!L301</f>
        <v>65.983000000000004</v>
      </c>
    </row>
    <row r="96" spans="3:8" x14ac:dyDescent="0.3">
      <c r="C96">
        <v>7</v>
      </c>
      <c r="D96">
        <v>24.913999999999998</v>
      </c>
      <c r="E96">
        <f>'[1]Simplified Analysis 1'!K285</f>
        <v>-87.191199999999995</v>
      </c>
      <c r="F96">
        <f>'[1]Simplified Analysis 1'!L285</f>
        <v>-678.66369999999995</v>
      </c>
      <c r="G96">
        <f>'[1]Simplified Analysis 1'!K302</f>
        <v>423.69900000000001</v>
      </c>
      <c r="H96">
        <f>'[1]Simplified Analysis 1'!L302</f>
        <v>77.822000000000003</v>
      </c>
    </row>
    <row r="97" spans="3:8" x14ac:dyDescent="0.3">
      <c r="C97">
        <v>7</v>
      </c>
      <c r="D97">
        <v>25.295999999999999</v>
      </c>
      <c r="E97">
        <f>'[1]Simplified Analysis 1'!K286</f>
        <v>-140.65509999999998</v>
      </c>
      <c r="F97">
        <f>'[1]Simplified Analysis 1'!L286</f>
        <v>-807.00109999999995</v>
      </c>
      <c r="G97">
        <f>'[1]Simplified Analysis 1'!K303</f>
        <v>433.58299999999997</v>
      </c>
      <c r="H97">
        <f>'[1]Simplified Analysis 1'!L303</f>
        <v>87.705999999999989</v>
      </c>
    </row>
    <row r="98" spans="3:8" x14ac:dyDescent="0.3">
      <c r="C98">
        <v>7</v>
      </c>
      <c r="D98">
        <v>25.390249999999998</v>
      </c>
      <c r="E98">
        <f>'[1]Simplified Analysis 1'!K287</f>
        <v>-149.03890000000001</v>
      </c>
      <c r="F98">
        <f>'[1]Simplified Analysis 1'!L287</f>
        <v>-839.83299999999986</v>
      </c>
      <c r="G98">
        <f>'[1]Simplified Analysis 1'!K304</f>
        <v>450.71999999999997</v>
      </c>
      <c r="H98">
        <f>'[1]Simplified Analysis 1'!L304</f>
        <v>90.202000000000012</v>
      </c>
    </row>
    <row r="99" spans="3:8" x14ac:dyDescent="0.3">
      <c r="C99">
        <v>7</v>
      </c>
      <c r="D99">
        <v>25.866499999999998</v>
      </c>
      <c r="E99">
        <f>'[1]Simplified Analysis 1'!K288</f>
        <v>-195.06990000000002</v>
      </c>
      <c r="F99">
        <f>'[1]Simplified Analysis 1'!L288</f>
        <v>-1011.2545000000001</v>
      </c>
      <c r="G99">
        <f>'[1]Simplified Analysis 1'!K305</f>
        <v>478.12</v>
      </c>
      <c r="H99">
        <f>'[1]Simplified Analysis 1'!L305</f>
        <v>103.217</v>
      </c>
    </row>
    <row r="100" spans="3:8" x14ac:dyDescent="0.3">
      <c r="C100">
        <v>7</v>
      </c>
      <c r="D100">
        <v>26.342749999999999</v>
      </c>
      <c r="E100">
        <f>'[1]Simplified Analysis 1'!K289</f>
        <v>-247.4615</v>
      </c>
      <c r="F100">
        <f>'[1]Simplified Analysis 1'!L289</f>
        <v>-1192.3485000000001</v>
      </c>
      <c r="G100">
        <f>'[1]Simplified Analysis 1'!K306</f>
        <v>507.72900000000004</v>
      </c>
      <c r="H100">
        <f>'[1]Simplified Analysis 1'!L306</f>
        <v>116.91199999999999</v>
      </c>
    </row>
    <row r="101" spans="3:8" x14ac:dyDescent="0.3">
      <c r="C101">
        <v>7</v>
      </c>
      <c r="D101">
        <v>26.818999999999999</v>
      </c>
      <c r="E101">
        <f>'[1]Simplified Analysis 1'!K290</f>
        <v>-306.5376</v>
      </c>
      <c r="F101">
        <f>'[1]Simplified Analysis 1'!L290</f>
        <v>-1383.7752999999998</v>
      </c>
      <c r="G101">
        <f>'[1]Simplified Analysis 1'!K307</f>
        <v>538.35800000000006</v>
      </c>
      <c r="H101">
        <f>'[1]Simplified Analysis 1'!L307</f>
        <v>131.28899999999999</v>
      </c>
    </row>
    <row r="102" spans="3:8" x14ac:dyDescent="0.3">
      <c r="C102">
        <v>7</v>
      </c>
      <c r="D102">
        <v>26.819999999999997</v>
      </c>
      <c r="E102">
        <f>'[1]Simplified Analysis 1'!K291</f>
        <v>-306.66879999999998</v>
      </c>
      <c r="F102">
        <f>'[1]Simplified Analysis 1'!L291</f>
        <v>-1384.1869000000002</v>
      </c>
      <c r="G102">
        <f>'[1]Simplified Analysis 1'!K308</f>
        <v>538.3889999999999</v>
      </c>
      <c r="H102">
        <f>'[1]Simplified Analysis 1'!L308</f>
        <v>131.32000000000002</v>
      </c>
    </row>
    <row r="103" spans="3:8" x14ac:dyDescent="0.3">
      <c r="C103">
        <v>8</v>
      </c>
      <c r="D103">
        <v>26.819999999999997</v>
      </c>
      <c r="E103">
        <f>'[1]Simplified Analysis 1'!K323</f>
        <v>-306.66879999999998</v>
      </c>
      <c r="F103">
        <f>'[1]Simplified Analysis 1'!L323</f>
        <v>-1384.1869000000002</v>
      </c>
      <c r="G103">
        <f>'[1]Simplified Analysis 1'!K341</f>
        <v>-167.34899999999999</v>
      </c>
      <c r="H103">
        <f>'[1]Simplified Analysis 1'!L341</f>
        <v>-520.62699999999995</v>
      </c>
    </row>
    <row r="104" spans="3:8" x14ac:dyDescent="0.3">
      <c r="C104">
        <v>8</v>
      </c>
      <c r="D104">
        <v>27.301499999999997</v>
      </c>
      <c r="E104">
        <f>'[1]Simplified Analysis 1'!K324</f>
        <v>-229.63190000000003</v>
      </c>
      <c r="F104">
        <f>'[1]Simplified Analysis 1'!L324</f>
        <v>-1180.1811</v>
      </c>
      <c r="G104">
        <f>'[1]Simplified Analysis 1'!K342</f>
        <v>-152.72200000000001</v>
      </c>
      <c r="H104">
        <f>'[1]Simplified Analysis 1'!L342</f>
        <v>-506</v>
      </c>
    </row>
    <row r="105" spans="3:8" x14ac:dyDescent="0.3">
      <c r="C105">
        <v>8</v>
      </c>
      <c r="D105">
        <v>27.783999999999995</v>
      </c>
      <c r="E105">
        <f>'[1]Simplified Analysis 1'!K325</f>
        <v>-159.37580000000003</v>
      </c>
      <c r="F105">
        <f>'[1]Simplified Analysis 1'!L325</f>
        <v>-1013.2264</v>
      </c>
      <c r="G105">
        <f>'[1]Simplified Analysis 1'!K343</f>
        <v>-138.578</v>
      </c>
      <c r="H105">
        <f>'[1]Simplified Analysis 1'!L343</f>
        <v>-480.86999999999995</v>
      </c>
    </row>
    <row r="106" spans="3:8" x14ac:dyDescent="0.3">
      <c r="C106">
        <v>8</v>
      </c>
      <c r="D106">
        <v>27.932309999999998</v>
      </c>
      <c r="E106">
        <f>'[1]Simplified Analysis 1'!K326</f>
        <v>-139.1387</v>
      </c>
      <c r="F106">
        <f>'[1]Simplified Analysis 1'!L326</f>
        <v>-974.60919999999999</v>
      </c>
      <c r="G106">
        <f>'[1]Simplified Analysis 1'!K344</f>
        <v>-134.33500000000001</v>
      </c>
      <c r="H106">
        <f>'[1]Simplified Analysis 1'!L344</f>
        <v>-467.30599999999998</v>
      </c>
    </row>
    <row r="107" spans="3:8" x14ac:dyDescent="0.3">
      <c r="C107">
        <v>8</v>
      </c>
      <c r="D107">
        <v>28.266499999999997</v>
      </c>
      <c r="E107">
        <f>'[1]Simplified Analysis 1'!K327</f>
        <v>-95.823000000000008</v>
      </c>
      <c r="F107">
        <f>'[1]Simplified Analysis 1'!L327</f>
        <v>-890.35649999999998</v>
      </c>
      <c r="G107">
        <f>'[1]Simplified Analysis 1'!K345</f>
        <v>-124.92999999999999</v>
      </c>
      <c r="H107">
        <f>'[1]Simplified Analysis 1'!L345</f>
        <v>-457.90100000000001</v>
      </c>
    </row>
    <row r="108" spans="3:8" x14ac:dyDescent="0.3">
      <c r="C108">
        <v>8</v>
      </c>
      <c r="D108">
        <v>28.748999999999995</v>
      </c>
      <c r="E108">
        <f>'[1]Simplified Analysis 1'!K328</f>
        <v>17.547099999999965</v>
      </c>
      <c r="F108">
        <f>'[1]Simplified Analysis 1'!L328</f>
        <v>-785.22600000000011</v>
      </c>
      <c r="G108">
        <f>'[1]Simplified Analysis 1'!K346</f>
        <v>-108.389</v>
      </c>
      <c r="H108">
        <f>'[1]Simplified Analysis 1'!L346</f>
        <v>-434.52100000000002</v>
      </c>
    </row>
    <row r="109" spans="3:8" x14ac:dyDescent="0.3">
      <c r="C109">
        <v>8</v>
      </c>
      <c r="D109">
        <v>29.044619999999995</v>
      </c>
      <c r="E109">
        <f>'[1]Simplified Analysis 1'!K329</f>
        <v>83.924800000000005</v>
      </c>
      <c r="F109">
        <f>'[1]Simplified Analysis 1'!L329</f>
        <v>-730.49919999999986</v>
      </c>
      <c r="G109">
        <f>'[1]Simplified Analysis 1'!K347</f>
        <v>-100.523</v>
      </c>
      <c r="H109">
        <f>'[1]Simplified Analysis 1'!L347</f>
        <v>-415.58600000000007</v>
      </c>
    </row>
    <row r="110" spans="3:8" x14ac:dyDescent="0.3">
      <c r="C110">
        <v>8</v>
      </c>
      <c r="D110">
        <v>29.231499999999997</v>
      </c>
      <c r="E110">
        <f>'[1]Simplified Analysis 1'!K330</f>
        <v>136.42440000000002</v>
      </c>
      <c r="F110">
        <f>'[1]Simplified Analysis 1'!L330</f>
        <v>-697.09190000000001</v>
      </c>
      <c r="G110">
        <f>'[1]Simplified Analysis 1'!K348</f>
        <v>-87.890999999999991</v>
      </c>
      <c r="H110">
        <f>'[1]Simplified Analysis 1'!L348</f>
        <v>-410.69599999999997</v>
      </c>
    </row>
    <row r="111" spans="3:8" x14ac:dyDescent="0.3">
      <c r="C111">
        <v>8</v>
      </c>
      <c r="D111">
        <v>29.713999999999999</v>
      </c>
      <c r="E111">
        <f>'[1]Simplified Analysis 1'!K331</f>
        <v>247.80810000000002</v>
      </c>
      <c r="F111">
        <f>'[1]Simplified Analysis 1'!L331</f>
        <v>-615.00929999999994</v>
      </c>
      <c r="G111">
        <f>'[1]Simplified Analysis 1'!K349</f>
        <v>-67.477999999999994</v>
      </c>
      <c r="H111">
        <f>'[1]Simplified Analysis 1'!L349</f>
        <v>-386.38800000000003</v>
      </c>
    </row>
    <row r="112" spans="3:8" x14ac:dyDescent="0.3">
      <c r="C112">
        <v>8</v>
      </c>
      <c r="D112">
        <v>30.156919999999996</v>
      </c>
      <c r="E112">
        <f>'[1]Simplified Analysis 1'!K332</f>
        <v>339.08510000000001</v>
      </c>
      <c r="F112">
        <f>'[1]Simplified Analysis 1'!L332</f>
        <v>-544.81089999999983</v>
      </c>
      <c r="G112">
        <f>'[1]Simplified Analysis 1'!K350</f>
        <v>-56.532000000000011</v>
      </c>
      <c r="H112">
        <f>'[1]Simplified Analysis 1'!L350</f>
        <v>-362.53100000000001</v>
      </c>
    </row>
    <row r="113" spans="3:8" x14ac:dyDescent="0.3">
      <c r="C113">
        <v>8</v>
      </c>
      <c r="D113">
        <v>30.196499999999997</v>
      </c>
      <c r="E113">
        <f>'[1]Simplified Analysis 1'!K333</f>
        <v>351.9178</v>
      </c>
      <c r="F113">
        <f>'[1]Simplified Analysis 1'!L333</f>
        <v>-538.77310000000011</v>
      </c>
      <c r="G113">
        <f>'[1]Simplified Analysis 1'!K351</f>
        <v>-47.11699999999999</v>
      </c>
      <c r="H113">
        <f>'[1]Simplified Analysis 1'!L351</f>
        <v>-361.57099999999997</v>
      </c>
    </row>
    <row r="114" spans="3:8" x14ac:dyDescent="0.3">
      <c r="C114">
        <v>8</v>
      </c>
      <c r="D114">
        <v>30.678999999999995</v>
      </c>
      <c r="E114">
        <f>'[1]Simplified Analysis 1'!K334</f>
        <v>443.08920000000001</v>
      </c>
      <c r="F114">
        <f>'[1]Simplified Analysis 1'!L334</f>
        <v>-468.185</v>
      </c>
      <c r="G114">
        <f>'[1]Simplified Analysis 1'!K352</f>
        <v>-26.746000000000006</v>
      </c>
      <c r="H114">
        <f>'[1]Simplified Analysis 1'!L352</f>
        <v>-336.19200000000006</v>
      </c>
    </row>
    <row r="115" spans="3:8" x14ac:dyDescent="0.3">
      <c r="C115">
        <v>8</v>
      </c>
      <c r="D115">
        <v>30.679999999999996</v>
      </c>
      <c r="E115">
        <f>'[1]Simplified Analysis 1'!K335</f>
        <v>443.24890000000005</v>
      </c>
      <c r="F115">
        <f>'[1]Simplified Analysis 1'!L335</f>
        <v>-468.04449999999997</v>
      </c>
      <c r="G115">
        <f>'[1]Simplified Analysis 1'!K353</f>
        <v>-26.723000000000006</v>
      </c>
      <c r="H115">
        <f>'[1]Simplified Analysis 1'!L353</f>
        <v>-321.33600000000001</v>
      </c>
    </row>
    <row r="116" spans="3:8" x14ac:dyDescent="0.3">
      <c r="C116">
        <v>9</v>
      </c>
      <c r="D116">
        <v>30.679999999999996</v>
      </c>
      <c r="E116">
        <f>'[1]Simplified Analysis 1'!K368</f>
        <v>443.24890000000005</v>
      </c>
      <c r="F116">
        <f>'[1]Simplified Analysis 1'!L368</f>
        <v>-468.04449999999997</v>
      </c>
      <c r="G116">
        <f>'[1]Simplified Analysis 1'!K386</f>
        <v>-26.723000000000006</v>
      </c>
      <c r="H116">
        <f>'[1]Simplified Analysis 1'!L386</f>
        <v>-321.33600000000001</v>
      </c>
    </row>
    <row r="117" spans="3:8" x14ac:dyDescent="0.3">
      <c r="C117">
        <v>9</v>
      </c>
      <c r="D117">
        <v>31.161499999999997</v>
      </c>
      <c r="E117">
        <f>'[1]Simplified Analysis 1'!K369</f>
        <v>520.80359999999996</v>
      </c>
      <c r="F117">
        <f>'[1]Simplified Analysis 1'!L369</f>
        <v>-403.06449999999995</v>
      </c>
      <c r="G117">
        <f>'[1]Simplified Analysis 1'!K387</f>
        <v>-6.3140000000000027</v>
      </c>
      <c r="H117">
        <f>'[1]Simplified Analysis 1'!L387</f>
        <v>-310.20999999999998</v>
      </c>
    </row>
    <row r="118" spans="3:8" x14ac:dyDescent="0.3">
      <c r="C118">
        <v>9</v>
      </c>
      <c r="D118">
        <v>31.269229999999997</v>
      </c>
      <c r="E118">
        <f>'[1]Simplified Analysis 1'!K370</f>
        <v>535.26129999999989</v>
      </c>
      <c r="F118">
        <f>'[1]Simplified Analysis 1'!L370</f>
        <v>-389.25329999999997</v>
      </c>
      <c r="G118">
        <f>'[1]Simplified Analysis 1'!K388</f>
        <v>-3.8750000000000044</v>
      </c>
      <c r="H118">
        <f>'[1]Simplified Analysis 1'!L388</f>
        <v>-291.95400000000001</v>
      </c>
    </row>
    <row r="119" spans="3:8" x14ac:dyDescent="0.3">
      <c r="C119">
        <v>9</v>
      </c>
      <c r="D119">
        <v>31.643999999999995</v>
      </c>
      <c r="E119">
        <f>'[1]Simplified Analysis 1'!K371</f>
        <v>589.37430000000006</v>
      </c>
      <c r="F119">
        <f>'[1]Simplified Analysis 1'!L371</f>
        <v>-343.23860000000002</v>
      </c>
      <c r="G119">
        <f>'[1]Simplified Analysis 1'!K389</f>
        <v>14.305999999999994</v>
      </c>
      <c r="H119">
        <f>'[1]Simplified Analysis 1'!L389</f>
        <v>-283.58</v>
      </c>
    </row>
    <row r="120" spans="3:8" x14ac:dyDescent="0.3">
      <c r="C120">
        <v>9</v>
      </c>
      <c r="D120">
        <v>32.126499999999993</v>
      </c>
      <c r="E120">
        <f>'[1]Simplified Analysis 1'!K372</f>
        <v>645.20240000000001</v>
      </c>
      <c r="F120">
        <f>'[1]Simplified Analysis 1'!L372</f>
        <v>-288.56569999999999</v>
      </c>
      <c r="G120">
        <f>'[1]Simplified Analysis 1'!K390</f>
        <v>36.313000000000002</v>
      </c>
      <c r="H120">
        <f>'[1]Simplified Analysis 1'!L390</f>
        <v>-256.21800000000002</v>
      </c>
    </row>
    <row r="121" spans="3:8" x14ac:dyDescent="0.3">
      <c r="C121">
        <v>9</v>
      </c>
      <c r="D121">
        <v>32.381539999999994</v>
      </c>
      <c r="E121">
        <f>'[1]Simplified Analysis 1'!K373</f>
        <v>664.37479999999994</v>
      </c>
      <c r="F121">
        <f>'[1]Simplified Analysis 1'!L373</f>
        <v>-261.70549999999997</v>
      </c>
      <c r="G121">
        <f>'[1]Simplified Analysis 1'!K391</f>
        <v>41.783000000000001</v>
      </c>
      <c r="H121">
        <f>'[1]Simplified Analysis 1'!L391</f>
        <v>-232.93</v>
      </c>
    </row>
    <row r="122" spans="3:8" x14ac:dyDescent="0.3">
      <c r="C122">
        <v>9</v>
      </c>
      <c r="D122">
        <v>32.608999999999995</v>
      </c>
      <c r="E122">
        <f>'[1]Simplified Analysis 1'!K374</f>
        <v>686.94229999999993</v>
      </c>
      <c r="F122">
        <f>'[1]Simplified Analysis 1'!L374</f>
        <v>-238.91909999999996</v>
      </c>
      <c r="G122">
        <f>'[1]Simplified Analysis 1'!K392</f>
        <v>58.616000000000007</v>
      </c>
      <c r="H122">
        <f>'[1]Simplified Analysis 1'!L392</f>
        <v>-228.11099999999999</v>
      </c>
    </row>
    <row r="123" spans="3:8" x14ac:dyDescent="0.3">
      <c r="C123">
        <v>9</v>
      </c>
      <c r="D123">
        <v>33.091499999999996</v>
      </c>
      <c r="E123">
        <f>'[1]Simplified Analysis 1'!K375</f>
        <v>714.70749999999998</v>
      </c>
      <c r="F123">
        <f>'[1]Simplified Analysis 1'!L375</f>
        <v>-194.17760000000004</v>
      </c>
      <c r="G123">
        <f>'[1]Simplified Analysis 1'!K393</f>
        <v>81.249000000000009</v>
      </c>
      <c r="H123">
        <f>'[1]Simplified Analysis 1'!L393</f>
        <v>-199.24499999999998</v>
      </c>
    </row>
    <row r="124" spans="3:8" x14ac:dyDescent="0.3">
      <c r="C124">
        <v>9</v>
      </c>
      <c r="D124">
        <v>33.493849999999995</v>
      </c>
      <c r="E124">
        <f>'[1]Simplified Analysis 1'!K376</f>
        <v>723.05840000000012</v>
      </c>
      <c r="F124">
        <f>'[1]Simplified Analysis 1'!L376</f>
        <v>-160.535</v>
      </c>
      <c r="G124">
        <f>'[1]Simplified Analysis 1'!K394</f>
        <v>89.442000000000021</v>
      </c>
      <c r="H124">
        <f>'[1]Simplified Analysis 1'!L394</f>
        <v>-172.61899999999997</v>
      </c>
    </row>
    <row r="125" spans="3:8" x14ac:dyDescent="0.3">
      <c r="C125">
        <v>9</v>
      </c>
      <c r="D125">
        <v>33.573999999999998</v>
      </c>
      <c r="E125">
        <f>'[1]Simplified Analysis 1'!K377</f>
        <v>727.56299999999999</v>
      </c>
      <c r="F125">
        <f>'[1]Simplified Analysis 1'!L377</f>
        <v>-154.22489999999999</v>
      </c>
      <c r="G125">
        <f>'[1]Simplified Analysis 1'!K395</f>
        <v>104.232</v>
      </c>
      <c r="H125">
        <f>'[1]Simplified Analysis 1'!L395</f>
        <v>-171.006</v>
      </c>
    </row>
    <row r="126" spans="3:8" x14ac:dyDescent="0.3">
      <c r="C126">
        <v>9</v>
      </c>
      <c r="D126">
        <v>34.0565</v>
      </c>
      <c r="E126">
        <f>'[1]Simplified Analysis 1'!K378</f>
        <v>732.06220000000008</v>
      </c>
      <c r="F126">
        <f>'[1]Simplified Analysis 1'!L378</f>
        <v>-118.95160000000008</v>
      </c>
      <c r="G126">
        <f>'[1]Simplified Analysis 1'!K396</f>
        <v>127.60600000000004</v>
      </c>
      <c r="H126">
        <f>'[1]Simplified Analysis 1'!L396</f>
        <v>-147.69999999999999</v>
      </c>
    </row>
    <row r="127" spans="3:8" x14ac:dyDescent="0.3">
      <c r="C127">
        <v>9</v>
      </c>
      <c r="D127">
        <v>34.538999999999994</v>
      </c>
      <c r="E127">
        <f>'[1]Simplified Analysis 1'!K379</f>
        <v>723.7208999999998</v>
      </c>
      <c r="F127">
        <f>'[1]Simplified Analysis 1'!L379</f>
        <v>-88.263400000000004</v>
      </c>
      <c r="G127">
        <f>'[1]Simplified Analysis 1'!K397</f>
        <v>151.38900000000001</v>
      </c>
      <c r="H127">
        <f>'[1]Simplified Analysis 1'!L397</f>
        <v>-123.93899999999999</v>
      </c>
    </row>
    <row r="128" spans="3:8" x14ac:dyDescent="0.3">
      <c r="C128">
        <v>9</v>
      </c>
      <c r="D128">
        <v>34.54</v>
      </c>
      <c r="E128">
        <f>'[1]Simplified Analysis 1'!K380</f>
        <v>723.56950000000006</v>
      </c>
      <c r="F128">
        <f>'[1]Simplified Analysis 1'!L380</f>
        <v>-88.204499999999996</v>
      </c>
      <c r="G128">
        <f>'[1]Simplified Analysis 1'!K398</f>
        <v>151.40800000000002</v>
      </c>
      <c r="H128">
        <f>'[1]Simplified Analysis 1'!L398</f>
        <v>-108.79100000000001</v>
      </c>
    </row>
    <row r="129" spans="3:8" x14ac:dyDescent="0.3">
      <c r="C129">
        <v>10</v>
      </c>
      <c r="D129">
        <v>34.54</v>
      </c>
      <c r="E129">
        <f>'[1]Simplified Analysis 1'!K413</f>
        <v>723.56950000000006</v>
      </c>
      <c r="F129">
        <f>'[1]Simplified Analysis 1'!L413</f>
        <v>-88.204499999999996</v>
      </c>
      <c r="G129">
        <f>'[1]Simplified Analysis 1'!K430</f>
        <v>151.40800000000002</v>
      </c>
      <c r="H129">
        <f>'[1]Simplified Analysis 1'!L430</f>
        <v>-108.79100000000001</v>
      </c>
    </row>
    <row r="130" spans="3:8" x14ac:dyDescent="0.3">
      <c r="C130">
        <v>10</v>
      </c>
      <c r="D130">
        <v>34.606160000000003</v>
      </c>
      <c r="E130">
        <f>'[1]Simplified Analysis 1'!K414</f>
        <v>713.51069999999993</v>
      </c>
      <c r="F130">
        <f>'[1]Simplified Analysis 1'!L414</f>
        <v>-84.3506</v>
      </c>
      <c r="G130">
        <f>'[1]Simplified Analysis 1'!K431</f>
        <v>152.68299999999999</v>
      </c>
      <c r="H130">
        <f>'[1]Simplified Analysis 1'!L431</f>
        <v>-107.51599999999999</v>
      </c>
    </row>
    <row r="131" spans="3:8" x14ac:dyDescent="0.3">
      <c r="C131">
        <v>10</v>
      </c>
      <c r="D131">
        <v>35.021630000000002</v>
      </c>
      <c r="E131">
        <f>'[1]Simplified Analysis 1'!K415</f>
        <v>699.02069999999992</v>
      </c>
      <c r="F131">
        <f>'[1]Simplified Analysis 1'!L415</f>
        <v>-62.06519999999999</v>
      </c>
      <c r="G131">
        <f>'[1]Simplified Analysis 1'!K432</f>
        <v>175.60900000000001</v>
      </c>
      <c r="H131">
        <f>'[1]Simplified Analysis 1'!L432</f>
        <v>-99.567999999999998</v>
      </c>
    </row>
    <row r="132" spans="3:8" x14ac:dyDescent="0.3">
      <c r="C132">
        <v>10</v>
      </c>
      <c r="D132">
        <v>35.504249999999999</v>
      </c>
      <c r="E132">
        <f>'[1]Simplified Analysis 1'!K416</f>
        <v>657.12260000000003</v>
      </c>
      <c r="F132">
        <f>'[1]Simplified Analysis 1'!L416</f>
        <v>-40.29649999999998</v>
      </c>
      <c r="G132">
        <f>'[1]Simplified Analysis 1'!K433</f>
        <v>200.28199999999998</v>
      </c>
      <c r="H132">
        <f>'[1]Simplified Analysis 1'!L433</f>
        <v>-74.759000000000015</v>
      </c>
    </row>
    <row r="133" spans="3:8" x14ac:dyDescent="0.3">
      <c r="C133">
        <v>10</v>
      </c>
      <c r="D133">
        <v>35.71846</v>
      </c>
      <c r="E133">
        <f>'[1]Simplified Analysis 1'!K417</f>
        <v>619.43660000000011</v>
      </c>
      <c r="F133">
        <f>'[1]Simplified Analysis 1'!L417</f>
        <v>-32.037600000000012</v>
      </c>
      <c r="G133">
        <f>'[1]Simplified Analysis 1'!K434</f>
        <v>204.28799999999998</v>
      </c>
      <c r="H133">
        <f>'[1]Simplified Analysis 1'!L434</f>
        <v>-63.080999999999996</v>
      </c>
    </row>
    <row r="134" spans="3:8" x14ac:dyDescent="0.3">
      <c r="C134">
        <v>10</v>
      </c>
      <c r="D134">
        <v>35.986879999999999</v>
      </c>
      <c r="E134">
        <f>'[1]Simplified Analysis 1'!K418</f>
        <v>597.18430000000001</v>
      </c>
      <c r="F134">
        <f>'[1]Simplified Analysis 1'!L418</f>
        <v>-22.896100000000008</v>
      </c>
      <c r="G134">
        <f>'[1]Simplified Analysis 1'!K435</f>
        <v>225.39599999999999</v>
      </c>
      <c r="H134">
        <f>'[1]Simplified Analysis 1'!L435</f>
        <v>-58.091999999999999</v>
      </c>
    </row>
    <row r="135" spans="3:8" x14ac:dyDescent="0.3">
      <c r="C135">
        <v>10</v>
      </c>
      <c r="D135">
        <v>36.469499999999996</v>
      </c>
      <c r="E135">
        <f>'[1]Simplified Analysis 1'!K419</f>
        <v>522.92370000000005</v>
      </c>
      <c r="F135">
        <f>'[1]Simplified Analysis 1'!L419</f>
        <v>-9.8131999999999966</v>
      </c>
      <c r="G135">
        <f>'[1]Simplified Analysis 1'!K436</f>
        <v>253.29400000000001</v>
      </c>
      <c r="H135">
        <f>'[1]Simplified Analysis 1'!L436</f>
        <v>-40.613999999999983</v>
      </c>
    </row>
    <row r="136" spans="3:8" x14ac:dyDescent="0.3">
      <c r="C136">
        <v>10</v>
      </c>
      <c r="D136">
        <v>36.830770000000001</v>
      </c>
      <c r="E136">
        <f>'[1]Simplified Analysis 1'!K420</f>
        <v>444.98600000000005</v>
      </c>
      <c r="F136">
        <f>'[1]Simplified Analysis 1'!L420</f>
        <v>-2.8196999999999939</v>
      </c>
      <c r="G136">
        <f>'[1]Simplified Analysis 1'!K437</f>
        <v>259.899</v>
      </c>
      <c r="H136">
        <f>'[1]Simplified Analysis 1'!L437</f>
        <v>-24.567000000000014</v>
      </c>
    </row>
    <row r="137" spans="3:8" x14ac:dyDescent="0.3">
      <c r="C137">
        <v>10</v>
      </c>
      <c r="D137">
        <v>36.952129999999997</v>
      </c>
      <c r="E137">
        <f>'[1]Simplified Analysis 1'!K421</f>
        <v>427.84620000000007</v>
      </c>
      <c r="F137">
        <f>'[1]Simplified Analysis 1'!L421</f>
        <v>-1.0049000000000046</v>
      </c>
      <c r="G137">
        <f>'[1]Simplified Analysis 1'!K438</f>
        <v>282.34399999999999</v>
      </c>
      <c r="H137">
        <f>'[1]Simplified Analysis 1'!L438</f>
        <v>-22.357000000000014</v>
      </c>
    </row>
    <row r="138" spans="3:8" x14ac:dyDescent="0.3">
      <c r="C138">
        <v>10</v>
      </c>
      <c r="D138">
        <v>37.434750000000001</v>
      </c>
      <c r="E138">
        <f>'[1]Simplified Analysis 1'!K422</f>
        <v>309.52979999999997</v>
      </c>
      <c r="F138">
        <f>'[1]Simplified Analysis 1'!L422</f>
        <v>3.5599999999999987</v>
      </c>
      <c r="G138">
        <f>'[1]Simplified Analysis 1'!K439</f>
        <v>311.91500000000002</v>
      </c>
      <c r="H138">
        <f>'[1]Simplified Analysis 1'!L439</f>
        <v>-5.0699999999999994</v>
      </c>
    </row>
    <row r="139" spans="3:8" x14ac:dyDescent="0.3">
      <c r="C139">
        <v>10</v>
      </c>
      <c r="D139">
        <v>37.917380000000001</v>
      </c>
      <c r="E139">
        <f>'[1]Simplified Analysis 1'!K423</f>
        <v>167.15549999999999</v>
      </c>
      <c r="F139">
        <f>'[1]Simplified Analysis 1'!L423</f>
        <v>3.892199999999999</v>
      </c>
      <c r="G139">
        <f>'[1]Simplified Analysis 1'!K440</f>
        <v>341.97299999999996</v>
      </c>
      <c r="H139">
        <f>'[1]Simplified Analysis 1'!L440</f>
        <v>3.6909999999999936</v>
      </c>
    </row>
    <row r="140" spans="3:8" x14ac:dyDescent="0.3">
      <c r="C140">
        <v>10</v>
      </c>
      <c r="D140">
        <v>38.4</v>
      </c>
      <c r="E140">
        <f>'[1]Simplified Analysis 1'!K424</f>
        <v>7.8809999999999994E-14</v>
      </c>
      <c r="F140">
        <f>'[1]Simplified Analysis 1'!L424</f>
        <v>7.8809999999999994E-14</v>
      </c>
      <c r="G140">
        <f>'[1]Simplified Analysis 1'!K441</f>
        <v>372.464</v>
      </c>
      <c r="H140">
        <f>'[1]Simplified Analysis 1'!L441</f>
        <v>12.435</v>
      </c>
    </row>
  </sheetData>
  <dataValidations count="1">
    <dataValidation type="decimal" operator="greaterThan" allowBlank="1" showInputMessage="1" showErrorMessage="1" sqref="O8">
      <formula1>0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Span 1</vt:lpstr>
      <vt:lpstr>Sheet3</vt:lpstr>
      <vt:lpstr>Sheet4</vt:lpstr>
      <vt:lpstr>Sheet5</vt:lpstr>
    </vt:vector>
  </TitlesOfParts>
  <Company>Dillon Consulting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Chaaraoui, Mazen</dc:creator>
  <cp:lastModifiedBy>Chaaraoui, Mazen</cp:lastModifiedBy>
  <dcterms:created xsi:type="dcterms:W3CDTF">2019-02-01T19:32:21Z</dcterms:created>
  <dcterms:modified xsi:type="dcterms:W3CDTF">2019-02-03T18:10:32Z</dcterms:modified>
</cp:coreProperties>
</file>