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Left Exterior Girder" sheetId="2" r:id="rId2"/>
    <sheet name="Interior Girder 1" sheetId="3" r:id="rId3"/>
    <sheet name="Interior Girder 2" sheetId="4" r:id="rId4"/>
    <sheet name="Right Exterior Girder" sheetId="5" r:id="rId5"/>
  </sheets>
  <calcPr calcId="124519" fullCalcOnLoad="1"/>
</workbook>
</file>

<file path=xl/sharedStrings.xml><?xml version="1.0" encoding="utf-8"?>
<sst xmlns="http://schemas.openxmlformats.org/spreadsheetml/2006/main" count="1708" uniqueCount="81">
  <si>
    <t>Left Exterior Girder</t>
  </si>
  <si>
    <t>M3</t>
  </si>
  <si>
    <t>Load Factors</t>
  </si>
  <si>
    <t>Station</t>
  </si>
  <si>
    <t>DEAD</t>
  </si>
  <si>
    <t>MOVE1_Max</t>
  </si>
  <si>
    <t>MOVE1_Min</t>
  </si>
  <si>
    <t>Barrier</t>
  </si>
  <si>
    <t>Sidewalk</t>
  </si>
  <si>
    <t>FWS</t>
  </si>
  <si>
    <t>T_Change_Pos</t>
  </si>
  <si>
    <t>T_Change_Neg</t>
  </si>
  <si>
    <t>TEST</t>
  </si>
  <si>
    <t>MOVE1_Max_Combo</t>
  </si>
  <si>
    <t>MOVE1_Min_Combo</t>
  </si>
  <si>
    <t>5.603E-16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</si>
  <si>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</si>
  <si>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</si>
  <si>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</si>
  <si>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</si>
  <si>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</si>
  <si>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</si>
  <si>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</si>
  <si>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</si>
  <si>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</si>
  <si>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</si>
  <si>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</si>
  <si>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</si>
  <si>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</si>
  <si>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</si>
  <si>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</si>
  <si>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15.91</t>
  </si>
  <si>
    <t>16.82</t>
  </si>
  <si>
    <t>17.73</t>
  </si>
  <si>
    <t>18.64</t>
  </si>
  <si>
    <t>19.55</t>
  </si>
  <si>
    <t>20</t>
  </si>
  <si>
    <t>20.45</t>
  </si>
  <si>
    <t>21.36</t>
  </si>
  <si>
    <t>22.27</t>
  </si>
  <si>
    <t>23.18</t>
  </si>
  <si>
    <t>24.09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</si>
  <si>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</si>
  <si>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</si>
  <si>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</si>
  <si>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</si>
  <si>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</si>
  <si>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</si>
  <si>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</si>
  <si>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</si>
  <si>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</si>
  <si>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</si>
  <si>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</si>
  <si>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35.91</t>
  </si>
  <si>
    <t>36.82</t>
  </si>
  <si>
    <t>37.73</t>
  </si>
  <si>
    <t>38.64</t>
  </si>
  <si>
    <t>39.55</t>
  </si>
  <si>
    <t>40</t>
  </si>
  <si>
    <t>40.45</t>
  </si>
  <si>
    <t>41.36</t>
  </si>
  <si>
    <t>42.27</t>
  </si>
  <si>
    <t>43.18</t>
  </si>
  <si>
    <t>44.09</t>
  </si>
  <si>
    <t>45</t>
  </si>
  <si>
    <t>46</t>
  </si>
  <si>
    <t>47</t>
  </si>
  <si>
    <t>48</t>
  </si>
  <si>
    <t>49</t>
  </si>
  <si>
    <t>50</t>
  </si>
  <si>
    <t>V2</t>
  </si>
  <si>
    <t>M2</t>
  </si>
  <si>
    <t>V3</t>
  </si>
  <si>
    <t>P</t>
  </si>
  <si>
    <t>T_table</t>
  </si>
  <si>
    <t>Interior Girder 1</t>
  </si>
  <si>
    <t>1.868E-16</t>
  </si>
  <si>
    <t>Interior Girder 2</t>
  </si>
  <si>
    <t>-1.868E-16</t>
  </si>
  <si>
    <t>Right Exterior Girder</t>
  </si>
  <si>
    <t>-5.603E-16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</si>
</sst>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C8:N65" totalsRowShown="0">
  <autoFilter ref="C8:N65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C203:N260" totalsRowShown="0">
  <autoFilter ref="C203:N260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C268:N325" totalsRowShown="0">
  <autoFilter ref="C268:N325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C333:N390" totalsRowShown="0">
  <autoFilter ref="C333:N390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C8:N65" totalsRowShown="0">
  <autoFilter ref="C8:N65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C73:N130" totalsRowShown="0">
  <autoFilter ref="C73:N130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C138:N195" totalsRowShown="0">
  <autoFilter ref="C138:N195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C203:N260" totalsRowShown="0">
  <autoFilter ref="C203:N260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C268:N325" totalsRowShown="0">
  <autoFilter ref="C268:N325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C333:N390" totalsRowShown="0">
  <autoFilter ref="C333:N390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9" name="Table19" displayName="Table19" ref="C8:N65" totalsRowShown="0">
  <autoFilter ref="C8:N65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73:N130" totalsRowShown="0">
  <autoFilter ref="C73:N130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20" name="Table20" displayName="Table20" ref="C73:N130" totalsRowShown="0">
  <autoFilter ref="C73:N130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1" name="Table21" displayName="Table21" ref="C138:N195" totalsRowShown="0">
  <autoFilter ref="C138:N195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C203:N260" totalsRowShown="0">
  <autoFilter ref="C203:N260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3" name="Table23" displayName="Table23" ref="C268:N325" totalsRowShown="0">
  <autoFilter ref="C268:N325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4" name="Table24" displayName="Table24" ref="C333:N390" totalsRowShown="0">
  <autoFilter ref="C333:N390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38:N195" totalsRowShown="0">
  <autoFilter ref="C138:N195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C203:N260" totalsRowShown="0">
  <autoFilter ref="C203:N260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268:N325" totalsRowShown="0">
  <autoFilter ref="C268:N325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C333:N390" totalsRowShown="0">
  <autoFilter ref="C333:N390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C8:N65" totalsRowShown="0">
  <autoFilter ref="C8:N65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C73:N130" totalsRowShown="0">
  <autoFilter ref="C73:N130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C138:N195" totalsRowShown="0">
  <autoFilter ref="C138:N195"/>
  <tableColumns count="12">
    <tableColumn id="1" name="Station"/>
    <tableColumn id="2" name="DEAD"/>
    <tableColumn id="3" name="MOVE1_Max"/>
    <tableColumn id="4" name="MOVE1_Min"/>
    <tableColumn id="5" name="Barrier"/>
    <tableColumn id="6" name="Sidewalk"/>
    <tableColumn id="7" name="FWS"/>
    <tableColumn id="8" name="T_Change_Pos"/>
    <tableColumn id="9" name="T_Change_Neg"/>
    <tableColumn id="10" name="TEST"/>
    <tableColumn id="11" name="MOVE1_Max_Combo"/>
    <tableColumn id="12" name="MOVE1_Min_Comb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Relationship Id="rId2" Type="http://schemas.openxmlformats.org/officeDocument/2006/relationships/table" Target="../tables/table8.xml"/><Relationship Id="rId3" Type="http://schemas.openxmlformats.org/officeDocument/2006/relationships/table" Target="../tables/table9.xml"/><Relationship Id="rId4" Type="http://schemas.openxmlformats.org/officeDocument/2006/relationships/table" Target="../tables/table10.xml"/><Relationship Id="rId5" Type="http://schemas.openxmlformats.org/officeDocument/2006/relationships/table" Target="../tables/table11.xml"/><Relationship Id="rId6" Type="http://schemas.openxmlformats.org/officeDocument/2006/relationships/table" Target="../tables/table1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13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Relationship Id="rId6" Type="http://schemas.openxmlformats.org/officeDocument/2006/relationships/table" Target="../tables/table18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19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Relationship Id="rId4" Type="http://schemas.openxmlformats.org/officeDocument/2006/relationships/table" Target="../tables/table22.xml"/><Relationship Id="rId5" Type="http://schemas.openxmlformats.org/officeDocument/2006/relationships/table" Target="../tables/table23.xml"/><Relationship Id="rId6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3:N390"/>
  <sheetViews>
    <sheetView workbookViewId="0"/>
  </sheetViews>
  <sheetFormatPr defaultRowHeight="15"/>
  <sheetData>
    <row r="3" spans="3:14">
      <c r="C3" t="s">
        <v>0</v>
      </c>
    </row>
    <row r="5" spans="3:14">
      <c r="C5" t="s">
        <v>1</v>
      </c>
    </row>
    <row r="7" spans="3:14">
      <c r="C7" t="s">
        <v>2</v>
      </c>
    </row>
    <row r="8" spans="3:14"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  <c r="N8" t="s">
        <v>14</v>
      </c>
    </row>
    <row r="9" spans="3:14">
      <c r="C9" t="s">
        <v>15</v>
      </c>
      <c r="D9">
        <f>-7.4411*$D$7</f>
        <v>0</v>
      </c>
      <c r="E9">
        <f>466.3723*$E$7</f>
        <v>0</v>
      </c>
      <c r="F9">
        <f>-447.7857*$F$7</f>
        <v>0</v>
      </c>
      <c r="G9">
        <f>-28.9446*$G$7</f>
        <v>0</v>
      </c>
      <c r="H9">
        <f>0*$H$7</f>
        <v>0</v>
      </c>
      <c r="I9">
        <f>0.7592*$I$7</f>
        <v>0</v>
      </c>
      <c r="J9">
        <f>-306.181*$J$7</f>
        <v>0</v>
      </c>
      <c r="K9">
        <f>408.2413*$K$7</f>
        <v>0</v>
      </c>
      <c r="L9">
        <f>-0.1889*$L$7</f>
        <v>0</v>
      </c>
      <c r="M9">
        <f>0+D9+E9+G9+H9+I9+J9+K9+L9</f>
        <v>0</v>
      </c>
      <c r="N9">
        <f>0+D9+F9+G9+H9+I9+J9+K9+L9</f>
        <v>0</v>
      </c>
    </row>
    <row r="10" spans="3:14">
      <c r="C10" t="s">
        <v>16</v>
      </c>
      <c r="D10">
        <f>212.6891*$D$7</f>
        <v>0</v>
      </c>
      <c r="E10">
        <f>541.8378*$E$7</f>
        <v>0</v>
      </c>
      <c r="F10">
        <f>-210.9212*$F$7</f>
        <v>0</v>
      </c>
      <c r="G10">
        <f>7.5474*$G$7</f>
        <v>0</v>
      </c>
      <c r="H10">
        <f>0*$H$7</f>
        <v>0</v>
      </c>
      <c r="I10">
        <f>31.6239*$I$7</f>
        <v>0</v>
      </c>
      <c r="J10">
        <f>-227.9657*$J$7</f>
        <v>0</v>
      </c>
      <c r="K10">
        <f>303.9543*$K$7</f>
        <v>0</v>
      </c>
      <c r="L10">
        <f>-0.1618*$L$7</f>
        <v>0</v>
      </c>
      <c r="M10">
        <f>0+D10+E10+G10+H10+I10+J10+K10+L10</f>
        <v>0</v>
      </c>
      <c r="N10">
        <f>0+D10+F10+G10+H10+I10+J10+K10+L10</f>
        <v>0</v>
      </c>
    </row>
    <row r="11" spans="3:14">
      <c r="C11" t="s">
        <v>17</v>
      </c>
      <c r="D11">
        <f>393.5625*$D$7</f>
        <v>0</v>
      </c>
      <c r="E11">
        <f>656.6119*$E$7</f>
        <v>0</v>
      </c>
      <c r="F11">
        <f>-74.2252*$F$7</f>
        <v>0</v>
      </c>
      <c r="G11">
        <f>34.9632*$G$7</f>
        <v>0</v>
      </c>
      <c r="H11">
        <f>0*$H$7</f>
        <v>0</v>
      </c>
      <c r="I11">
        <f>56.9856*$I$7</f>
        <v>0</v>
      </c>
      <c r="J11">
        <f>-180.0683*$J$7</f>
        <v>0</v>
      </c>
      <c r="K11">
        <f>240.0911*$K$7</f>
        <v>0</v>
      </c>
      <c r="L11">
        <f>-0.1388*$L$7</f>
        <v>0</v>
      </c>
      <c r="M11">
        <f>0+D11+E11+G11+H11+I11+J11+K11+L11</f>
        <v>0</v>
      </c>
      <c r="N11">
        <f>0+D11+F11+G11+H11+I11+J11+K11+L11</f>
        <v>0</v>
      </c>
    </row>
    <row r="12" spans="3:14">
      <c r="C12" t="s">
        <v>18</v>
      </c>
      <c r="D12">
        <f>548.7869*$D$7</f>
        <v>0</v>
      </c>
      <c r="E12">
        <f>801.8754*$E$7</f>
        <v>0</v>
      </c>
      <c r="F12">
        <f>-28.6311*$F$7</f>
        <v>0</v>
      </c>
      <c r="G12">
        <f>55.5129*$G$7</f>
        <v>0</v>
      </c>
      <c r="H12">
        <f>0*$H$7</f>
        <v>0</v>
      </c>
      <c r="I12">
        <f>78.7472*$I$7</f>
        <v>0</v>
      </c>
      <c r="J12">
        <f>-134.8044*$J$7</f>
        <v>0</v>
      </c>
      <c r="K12">
        <f>179.7392*$K$7</f>
        <v>0</v>
      </c>
      <c r="L12">
        <f>-0.1176*$L$7</f>
        <v>0</v>
      </c>
      <c r="M12">
        <f>0+D12+E12+G12+H12+I12+J12+K12+L12</f>
        <v>0</v>
      </c>
      <c r="N12">
        <f>0+D12+F12+G12+H12+I12+J12+K12+L12</f>
        <v>0</v>
      </c>
    </row>
    <row r="13" spans="3:14">
      <c r="C13" t="s">
        <v>19</v>
      </c>
      <c r="D13">
        <f>672.4606*$D$7</f>
        <v>0</v>
      </c>
      <c r="E13">
        <f>939.0871*$E$7</f>
        <v>0</v>
      </c>
      <c r="F13">
        <f>-27.8256*$F$7</f>
        <v>0</v>
      </c>
      <c r="G13">
        <f>69.1883*$G$7</f>
        <v>0</v>
      </c>
      <c r="H13">
        <f>0*$H$7</f>
        <v>0</v>
      </c>
      <c r="I13">
        <f>96.0523*$I$7</f>
        <v>0</v>
      </c>
      <c r="J13">
        <f>-89.4667*$J$7</f>
        <v>0</v>
      </c>
      <c r="K13">
        <f>119.289*$K$7</f>
        <v>0</v>
      </c>
      <c r="L13">
        <f>-0.099*$L$7</f>
        <v>0</v>
      </c>
      <c r="M13">
        <f>0+D13+E13+G13+H13+I13+J13+K13+L13</f>
        <v>0</v>
      </c>
      <c r="N13">
        <f>0+D13+F13+G13+H13+I13+J13+K13+L13</f>
        <v>0</v>
      </c>
    </row>
    <row r="14" spans="3:14">
      <c r="C14" t="s">
        <v>20</v>
      </c>
      <c r="D14">
        <f>780.229*$D$7</f>
        <v>0</v>
      </c>
      <c r="E14">
        <f>1083.8129*$E$7</f>
        <v>0</v>
      </c>
      <c r="F14">
        <f>-28.9263*$F$7</f>
        <v>0</v>
      </c>
      <c r="G14">
        <f>78.9414*$G$7</f>
        <v>0</v>
      </c>
      <c r="H14">
        <f>0*$H$7</f>
        <v>0</v>
      </c>
      <c r="I14">
        <f>111.0593*$I$7</f>
        <v>0</v>
      </c>
      <c r="J14">
        <f>-37.5332*$J$7</f>
        <v>0</v>
      </c>
      <c r="K14">
        <f>50.0442*$K$7</f>
        <v>0</v>
      </c>
      <c r="L14">
        <f>-0.0832*$L$7</f>
        <v>0</v>
      </c>
      <c r="M14">
        <f>0+D14+E14+G14+H14+I14+J14+K14+L14</f>
        <v>0</v>
      </c>
      <c r="N14">
        <f>0+D14+F14+G14+H14+I14+J14+K14+L14</f>
        <v>0</v>
      </c>
    </row>
    <row r="15" spans="3:14">
      <c r="C15" t="s">
        <v>21</v>
      </c>
      <c r="D15">
        <f>868.9367*$D$7</f>
        <v>0</v>
      </c>
      <c r="E15">
        <f>1198.5007*$E$7</f>
        <v>0</v>
      </c>
      <c r="F15">
        <f>-30.8025*$F$7</f>
        <v>0</v>
      </c>
      <c r="G15">
        <f>91.4094*$G$7</f>
        <v>0</v>
      </c>
      <c r="H15">
        <f>0*$H$7</f>
        <v>0</v>
      </c>
      <c r="I15">
        <f>123.8961*$I$7</f>
        <v>0</v>
      </c>
      <c r="J15">
        <f>-54.7805*$J$7</f>
        <v>0</v>
      </c>
      <c r="K15">
        <f>73.0407*$K$7</f>
        <v>0</v>
      </c>
      <c r="L15">
        <f>-0.0817*$L$7</f>
        <v>0</v>
      </c>
      <c r="M15">
        <f>0+D15+E15+G15+H15+I15+J15+K15+L15</f>
        <v>0</v>
      </c>
      <c r="N15">
        <f>0+D15+F15+G15+H15+I15+J15+K15+L15</f>
        <v>0</v>
      </c>
    </row>
    <row r="16" spans="3:14">
      <c r="C16" t="s">
        <v>22</v>
      </c>
      <c r="D16">
        <f>934.1734*$D$7</f>
        <v>0</v>
      </c>
      <c r="E16">
        <f>1291.1991*$E$7</f>
        <v>0</v>
      </c>
      <c r="F16">
        <f>-32.9783*$F$7</f>
        <v>0</v>
      </c>
      <c r="G16">
        <f>100.4635*$G$7</f>
        <v>0</v>
      </c>
      <c r="H16">
        <f>0*$H$7</f>
        <v>0</v>
      </c>
      <c r="I16">
        <f>133.2251*$I$7</f>
        <v>0</v>
      </c>
      <c r="J16">
        <f>-62.4372*$J$7</f>
        <v>0</v>
      </c>
      <c r="K16">
        <f>83.2497*$K$7</f>
        <v>0</v>
      </c>
      <c r="L16">
        <f>-0.0672*$L$7</f>
        <v>0</v>
      </c>
      <c r="M16">
        <f>0+D16+E16+G16+H16+I16+J16+K16+L16</f>
        <v>0</v>
      </c>
      <c r="N16">
        <f>0+D16+F16+G16+H16+I16+J16+K16+L16</f>
        <v>0</v>
      </c>
    </row>
    <row r="17" spans="3:14">
      <c r="C17" t="s">
        <v>23</v>
      </c>
      <c r="D17">
        <f>976.6145*$D$7</f>
        <v>0</v>
      </c>
      <c r="E17">
        <f>1352.4077*$E$7</f>
        <v>0</v>
      </c>
      <c r="F17">
        <f>-35.1518*$F$7</f>
        <v>0</v>
      </c>
      <c r="G17">
        <f>104.4713*$G$7</f>
        <v>0</v>
      </c>
      <c r="H17">
        <f>0*$H$7</f>
        <v>0</v>
      </c>
      <c r="I17">
        <f>139.2758*$I$7</f>
        <v>0</v>
      </c>
      <c r="J17">
        <f>-62.092*$J$7</f>
        <v>0</v>
      </c>
      <c r="K17">
        <f>82.7893*$K$7</f>
        <v>0</v>
      </c>
      <c r="L17">
        <f>-0.0552*$L$7</f>
        <v>0</v>
      </c>
      <c r="M17">
        <f>0+D17+E17+G17+H17+I17+J17+K17+L17</f>
        <v>0</v>
      </c>
      <c r="N17">
        <f>0+D17+F17+G17+H17+I17+J17+K17+L17</f>
        <v>0</v>
      </c>
    </row>
    <row r="18" spans="3:14">
      <c r="C18" t="s">
        <v>24</v>
      </c>
      <c r="D18">
        <f>1006.5806*$D$7</f>
        <v>0</v>
      </c>
      <c r="E18">
        <f>1401.3414*$E$7</f>
        <v>0</v>
      </c>
      <c r="F18">
        <f>-37.7909*$F$7</f>
        <v>0</v>
      </c>
      <c r="G18">
        <f>104.8829*$G$7</f>
        <v>0</v>
      </c>
      <c r="H18">
        <f>0*$H$7</f>
        <v>0</v>
      </c>
      <c r="I18">
        <f>143.5106*$I$7</f>
        <v>0</v>
      </c>
      <c r="J18">
        <f>-53.9546*$J$7</f>
        <v>0</v>
      </c>
      <c r="K18">
        <f>71.9395*$K$7</f>
        <v>0</v>
      </c>
      <c r="L18">
        <f>-0.0423*$L$7</f>
        <v>0</v>
      </c>
      <c r="M18">
        <f>0+D18+E18+G18+H18+I18+J18+K18+L18</f>
        <v>0</v>
      </c>
      <c r="N18">
        <f>0+D18+F18+G18+H18+I18+J18+K18+L18</f>
        <v>0</v>
      </c>
    </row>
    <row r="19" spans="3:14">
      <c r="C19" t="s">
        <v>25</v>
      </c>
      <c r="D19">
        <f>1014.8472*$D$7</f>
        <v>0</v>
      </c>
      <c r="E19">
        <f>1418.6358*$E$7</f>
        <v>0</v>
      </c>
      <c r="F19">
        <f>-40.6926*$F$7</f>
        <v>0</v>
      </c>
      <c r="G19">
        <f>101.0887*$G$7</f>
        <v>0</v>
      </c>
      <c r="H19">
        <f>0*$H$7</f>
        <v>0</v>
      </c>
      <c r="I19">
        <f>144.5705*$I$7</f>
        <v>0</v>
      </c>
      <c r="J19">
        <f>-41.6749*$J$7</f>
        <v>0</v>
      </c>
      <c r="K19">
        <f>55.5666*$K$7</f>
        <v>0</v>
      </c>
      <c r="L19">
        <f>-0.0309*$L$7</f>
        <v>0</v>
      </c>
      <c r="M19">
        <f>0+D19+E19+G19+H19+I19+J19+K19+L19</f>
        <v>0</v>
      </c>
      <c r="N19">
        <f>0+D19+F19+G19+H19+I19+J19+K19+L19</f>
        <v>0</v>
      </c>
    </row>
    <row r="20" spans="3:14">
      <c r="C20" t="s">
        <v>26</v>
      </c>
      <c r="D20">
        <f>989.2601*$D$7</f>
        <v>0</v>
      </c>
      <c r="E20">
        <f>1388.2732*$E$7</f>
        <v>0</v>
      </c>
      <c r="F20">
        <f>-43.8666*$F$7</f>
        <v>0</v>
      </c>
      <c r="G20">
        <f>103.326*$G$7</f>
        <v>0</v>
      </c>
      <c r="H20">
        <f>0*$H$7</f>
        <v>0</v>
      </c>
      <c r="I20">
        <f>141.0722*$I$7</f>
        <v>0</v>
      </c>
      <c r="J20">
        <f>-53.6119*$J$7</f>
        <v>0</v>
      </c>
      <c r="K20">
        <f>71.4825*$K$7</f>
        <v>0</v>
      </c>
      <c r="L20">
        <f>-0.0351*$L$7</f>
        <v>0</v>
      </c>
      <c r="M20">
        <f>0+D20+E20+G20+H20+I20+J20+K20+L20</f>
        <v>0</v>
      </c>
      <c r="N20">
        <f>0+D20+F20+G20+H20+I20+J20+K20+L20</f>
        <v>0</v>
      </c>
    </row>
    <row r="21" spans="3:14">
      <c r="C21" t="s">
        <v>27</v>
      </c>
      <c r="D21">
        <f>945.0613*$D$7</f>
        <v>0</v>
      </c>
      <c r="E21">
        <f>1340.6222*$E$7</f>
        <v>0</v>
      </c>
      <c r="F21">
        <f>-46.989*$F$7</f>
        <v>0</v>
      </c>
      <c r="G21">
        <f>101.9223*$G$7</f>
        <v>0</v>
      </c>
      <c r="H21">
        <f>0*$H$7</f>
        <v>0</v>
      </c>
      <c r="I21">
        <f>134.7901*$I$7</f>
        <v>0</v>
      </c>
      <c r="J21">
        <f>-60.93*$J$7</f>
        <v>0</v>
      </c>
      <c r="K21">
        <f>81.24*$K$7</f>
        <v>0</v>
      </c>
      <c r="L21">
        <f>-0.0227*$L$7</f>
        <v>0</v>
      </c>
      <c r="M21">
        <f>0+D21+E21+G21+H21+I21+J21+K21+L21</f>
        <v>0</v>
      </c>
      <c r="N21">
        <f>0+D21+F21+G21+H21+I21+J21+K21+L21</f>
        <v>0</v>
      </c>
    </row>
    <row r="22" spans="3:14">
      <c r="C22" t="s">
        <v>28</v>
      </c>
      <c r="D22">
        <f>879.2352*$D$7</f>
        <v>0</v>
      </c>
      <c r="E22">
        <f>1261.4451*$E$7</f>
        <v>0</v>
      </c>
      <c r="F22">
        <f>-50.574*$F$7</f>
        <v>0</v>
      </c>
      <c r="G22">
        <f>95.6456*$G$7</f>
        <v>0</v>
      </c>
      <c r="H22">
        <f>0*$H$7</f>
        <v>0</v>
      </c>
      <c r="I22">
        <f>125.3799*$I$7</f>
        <v>0</v>
      </c>
      <c r="J22">
        <f>-60.1626*$J$7</f>
        <v>0</v>
      </c>
      <c r="K22">
        <f>80.2168*$K$7</f>
        <v>0</v>
      </c>
      <c r="L22">
        <f>-0.0098*$L$7</f>
        <v>0</v>
      </c>
      <c r="M22">
        <f>0+D22+E22+G22+H22+I22+J22+K22+L22</f>
        <v>0</v>
      </c>
      <c r="N22">
        <f>0+D22+F22+G22+H22+I22+J22+K22+L22</f>
        <v>0</v>
      </c>
    </row>
    <row r="23" spans="3:14">
      <c r="C23" t="s">
        <v>29</v>
      </c>
      <c r="D23">
        <f>802.1838*$D$7</f>
        <v>0</v>
      </c>
      <c r="E23">
        <f>1168.6394*$E$7</f>
        <v>0</v>
      </c>
      <c r="F23">
        <f>-56.6137*$F$7</f>
        <v>0</v>
      </c>
      <c r="G23">
        <f>85.8283*$G$7</f>
        <v>0</v>
      </c>
      <c r="H23">
        <f>0*$H$7</f>
        <v>0</v>
      </c>
      <c r="I23">
        <f>114.353*$I$7</f>
        <v>0</v>
      </c>
      <c r="J23">
        <f>-52.2347*$J$7</f>
        <v>0</v>
      </c>
      <c r="K23">
        <f>69.6463*$K$7</f>
        <v>0</v>
      </c>
      <c r="L23">
        <f>0.0016*$L$7</f>
        <v>0</v>
      </c>
      <c r="M23">
        <f>0+D23+E23+G23+H23+I23+J23+K23+L23</f>
        <v>0</v>
      </c>
      <c r="N23">
        <f>0+D23+F23+G23+H23+I23+J23+K23+L23</f>
        <v>0</v>
      </c>
    </row>
    <row r="24" spans="3:14">
      <c r="C24" t="s">
        <v>30</v>
      </c>
      <c r="D24">
        <f>701.07*$D$7</f>
        <v>0</v>
      </c>
      <c r="E24">
        <f>1049.5224*$E$7</f>
        <v>0</v>
      </c>
      <c r="F24">
        <f>-63.8707*$F$7</f>
        <v>0</v>
      </c>
      <c r="G24">
        <f>71.4893*$G$7</f>
        <v>0</v>
      </c>
      <c r="H24">
        <f>0*$H$7</f>
        <v>0</v>
      </c>
      <c r="I24">
        <f>99.8204*$I$7</f>
        <v>0</v>
      </c>
      <c r="J24">
        <f>-40.6255*$J$7</f>
        <v>0</v>
      </c>
      <c r="K24">
        <f>54.1674*$K$7</f>
        <v>0</v>
      </c>
      <c r="L24">
        <f>0.0145*$L$7</f>
        <v>0</v>
      </c>
      <c r="M24">
        <f>0+D24+E24+G24+H24+I24+J24+K24+L24</f>
        <v>0</v>
      </c>
      <c r="N24">
        <f>0+D24+F24+G24+H24+I24+J24+K24+L24</f>
        <v>0</v>
      </c>
    </row>
    <row r="25" spans="3:14">
      <c r="C25" t="s">
        <v>31</v>
      </c>
      <c r="D25">
        <f>581.2548*$D$7</f>
        <v>0</v>
      </c>
      <c r="E25">
        <f>888.255*$E$7</f>
        <v>0</v>
      </c>
      <c r="F25">
        <f>-64.2919*$F$7</f>
        <v>0</v>
      </c>
      <c r="G25">
        <f>63.6491*$G$7</f>
        <v>0</v>
      </c>
      <c r="H25">
        <f>0*$H$7</f>
        <v>0</v>
      </c>
      <c r="I25">
        <f>82.8595*$I$7</f>
        <v>0</v>
      </c>
      <c r="J25">
        <f>-56.8941*$J$7</f>
        <v>0</v>
      </c>
      <c r="K25">
        <f>75.8587*$K$7</f>
        <v>0</v>
      </c>
      <c r="L25">
        <f>0.0041*$L$7</f>
        <v>0</v>
      </c>
      <c r="M25">
        <f>0+D25+E25+G25+H25+I25+J25+K25+L25</f>
        <v>0</v>
      </c>
      <c r="N25">
        <f>0+D25+F25+G25+H25+I25+J25+K25+L25</f>
        <v>0</v>
      </c>
    </row>
    <row r="26" spans="3:14">
      <c r="C26" t="s">
        <v>32</v>
      </c>
      <c r="D26">
        <f>468.8305*$D$7</f>
        <v>0</v>
      </c>
      <c r="E26">
        <f>723.4102*$E$7</f>
        <v>0</v>
      </c>
      <c r="F26">
        <f>-60.5452*$F$7</f>
        <v>0</v>
      </c>
      <c r="G26">
        <f>53.9612*$G$7</f>
        <v>0</v>
      </c>
      <c r="H26">
        <f>0*$H$7</f>
        <v>0</v>
      </c>
      <c r="I26">
        <f>66.8874*$I$7</f>
        <v>0</v>
      </c>
      <c r="J26">
        <f>-69.5089*$J$7</f>
        <v>0</v>
      </c>
      <c r="K26">
        <f>92.6785*$K$7</f>
        <v>0</v>
      </c>
      <c r="L26">
        <f>0.01*$L$7</f>
        <v>0</v>
      </c>
      <c r="M26">
        <f>0+D26+E26+G26+H26+I26+J26+K26+L26</f>
        <v>0</v>
      </c>
      <c r="N26">
        <f>0+D26+F26+G26+H26+I26+J26+K26+L26</f>
        <v>0</v>
      </c>
    </row>
    <row r="27" spans="3:14">
      <c r="C27" t="s">
        <v>33</v>
      </c>
      <c r="D27">
        <f>329.9841*$D$7</f>
        <v>0</v>
      </c>
      <c r="E27">
        <f>517.675*$E$7</f>
        <v>0</v>
      </c>
      <c r="F27">
        <f>-56.9548*$F$7</f>
        <v>0</v>
      </c>
      <c r="G27">
        <f>39.4391*$G$7</f>
        <v>0</v>
      </c>
      <c r="H27">
        <f>0*$H$7</f>
        <v>0</v>
      </c>
      <c r="I27">
        <f>47.1216*$I$7</f>
        <v>0</v>
      </c>
      <c r="J27">
        <f>-78.4553*$J$7</f>
        <v>0</v>
      </c>
      <c r="K27">
        <f>104.6071*$K$7</f>
        <v>0</v>
      </c>
      <c r="L27">
        <f>0.0151*$L$7</f>
        <v>0</v>
      </c>
      <c r="M27">
        <f>0+D27+E27+G27+H27+I27+J27+K27+L27</f>
        <v>0</v>
      </c>
      <c r="N27">
        <f>0+D27+F27+G27+H27+I27+J27+K27+L27</f>
        <v>0</v>
      </c>
    </row>
    <row r="28" spans="3:14">
      <c r="C28" t="s">
        <v>34</v>
      </c>
      <c r="D28">
        <f>167.6375*$D$7</f>
        <v>0</v>
      </c>
      <c r="E28">
        <f>270.1947*$E$7</f>
        <v>0</v>
      </c>
      <c r="F28">
        <f>-54.2055*$F$7</f>
        <v>0</v>
      </c>
      <c r="G28">
        <f>19.7814*$G$7</f>
        <v>0</v>
      </c>
      <c r="H28">
        <f>0*$H$7</f>
        <v>0</v>
      </c>
      <c r="I28">
        <f>23.9874*$I$7</f>
        <v>0</v>
      </c>
      <c r="J28">
        <f>-83.6471*$J$7</f>
        <v>0</v>
      </c>
      <c r="K28">
        <f>111.5294*$K$7</f>
        <v>0</v>
      </c>
      <c r="L28">
        <f>0.0179*$L$7</f>
        <v>0</v>
      </c>
      <c r="M28">
        <f>0+D28+E28+G28+H28+I28+J28+K28+L28</f>
        <v>0</v>
      </c>
      <c r="N28">
        <f>0+D28+F28+G28+H28+I28+J28+K28+L28</f>
        <v>0</v>
      </c>
    </row>
    <row r="29" spans="3:14">
      <c r="C29" t="s">
        <v>35</v>
      </c>
      <c r="D29">
        <f>0.5439*$D$7</f>
        <v>0</v>
      </c>
      <c r="E29">
        <f>44.6378*$E$7</f>
        <v>0</v>
      </c>
      <c r="F29">
        <f>-80.5781*$F$7</f>
        <v>0</v>
      </c>
      <c r="G29">
        <f>-2.7381*$G$7</f>
        <v>0</v>
      </c>
      <c r="H29">
        <f>0*$H$7</f>
        <v>0</v>
      </c>
      <c r="I29">
        <f>0.1514*$I$7</f>
        <v>0</v>
      </c>
      <c r="J29">
        <f>-92.9845*$J$7</f>
        <v>0</v>
      </c>
      <c r="K29">
        <f>123.9793*$K$7</f>
        <v>0</v>
      </c>
      <c r="L29">
        <f>0.0159*$L$7</f>
        <v>0</v>
      </c>
      <c r="M29">
        <f>0+D29+E29+G29+H29+I29+J29+K29+L29</f>
        <v>0</v>
      </c>
      <c r="N29">
        <f>0+D29+F29+G29+H29+I29+J29+K29+L29</f>
        <v>0</v>
      </c>
    </row>
    <row r="30" spans="3:14">
      <c r="C30" t="s">
        <v>36</v>
      </c>
      <c r="D30">
        <f>-7.6867*$D$7</f>
        <v>0</v>
      </c>
      <c r="E30">
        <f>3.5704*$E$7</f>
        <v>0</v>
      </c>
      <c r="F30">
        <f>-11.7107*$F$7</f>
        <v>0</v>
      </c>
      <c r="G30">
        <f>-0.8734*$G$7</f>
        <v>0</v>
      </c>
      <c r="H30">
        <f>0*$H$7</f>
        <v>0</v>
      </c>
      <c r="I30">
        <f>-1.1026*$I$7</f>
        <v>0</v>
      </c>
      <c r="J30">
        <f>-67.7863*$J$7</f>
        <v>0</v>
      </c>
      <c r="K30">
        <f>90.3818*$K$7</f>
        <v>0</v>
      </c>
      <c r="L30">
        <f>-0.0011*$L$7</f>
        <v>0</v>
      </c>
      <c r="M30">
        <f>0+D30+E30+G30+H30+I30+J30+K30+L30</f>
        <v>0</v>
      </c>
      <c r="N30">
        <f>0+D30+F30+G30+H30+I30+J30+K30+L30</f>
        <v>0</v>
      </c>
    </row>
    <row r="31" spans="3:14">
      <c r="C31" t="s">
        <v>36</v>
      </c>
      <c r="D31">
        <f>-8.5719*$D$7</f>
        <v>0</v>
      </c>
      <c r="E31">
        <f>1.0313*$E$7</f>
        <v>0</v>
      </c>
      <c r="F31">
        <f>-13.3958*$F$7</f>
        <v>0</v>
      </c>
      <c r="G31">
        <f>-0.7098*$G$7</f>
        <v>0</v>
      </c>
      <c r="H31">
        <f>0*$H$7</f>
        <v>0</v>
      </c>
      <c r="I31">
        <f>-1.239*$I$7</f>
        <v>0</v>
      </c>
      <c r="J31">
        <f>-66.0232*$J$7</f>
        <v>0</v>
      </c>
      <c r="K31">
        <f>88.0309*$K$7</f>
        <v>0</v>
      </c>
      <c r="L31">
        <f>0.2871*$L$7</f>
        <v>0</v>
      </c>
      <c r="M31">
        <f>0+D31+E31+G31+H31+I31+J31+K31+L31</f>
        <v>0</v>
      </c>
      <c r="N31">
        <f>0+D31+F31+G31+H31+I31+J31+K31+L31</f>
        <v>0</v>
      </c>
    </row>
    <row r="32" spans="3:14">
      <c r="C32" t="s">
        <v>37</v>
      </c>
      <c r="D32">
        <f>-6.5011*$D$7</f>
        <v>0</v>
      </c>
      <c r="E32">
        <f>13.2793*$E$7</f>
        <v>0</v>
      </c>
      <c r="F32">
        <f>-19.1067*$F$7</f>
        <v>0</v>
      </c>
      <c r="G32">
        <f>-1.5717*$G$7</f>
        <v>0</v>
      </c>
      <c r="H32">
        <f>0*$H$7</f>
        <v>0</v>
      </c>
      <c r="I32">
        <f>-0.9299*$I$7</f>
        <v>0</v>
      </c>
      <c r="J32">
        <f>-80.3129*$J$7</f>
        <v>0</v>
      </c>
      <c r="K32">
        <f>107.0839*$K$7</f>
        <v>0</v>
      </c>
      <c r="L32">
        <f>0.0847*$L$7</f>
        <v>0</v>
      </c>
      <c r="M32">
        <f>0+D32+E32+G32+H32+I32+J32+K32+L32</f>
        <v>0</v>
      </c>
      <c r="N32">
        <f>0+D32+F32+G32+H32+I32+J32+K32+L32</f>
        <v>0</v>
      </c>
    </row>
    <row r="33" spans="3:14">
      <c r="C33" t="s">
        <v>38</v>
      </c>
      <c r="D33">
        <f>202.0973*$D$7</f>
        <v>0</v>
      </c>
      <c r="E33">
        <f>315.523*$E$7</f>
        <v>0</v>
      </c>
      <c r="F33">
        <f>-11.62*$F$7</f>
        <v>0</v>
      </c>
      <c r="G33">
        <f>20.7382*$G$7</f>
        <v>0</v>
      </c>
      <c r="H33">
        <f>0*$H$7</f>
        <v>0</v>
      </c>
      <c r="I33">
        <f>29.0319*$I$7</f>
        <v>0</v>
      </c>
      <c r="J33">
        <f>-100.3774*$J$7</f>
        <v>0</v>
      </c>
      <c r="K33">
        <f>133.8366*$K$7</f>
        <v>0</v>
      </c>
      <c r="L33">
        <f>-3.8782*$L$7</f>
        <v>0</v>
      </c>
      <c r="M33">
        <f>0+D33+E33+G33+H33+I33+J33+K33+L33</f>
        <v>0</v>
      </c>
      <c r="N33">
        <f>0+D33+F33+G33+H33+I33+J33+K33+L33</f>
        <v>0</v>
      </c>
    </row>
    <row r="34" spans="3:14">
      <c r="C34" t="s">
        <v>39</v>
      </c>
      <c r="D34">
        <f>345.1235*$D$7</f>
        <v>0</v>
      </c>
      <c r="E34">
        <f>537.6143*$E$7</f>
        <v>0</v>
      </c>
      <c r="F34">
        <f>-15.7563*$F$7</f>
        <v>0</v>
      </c>
      <c r="G34">
        <f>38.9501*$G$7</f>
        <v>0</v>
      </c>
      <c r="H34">
        <f>0*$H$7</f>
        <v>0</v>
      </c>
      <c r="I34">
        <f>49.3615*$I$7</f>
        <v>0</v>
      </c>
      <c r="J34">
        <f>-91.7789*$J$7</f>
        <v>0</v>
      </c>
      <c r="K34">
        <f>122.3719*$K$7</f>
        <v>0</v>
      </c>
      <c r="L34">
        <f>-3.4079*$L$7</f>
        <v>0</v>
      </c>
      <c r="M34">
        <f>0+D34+E34+G34+H34+I34+J34+K34+L34</f>
        <v>0</v>
      </c>
      <c r="N34">
        <f>0+D34+F34+G34+H34+I34+J34+K34+L34</f>
        <v>0</v>
      </c>
    </row>
    <row r="35" spans="3:14">
      <c r="C35" t="s">
        <v>40</v>
      </c>
      <c r="D35">
        <f>482.0345*$D$7</f>
        <v>0</v>
      </c>
      <c r="E35">
        <f>746.9769*$E$7</f>
        <v>0</v>
      </c>
      <c r="F35">
        <f>-20.6668*$F$7</f>
        <v>0</v>
      </c>
      <c r="G35">
        <f>54.0548*$G$7</f>
        <v>0</v>
      </c>
      <c r="H35">
        <f>0*$H$7</f>
        <v>0</v>
      </c>
      <c r="I35">
        <f>68.8061*$I$7</f>
        <v>0</v>
      </c>
      <c r="J35">
        <f>-80.1528*$J$7</f>
        <v>0</v>
      </c>
      <c r="K35">
        <f>106.8704*$K$7</f>
        <v>0</v>
      </c>
      <c r="L35">
        <f>-3.0464*$L$7</f>
        <v>0</v>
      </c>
      <c r="M35">
        <f>0+D35+E35+G35+H35+I35+J35+K35+L35</f>
        <v>0</v>
      </c>
      <c r="N35">
        <f>0+D35+F35+G35+H35+I35+J35+K35+L35</f>
        <v>0</v>
      </c>
    </row>
    <row r="36" spans="3:14">
      <c r="C36" t="s">
        <v>41</v>
      </c>
      <c r="D36">
        <f>596.3086*$D$7</f>
        <v>0</v>
      </c>
      <c r="E36">
        <f>918.157*$E$7</f>
        <v>0</v>
      </c>
      <c r="F36">
        <f>-28.4464*$F$7</f>
        <v>0</v>
      </c>
      <c r="G36">
        <f>64.2227*$G$7</f>
        <v>0</v>
      </c>
      <c r="H36">
        <f>0*$H$7</f>
        <v>0</v>
      </c>
      <c r="I36">
        <f>85.0085*$I$7</f>
        <v>0</v>
      </c>
      <c r="J36">
        <f>-63.5281*$J$7</f>
        <v>0</v>
      </c>
      <c r="K36">
        <f>84.7041*$K$7</f>
        <v>0</v>
      </c>
      <c r="L36">
        <f>-2.7361*$L$7</f>
        <v>0</v>
      </c>
      <c r="M36">
        <f>0+D36+E36+G36+H36+I36+J36+K36+L36</f>
        <v>0</v>
      </c>
      <c r="N36">
        <f>0+D36+F36+G36+H36+I36+J36+K36+L36</f>
        <v>0</v>
      </c>
    </row>
    <row r="37" spans="3:14">
      <c r="C37" t="s">
        <v>42</v>
      </c>
      <c r="D37">
        <f>690.665*$D$7</f>
        <v>0</v>
      </c>
      <c r="E37">
        <f>1057.9222*$E$7</f>
        <v>0</v>
      </c>
      <c r="F37">
        <f>-38.6926*$F$7</f>
        <v>0</v>
      </c>
      <c r="G37">
        <f>70.8254*$G$7</f>
        <v>0</v>
      </c>
      <c r="H37">
        <f>0*$H$7</f>
        <v>0</v>
      </c>
      <c r="I37">
        <f>98.3251*$I$7</f>
        <v>0</v>
      </c>
      <c r="J37">
        <f>-39.9678*$J$7</f>
        <v>0</v>
      </c>
      <c r="K37">
        <f>53.2904*$K$7</f>
        <v>0</v>
      </c>
      <c r="L37">
        <f>-2.4958*$L$7</f>
        <v>0</v>
      </c>
      <c r="M37">
        <f>0+D37+E37+G37+H37+I37+J37+K37+L37</f>
        <v>0</v>
      </c>
      <c r="N37">
        <f>0+D37+F37+G37+H37+I37+J37+K37+L37</f>
        <v>0</v>
      </c>
    </row>
    <row r="38" spans="3:14">
      <c r="C38" t="s">
        <v>43</v>
      </c>
      <c r="D38">
        <f>790.9333*$D$7</f>
        <v>0</v>
      </c>
      <c r="E38">
        <f>1179.0866*$E$7</f>
        <v>0</v>
      </c>
      <c r="F38">
        <f>-32.0809*$F$7</f>
        <v>0</v>
      </c>
      <c r="G38">
        <f>84.2059*$G$7</f>
        <v>0</v>
      </c>
      <c r="H38">
        <f>0*$H$7</f>
        <v>0</v>
      </c>
      <c r="I38">
        <f>112.7859*$I$7</f>
        <v>0</v>
      </c>
      <c r="J38">
        <f>-56.807*$J$7</f>
        <v>0</v>
      </c>
      <c r="K38">
        <f>75.7427*$K$7</f>
        <v>0</v>
      </c>
      <c r="L38">
        <f>-3.1874*$L$7</f>
        <v>0</v>
      </c>
      <c r="M38">
        <f>0+D38+E38+G38+H38+I38+J38+K38+L38</f>
        <v>0</v>
      </c>
      <c r="N38">
        <f>0+D38+F38+G38+H38+I38+J38+K38+L38</f>
        <v>0</v>
      </c>
    </row>
    <row r="39" spans="3:14">
      <c r="C39" t="s">
        <v>44</v>
      </c>
      <c r="D39">
        <f>863.8551*$D$7</f>
        <v>0</v>
      </c>
      <c r="E39">
        <f>1271.7082*$E$7</f>
        <v>0</v>
      </c>
      <c r="F39">
        <f>-33.1312*$F$7</f>
        <v>0</v>
      </c>
      <c r="G39">
        <f>93.7534*$G$7</f>
        <v>0</v>
      </c>
      <c r="H39">
        <f>0*$H$7</f>
        <v>0</v>
      </c>
      <c r="I39">
        <f>123.2143*$I$7</f>
        <v>0</v>
      </c>
      <c r="J39">
        <f>-65.8177*$J$7</f>
        <v>0</v>
      </c>
      <c r="K39">
        <f>87.7569*$K$7</f>
        <v>0</v>
      </c>
      <c r="L39">
        <f>-3.3377*$L$7</f>
        <v>0</v>
      </c>
      <c r="M39">
        <f>0+D39+E39+G39+H39+I39+J39+K39+L39</f>
        <v>0</v>
      </c>
      <c r="N39">
        <f>0+D39+F39+G39+H39+I39+J39+K39+L39</f>
        <v>0</v>
      </c>
    </row>
    <row r="40" spans="3:14">
      <c r="C40" t="s">
        <v>45</v>
      </c>
      <c r="D40">
        <f>912.8918*$D$7</f>
        <v>0</v>
      </c>
      <c r="E40">
        <f>1336.3294*$E$7</f>
        <v>0</v>
      </c>
      <c r="F40">
        <f>-34.8331*$F$7</f>
        <v>0</v>
      </c>
      <c r="G40">
        <f>98.1685*$G$7</f>
        <v>0</v>
      </c>
      <c r="H40">
        <f>0*$H$7</f>
        <v>0</v>
      </c>
      <c r="I40">
        <f>130.2127*$I$7</f>
        <v>0</v>
      </c>
      <c r="J40">
        <f>-66.9646*$J$7</f>
        <v>0</v>
      </c>
      <c r="K40">
        <f>89.2861*$K$7</f>
        <v>0</v>
      </c>
      <c r="L40">
        <f>-3.575*$L$7</f>
        <v>0</v>
      </c>
      <c r="M40">
        <f>0+D40+E40+G40+H40+I40+J40+K40+L40</f>
        <v>0</v>
      </c>
      <c r="N40">
        <f>0+D40+F40+G40+H40+I40+J40+K40+L40</f>
        <v>0</v>
      </c>
    </row>
    <row r="41" spans="3:14">
      <c r="C41" t="s">
        <v>46</v>
      </c>
      <c r="D41">
        <f>949.9246*$D$7</f>
        <v>0</v>
      </c>
      <c r="E41">
        <f>1386.7722*$E$7</f>
        <v>0</v>
      </c>
      <c r="F41">
        <f>-40.5767*$F$7</f>
        <v>0</v>
      </c>
      <c r="G41">
        <f>98.9619*$G$7</f>
        <v>0</v>
      </c>
      <c r="H41">
        <f>0*$H$7</f>
        <v>0</v>
      </c>
      <c r="I41">
        <f>135.4699*$I$7</f>
        <v>0</v>
      </c>
      <c r="J41">
        <f>-61.0544*$J$7</f>
        <v>0</v>
      </c>
      <c r="K41">
        <f>81.4059*$K$7</f>
        <v>0</v>
      </c>
      <c r="L41">
        <f>-3.9956*$L$7</f>
        <v>0</v>
      </c>
      <c r="M41">
        <f>0+D41+E41+G41+H41+I41+J41+K41+L41</f>
        <v>0</v>
      </c>
      <c r="N41">
        <f>0+D41+F41+G41+H41+I41+J41+K41+L41</f>
        <v>0</v>
      </c>
    </row>
    <row r="42" spans="3:14">
      <c r="C42" t="s">
        <v>47</v>
      </c>
      <c r="D42">
        <f>965.0271*$D$7</f>
        <v>0</v>
      </c>
      <c r="E42">
        <f>1404.8048*$E$7</f>
        <v>0</v>
      </c>
      <c r="F42">
        <f>-49.4048*$F$7</f>
        <v>0</v>
      </c>
      <c r="G42">
        <f>95.5305*$G$7</f>
        <v>0</v>
      </c>
      <c r="H42">
        <f>0*$H$7</f>
        <v>0</v>
      </c>
      <c r="I42">
        <f>137.5215*$I$7</f>
        <v>0</v>
      </c>
      <c r="J42">
        <f>-51.1215*$J$7</f>
        <v>0</v>
      </c>
      <c r="K42">
        <f>68.162*$K$7</f>
        <v>0</v>
      </c>
      <c r="L42">
        <f>-4.6369*$L$7</f>
        <v>0</v>
      </c>
      <c r="M42">
        <f>0+D42+E42+G42+H42+I42+J42+K42+L42</f>
        <v>0</v>
      </c>
      <c r="N42">
        <f>0+D42+F42+G42+H42+I42+J42+K42+L42</f>
        <v>0</v>
      </c>
    </row>
    <row r="43" spans="3:14">
      <c r="C43" t="s">
        <v>48</v>
      </c>
      <c r="D43">
        <f>946.136*$D$7</f>
        <v>0</v>
      </c>
      <c r="E43">
        <f>1377.9464*$E$7</f>
        <v>0</v>
      </c>
      <c r="F43">
        <f>-47.9114*$F$7</f>
        <v>0</v>
      </c>
      <c r="G43">
        <f>98.6534*$G$7</f>
        <v>0</v>
      </c>
      <c r="H43">
        <f>0*$H$7</f>
        <v>0</v>
      </c>
      <c r="I43">
        <f>134.9503*$I$7</f>
        <v>0</v>
      </c>
      <c r="J43">
        <f>-59.745*$J$7</f>
        <v>0</v>
      </c>
      <c r="K43">
        <f>79.66*$K$7</f>
        <v>0</v>
      </c>
      <c r="L43">
        <f>-6.3138*$L$7</f>
        <v>0</v>
      </c>
      <c r="M43">
        <f>0+D43+E43+G43+H43+I43+J43+K43+L43</f>
        <v>0</v>
      </c>
      <c r="N43">
        <f>0+D43+F43+G43+H43+I43+J43+K43+L43</f>
        <v>0</v>
      </c>
    </row>
    <row r="44" spans="3:14">
      <c r="C44" t="s">
        <v>49</v>
      </c>
      <c r="D44">
        <f>908.6339*$D$7</f>
        <v>0</v>
      </c>
      <c r="E44">
        <f>1330.9349*$E$7</f>
        <v>0</v>
      </c>
      <c r="F44">
        <f>-49.2886*$F$7</f>
        <v>0</v>
      </c>
      <c r="G44">
        <f>97.9781*$G$7</f>
        <v>0</v>
      </c>
      <c r="H44">
        <f>0*$H$7</f>
        <v>0</v>
      </c>
      <c r="I44">
        <f>129.6128*$I$7</f>
        <v>0</v>
      </c>
      <c r="J44">
        <f>-65.7269*$J$7</f>
        <v>0</v>
      </c>
      <c r="K44">
        <f>87.6359*$K$7</f>
        <v>0</v>
      </c>
      <c r="L44">
        <f>-7.382*$L$7</f>
        <v>0</v>
      </c>
      <c r="M44">
        <f>0+D44+E44+G44+H44+I44+J44+K44+L44</f>
        <v>0</v>
      </c>
      <c r="N44">
        <f>0+D44+F44+G44+H44+I44+J44+K44+L44</f>
        <v>0</v>
      </c>
    </row>
    <row r="45" spans="3:14">
      <c r="C45" t="s">
        <v>50</v>
      </c>
      <c r="D45">
        <f>849.4254*$D$7</f>
        <v>0</v>
      </c>
      <c r="E45">
        <f>1251.9676*$E$7</f>
        <v>0</v>
      </c>
      <c r="F45">
        <f>-53.4586*$F$7</f>
        <v>0</v>
      </c>
      <c r="G45">
        <f>92.3986*$G$7</f>
        <v>0</v>
      </c>
      <c r="H45">
        <f>0*$H$7</f>
        <v>0</v>
      </c>
      <c r="I45">
        <f>121.1396*$I$7</f>
        <v>0</v>
      </c>
      <c r="J45">
        <f>-63.9865*$J$7</f>
        <v>0</v>
      </c>
      <c r="K45">
        <f>85.3153*$K$7</f>
        <v>0</v>
      </c>
      <c r="L45">
        <f>-8.7829*$L$7</f>
        <v>0</v>
      </c>
      <c r="M45">
        <f>0+D45+E45+G45+H45+I45+J45+K45+L45</f>
        <v>0</v>
      </c>
      <c r="N45">
        <f>0+D45+F45+G45+H45+I45+J45+K45+L45</f>
        <v>0</v>
      </c>
    </row>
    <row r="46" spans="3:14">
      <c r="C46" t="s">
        <v>51</v>
      </c>
      <c r="D46">
        <f>778.2361*$D$7</f>
        <v>0</v>
      </c>
      <c r="E46">
        <f>1160.1*$E$7</f>
        <v>0</v>
      </c>
      <c r="F46">
        <f>-58.472*$F$7</f>
        <v>0</v>
      </c>
      <c r="G46">
        <f>83.1793*$G$7</f>
        <v>0</v>
      </c>
      <c r="H46">
        <f>0*$H$7</f>
        <v>0</v>
      </c>
      <c r="I46">
        <f>110.9455*$I$7</f>
        <v>0</v>
      </c>
      <c r="J46">
        <f>-55.4829*$J$7</f>
        <v>0</v>
      </c>
      <c r="K46">
        <f>73.9772*$K$7</f>
        <v>0</v>
      </c>
      <c r="L46">
        <f>-10.3387*$L$7</f>
        <v>0</v>
      </c>
      <c r="M46">
        <f>0+D46+E46+G46+H46+I46+J46+K46+L46</f>
        <v>0</v>
      </c>
      <c r="N46">
        <f>0+D46+F46+G46+H46+I46+J46+K46+L46</f>
        <v>0</v>
      </c>
    </row>
    <row r="47" spans="3:14">
      <c r="C47" t="s">
        <v>52</v>
      </c>
      <c r="D47">
        <f>683.5553*$D$7</f>
        <v>0</v>
      </c>
      <c r="E47">
        <f>1041.3964*$E$7</f>
        <v>0</v>
      </c>
      <c r="F47">
        <f>-64.4095*$F$7</f>
        <v>0</v>
      </c>
      <c r="G47">
        <f>69.4791*$G$7</f>
        <v>0</v>
      </c>
      <c r="H47">
        <f>0*$H$7</f>
        <v>0</v>
      </c>
      <c r="I47">
        <f>97.3285*$I$7</f>
        <v>0</v>
      </c>
      <c r="J47">
        <f>-43.4528*$J$7</f>
        <v>0</v>
      </c>
      <c r="K47">
        <f>57.937*$K$7</f>
        <v>0</v>
      </c>
      <c r="L47">
        <f>-12.2343*$L$7</f>
        <v>0</v>
      </c>
      <c r="M47">
        <f>0+D47+E47+G47+H47+I47+J47+K47+L47</f>
        <v>0</v>
      </c>
      <c r="N47">
        <f>0+D47+F47+G47+H47+I47+J47+K47+L47</f>
        <v>0</v>
      </c>
    </row>
    <row r="48" spans="3:14">
      <c r="C48" t="s">
        <v>53</v>
      </c>
      <c r="D48">
        <f>567.9418*$D$7</f>
        <v>0</v>
      </c>
      <c r="E48">
        <f>882.0926*$E$7</f>
        <v>0</v>
      </c>
      <c r="F48">
        <f>-65.0408*$F$7</f>
        <v>0</v>
      </c>
      <c r="G48">
        <f>62.1553*$G$7</f>
        <v>0</v>
      </c>
      <c r="H48">
        <f>0*$H$7</f>
        <v>0</v>
      </c>
      <c r="I48">
        <f>80.9616*$I$7</f>
        <v>0</v>
      </c>
      <c r="J48">
        <f>-58.6313*$J$7</f>
        <v>0</v>
      </c>
      <c r="K48">
        <f>78.1751*$K$7</f>
        <v>0</v>
      </c>
      <c r="L48">
        <f>-11.7481*$L$7</f>
        <v>0</v>
      </c>
      <c r="M48">
        <f>0+D48+E48+G48+H48+I48+J48+K48+L48</f>
        <v>0</v>
      </c>
      <c r="N48">
        <f>0+D48+F48+G48+H48+I48+J48+K48+L48</f>
        <v>0</v>
      </c>
    </row>
    <row r="49" spans="3:14">
      <c r="C49" t="s">
        <v>54</v>
      </c>
      <c r="D49">
        <f>458.2253*$D$7</f>
        <v>0</v>
      </c>
      <c r="E49">
        <f>717.6607*$E$7</f>
        <v>0</v>
      </c>
      <c r="F49">
        <f>-60.1425*$F$7</f>
        <v>0</v>
      </c>
      <c r="G49">
        <f>52.7713*$G$7</f>
        <v>0</v>
      </c>
      <c r="H49">
        <f>0*$H$7</f>
        <v>0</v>
      </c>
      <c r="I49">
        <f>65.376*$I$7</f>
        <v>0</v>
      </c>
      <c r="J49">
        <f>-70.9158*$J$7</f>
        <v>0</v>
      </c>
      <c r="K49">
        <f>94.5544*$K$7</f>
        <v>0</v>
      </c>
      <c r="L49">
        <f>-8.5468*$L$7</f>
        <v>0</v>
      </c>
      <c r="M49">
        <f>0+D49+E49+G49+H49+I49+J49+K49+L49</f>
        <v>0</v>
      </c>
      <c r="N49">
        <f>0+D49+F49+G49+H49+I49+J49+K49+L49</f>
        <v>0</v>
      </c>
    </row>
    <row r="50" spans="3:14">
      <c r="C50" t="s">
        <v>55</v>
      </c>
      <c r="D50">
        <f>322.476*$D$7</f>
        <v>0</v>
      </c>
      <c r="E50">
        <f>513.0752*$E$7</f>
        <v>0</v>
      </c>
      <c r="F50">
        <f>-56.1559*$F$7</f>
        <v>0</v>
      </c>
      <c r="G50">
        <f>38.5924*$G$7</f>
        <v>0</v>
      </c>
      <c r="H50">
        <f>0*$H$7</f>
        <v>0</v>
      </c>
      <c r="I50">
        <f>46.0523*$I$7</f>
        <v>0</v>
      </c>
      <c r="J50">
        <f>-79.5138*$J$7</f>
        <v>0</v>
      </c>
      <c r="K50">
        <f>106.0184*$K$7</f>
        <v>0</v>
      </c>
      <c r="L50">
        <f>-4.8507*$L$7</f>
        <v>0</v>
      </c>
      <c r="M50">
        <f>0+D50+E50+G50+H50+I50+J50+K50+L50</f>
        <v>0</v>
      </c>
      <c r="N50">
        <f>0+D50+F50+G50+H50+I50+J50+K50+L50</f>
        <v>0</v>
      </c>
    </row>
    <row r="51" spans="3:14">
      <c r="C51" t="s">
        <v>56</v>
      </c>
      <c r="D51">
        <f>163.2345*$D$7</f>
        <v>0</v>
      </c>
      <c r="E51">
        <f>267.4213*$E$7</f>
        <v>0</v>
      </c>
      <c r="F51">
        <f>-54.1428*$F$7</f>
        <v>0</v>
      </c>
      <c r="G51">
        <f>19.2792*$G$7</f>
        <v>0</v>
      </c>
      <c r="H51">
        <f>0*$H$7</f>
        <v>0</v>
      </c>
      <c r="I51">
        <f>23.3613*$I$7</f>
        <v>0</v>
      </c>
      <c r="J51">
        <f>-84.3482*$J$7</f>
        <v>0</v>
      </c>
      <c r="K51">
        <f>112.4643*$K$7</f>
        <v>0</v>
      </c>
      <c r="L51">
        <f>0.313*$L$7</f>
        <v>0</v>
      </c>
      <c r="M51">
        <f>0+D51+E51+G51+H51+I51+J51+K51+L51</f>
        <v>0</v>
      </c>
      <c r="N51">
        <f>0+D51+F51+G51+H51+I51+J51+K51+L51</f>
        <v>0</v>
      </c>
    </row>
    <row r="52" spans="3:14">
      <c r="C52" t="s">
        <v>57</v>
      </c>
      <c r="D52">
        <f>-1.6641*$D$7</f>
        <v>0</v>
      </c>
      <c r="E52">
        <f>49.9918*$E$7</f>
        <v>0</v>
      </c>
      <c r="F52">
        <f>-85.3255*$F$7</f>
        <v>0</v>
      </c>
      <c r="G52">
        <f>-2.987*$G$7</f>
        <v>0</v>
      </c>
      <c r="H52">
        <f>0*$H$7</f>
        <v>0</v>
      </c>
      <c r="I52">
        <f>-0.1614*$I$7</f>
        <v>0</v>
      </c>
      <c r="J52">
        <f>-93.3402*$J$7</f>
        <v>0</v>
      </c>
      <c r="K52">
        <f>124.4536*$K$7</f>
        <v>0</v>
      </c>
      <c r="L52">
        <f>8.711*$L$7</f>
        <v>0</v>
      </c>
      <c r="M52">
        <f>0+D52+E52+G52+H52+I52+J52+K52+L52</f>
        <v>0</v>
      </c>
      <c r="N52">
        <f>0+D52+F52+G52+H52+I52+J52+K52+L52</f>
        <v>0</v>
      </c>
    </row>
    <row r="53" spans="3:14">
      <c r="C53" t="s">
        <v>58</v>
      </c>
      <c r="D53">
        <f>-7.5257*$D$7</f>
        <v>0</v>
      </c>
      <c r="E53">
        <f>3.537*$E$7</f>
        <v>0</v>
      </c>
      <c r="F53">
        <f>-11.5632*$F$7</f>
        <v>0</v>
      </c>
      <c r="G53">
        <f>-0.8534*$G$7</f>
        <v>0</v>
      </c>
      <c r="H53">
        <f>0*$H$7</f>
        <v>0</v>
      </c>
      <c r="I53">
        <f>-1.0798*$I$7</f>
        <v>0</v>
      </c>
      <c r="J53">
        <f>-67.7429*$J$7</f>
        <v>0</v>
      </c>
      <c r="K53">
        <f>90.3239*$K$7</f>
        <v>0</v>
      </c>
      <c r="L53">
        <f>0.0418*$L$7</f>
        <v>0</v>
      </c>
      <c r="M53">
        <f>0+D53+E53+G53+H53+I53+J53+K53+L53</f>
        <v>0</v>
      </c>
      <c r="N53">
        <f>0+D53+F53+G53+H53+I53+J53+K53+L53</f>
        <v>0</v>
      </c>
    </row>
    <row r="54" spans="3:14">
      <c r="C54" t="s">
        <v>58</v>
      </c>
      <c r="D54">
        <f>-4.2972*$D$7</f>
        <v>0</v>
      </c>
      <c r="E54">
        <f>0.7657*$E$7</f>
        <v>0</v>
      </c>
      <c r="F54">
        <f>-8.9958*$F$7</f>
        <v>0</v>
      </c>
      <c r="G54">
        <f>-0.4832*$G$7</f>
        <v>0</v>
      </c>
      <c r="H54">
        <f>0*$H$7</f>
        <v>0</v>
      </c>
      <c r="I54">
        <f>-0.617*$I$7</f>
        <v>0</v>
      </c>
      <c r="J54">
        <f>-66.6067*$J$7</f>
        <v>0</v>
      </c>
      <c r="K54">
        <f>88.8089*$K$7</f>
        <v>0</v>
      </c>
      <c r="L54">
        <f>-7.0821*$L$7</f>
        <v>0</v>
      </c>
      <c r="M54">
        <f>0+D54+E54+G54+H54+I54+J54+K54+L54</f>
        <v>0</v>
      </c>
      <c r="N54">
        <f>0+D54+F54+G54+H54+I54+J54+K54+L54</f>
        <v>0</v>
      </c>
    </row>
    <row r="55" spans="3:14">
      <c r="C55" t="s">
        <v>59</v>
      </c>
      <c r="D55">
        <f>-3.2587*$D$7</f>
        <v>0</v>
      </c>
      <c r="E55">
        <f>5.9644*$E$7</f>
        <v>0</v>
      </c>
      <c r="F55">
        <f>-9.3191*$F$7</f>
        <v>0</v>
      </c>
      <c r="G55">
        <f>-1.2953*$G$7</f>
        <v>0</v>
      </c>
      <c r="H55">
        <f>0*$H$7</f>
        <v>0</v>
      </c>
      <c r="I55">
        <f>-0.4658*$I$7</f>
        <v>0</v>
      </c>
      <c r="J55">
        <f>-82.8546*$J$7</f>
        <v>0</v>
      </c>
      <c r="K55">
        <f>110.4728*$K$7</f>
        <v>0</v>
      </c>
      <c r="L55">
        <f>-27.4369*$L$7</f>
        <v>0</v>
      </c>
      <c r="M55">
        <f>0+D55+E55+G55+H55+I55+J55+K55+L55</f>
        <v>0</v>
      </c>
      <c r="N55">
        <f>0+D55+F55+G55+H55+I55+J55+K55+L55</f>
        <v>0</v>
      </c>
    </row>
    <row r="56" spans="3:14">
      <c r="C56" t="s">
        <v>60</v>
      </c>
      <c r="D56">
        <f>93.6879*$D$7</f>
        <v>0</v>
      </c>
      <c r="E56">
        <f>208.8981*$E$7</f>
        <v>0</v>
      </c>
      <c r="F56">
        <f>-9.211*$F$7</f>
        <v>0</v>
      </c>
      <c r="G56">
        <f>12.8607*$G$7</f>
        <v>0</v>
      </c>
      <c r="H56">
        <f>0*$H$7</f>
        <v>0</v>
      </c>
      <c r="I56">
        <f>13.3878*$I$7</f>
        <v>0</v>
      </c>
      <c r="J56">
        <f>-78.3878*$J$7</f>
        <v>0</v>
      </c>
      <c r="K56">
        <f>104.5171*$K$7</f>
        <v>0</v>
      </c>
      <c r="L56">
        <f>219.917*$L$7</f>
        <v>0</v>
      </c>
      <c r="M56">
        <f>0+D56+E56+G56+H56+I56+J56+K56+L56</f>
        <v>0</v>
      </c>
      <c r="N56">
        <f>0+D56+F56+G56+H56+I56+J56+K56+L56</f>
        <v>0</v>
      </c>
    </row>
    <row r="57" spans="3:14">
      <c r="C57" t="s">
        <v>61</v>
      </c>
      <c r="D57">
        <f>144.7488*$D$7</f>
        <v>0</v>
      </c>
      <c r="E57">
        <f>324.9669*$E$7</f>
        <v>0</v>
      </c>
      <c r="F57">
        <f>-11.481*$F$7</f>
        <v>0</v>
      </c>
      <c r="G57">
        <f>22.528*$G$7</f>
        <v>0</v>
      </c>
      <c r="H57">
        <f>0*$H$7</f>
        <v>0</v>
      </c>
      <c r="I57">
        <f>20.5687*$I$7</f>
        <v>0</v>
      </c>
      <c r="J57">
        <f>-67.7137*$J$7</f>
        <v>0</v>
      </c>
      <c r="K57">
        <f>90.2849*$K$7</f>
        <v>0</v>
      </c>
      <c r="L57">
        <f>408.2139*$L$7</f>
        <v>0</v>
      </c>
      <c r="M57">
        <f>0+D57+E57+G57+H57+I57+J57+K57+L57</f>
        <v>0</v>
      </c>
      <c r="N57">
        <f>0+D57+F57+G57+H57+I57+J57+K57+L57</f>
        <v>0</v>
      </c>
    </row>
    <row r="58" spans="3:14">
      <c r="C58" t="s">
        <v>62</v>
      </c>
      <c r="D58">
        <f>186.9991*$D$7</f>
        <v>0</v>
      </c>
      <c r="E58">
        <f>420.8433*$E$7</f>
        <v>0</v>
      </c>
      <c r="F58">
        <f>-16.241*$F$7</f>
        <v>0</v>
      </c>
      <c r="G58">
        <f>29.157*$G$7</f>
        <v>0</v>
      </c>
      <c r="H58">
        <f>0*$H$7</f>
        <v>0</v>
      </c>
      <c r="I58">
        <f>26.4655*$I$7</f>
        <v>0</v>
      </c>
      <c r="J58">
        <f>-43.7032*$J$7</f>
        <v>0</v>
      </c>
      <c r="K58">
        <f>58.2709*$K$7</f>
        <v>0</v>
      </c>
      <c r="L58">
        <f>550.5606*$L$7</f>
        <v>0</v>
      </c>
      <c r="M58">
        <f>0+D58+E58+G58+H58+I58+J58+K58+L58</f>
        <v>0</v>
      </c>
      <c r="N58">
        <f>0+D58+F58+G58+H58+I58+J58+K58+L58</f>
        <v>0</v>
      </c>
    </row>
    <row r="59" spans="3:14">
      <c r="C59" t="s">
        <v>63</v>
      </c>
      <c r="D59">
        <f>212.2695*$D$7</f>
        <v>0</v>
      </c>
      <c r="E59">
        <f>480.4904*$E$7</f>
        <v>0</v>
      </c>
      <c r="F59">
        <f>-22.4017*$F$7</f>
        <v>0</v>
      </c>
      <c r="G59">
        <f>31.6194*$G$7</f>
        <v>0</v>
      </c>
      <c r="H59">
        <f>0*$H$7</f>
        <v>0</v>
      </c>
      <c r="I59">
        <f>29.9259*$I$7</f>
        <v>0</v>
      </c>
      <c r="J59">
        <f>-13.3251*$J$7</f>
        <v>0</v>
      </c>
      <c r="K59">
        <f>17.7668*$K$7</f>
        <v>0</v>
      </c>
      <c r="L59">
        <f>624.014*$L$7</f>
        <v>0</v>
      </c>
      <c r="M59">
        <f>0+D59+E59+G59+H59+I59+J59+K59+L59</f>
        <v>0</v>
      </c>
      <c r="N59">
        <f>0+D59+F59+G59+H59+I59+J59+K59+L59</f>
        <v>0</v>
      </c>
    </row>
    <row r="60" spans="3:14">
      <c r="C60" t="s">
        <v>64</v>
      </c>
      <c r="D60">
        <f>222.9567*$D$7</f>
        <v>0</v>
      </c>
      <c r="E60">
        <f>507.8595*$E$7</f>
        <v>0</v>
      </c>
      <c r="F60">
        <f>-29.768*$F$7</f>
        <v>0</v>
      </c>
      <c r="G60">
        <f>30.9538*$G$7</f>
        <v>0</v>
      </c>
      <c r="H60">
        <f>0*$H$7</f>
        <v>0</v>
      </c>
      <c r="I60">
        <f>31.2401*$I$7</f>
        <v>0</v>
      </c>
      <c r="J60">
        <f>18.2837*$J$7</f>
        <v>0</v>
      </c>
      <c r="K60">
        <f>-24.3782*$K$7</f>
        <v>0</v>
      </c>
      <c r="L60">
        <f>641.4013*$L$7</f>
        <v>0</v>
      </c>
      <c r="M60">
        <f>0+D60+E60+G60+H60+I60+J60+K60+L60</f>
        <v>0</v>
      </c>
      <c r="N60">
        <f>0+D60+F60+G60+H60+I60+J60+K60+L60</f>
        <v>0</v>
      </c>
    </row>
    <row r="61" spans="3:14">
      <c r="C61" t="s">
        <v>65</v>
      </c>
      <c r="D61">
        <f>215.095*$D$7</f>
        <v>0</v>
      </c>
      <c r="E61">
        <f>483.2613*$E$7</f>
        <v>0</v>
      </c>
      <c r="F61">
        <f>-21.8948*$F$7</f>
        <v>0</v>
      </c>
      <c r="G61">
        <f>33.151*$G$7</f>
        <v>0</v>
      </c>
      <c r="H61">
        <f>0*$H$7</f>
        <v>0</v>
      </c>
      <c r="I61">
        <f>30.3122*$I$7</f>
        <v>0</v>
      </c>
      <c r="J61">
        <f>-9.9054*$J$7</f>
        <v>0</v>
      </c>
      <c r="K61">
        <f>13.2073*$K$7</f>
        <v>0</v>
      </c>
      <c r="L61">
        <f>647.776*$L$7</f>
        <v>0</v>
      </c>
      <c r="M61">
        <f>0+D61+E61+G61+H61+I61+J61+K61+L61</f>
        <v>0</v>
      </c>
      <c r="N61">
        <f>0+D61+F61+G61+H61+I61+J61+K61+L61</f>
        <v>0</v>
      </c>
    </row>
    <row r="62" spans="3:14">
      <c r="C62" t="s">
        <v>66</v>
      </c>
      <c r="D62">
        <f>186.5509*$D$7</f>
        <v>0</v>
      </c>
      <c r="E62">
        <f>423.1845*$E$7</f>
        <v>0</v>
      </c>
      <c r="F62">
        <f>-16.3178*$F$7</f>
        <v>0</v>
      </c>
      <c r="G62">
        <f>31.0633*$G$7</f>
        <v>0</v>
      </c>
      <c r="H62">
        <f>0*$H$7</f>
        <v>0</v>
      </c>
      <c r="I62">
        <f>26.3626*$I$7</f>
        <v>0</v>
      </c>
      <c r="J62">
        <f>-40.436*$J$7</f>
        <v>0</v>
      </c>
      <c r="K62">
        <f>53.9147*$K$7</f>
        <v>0</v>
      </c>
      <c r="L62">
        <f>582.7524*$L$7</f>
        <v>0</v>
      </c>
      <c r="M62">
        <f>0+D62+E62+G62+H62+I62+J62+K62+L62</f>
        <v>0</v>
      </c>
      <c r="N62">
        <f>0+D62+F62+G62+H62+I62+J62+K62+L62</f>
        <v>0</v>
      </c>
    </row>
    <row r="63" spans="3:14">
      <c r="C63" t="s">
        <v>67</v>
      </c>
      <c r="D63">
        <f>140.1491*$D$7</f>
        <v>0</v>
      </c>
      <c r="E63">
        <f>324.4902*$E$7</f>
        <v>0</v>
      </c>
      <c r="F63">
        <f>-11.6271*$F$7</f>
        <v>0</v>
      </c>
      <c r="G63">
        <f>24.4775*$G$7</f>
        <v>0</v>
      </c>
      <c r="H63">
        <f>0*$H$7</f>
        <v>0</v>
      </c>
      <c r="I63">
        <f>19.8283*$I$7</f>
        <v>0</v>
      </c>
      <c r="J63">
        <f>-63.3369*$J$7</f>
        <v>0</v>
      </c>
      <c r="K63">
        <f>84.4493*$K$7</f>
        <v>0</v>
      </c>
      <c r="L63">
        <f>447.463*$L$7</f>
        <v>0</v>
      </c>
      <c r="M63">
        <f>0+D63+E63+G63+H63+I63+J63+K63+L63</f>
        <v>0</v>
      </c>
      <c r="N63">
        <f>0+D63+F63+G63+H63+I63+J63+K63+L63</f>
        <v>0</v>
      </c>
    </row>
    <row r="64" spans="3:14">
      <c r="C64" t="s">
        <v>68</v>
      </c>
      <c r="D64">
        <f>79.0814*$D$7</f>
        <v>0</v>
      </c>
      <c r="E64">
        <f>190.7402*$E$7</f>
        <v>0</v>
      </c>
      <c r="F64">
        <f>-7.0041*$F$7</f>
        <v>0</v>
      </c>
      <c r="G64">
        <f>13.8814*$G$7</f>
        <v>0</v>
      </c>
      <c r="H64">
        <f>0*$H$7</f>
        <v>0</v>
      </c>
      <c r="I64">
        <f>11.1874*$I$7</f>
        <v>0</v>
      </c>
      <c r="J64">
        <f>-58.3031*$J$7</f>
        <v>0</v>
      </c>
      <c r="K64">
        <f>77.7375*$K$7</f>
        <v>0</v>
      </c>
      <c r="L64">
        <f>250.846*$L$7</f>
        <v>0</v>
      </c>
      <c r="M64">
        <f>0+D64+E64+G64+H64+I64+J64+K64+L64</f>
        <v>0</v>
      </c>
      <c r="N64">
        <f>0+D64+F64+G64+H64+I64+J64+K64+L64</f>
        <v>0</v>
      </c>
    </row>
    <row r="65" spans="3:14">
      <c r="C65" t="s">
        <v>69</v>
      </c>
      <c r="D65">
        <f>-5.6798*$D$7</f>
        <v>0</v>
      </c>
      <c r="E65">
        <f>8.1165*$E$7</f>
        <v>0</v>
      </c>
      <c r="F65">
        <f>-19.1336*$F$7</f>
        <v>0</v>
      </c>
      <c r="G65">
        <f>-2.8231*$G$7</f>
        <v>0</v>
      </c>
      <c r="H65">
        <f>0*$H$7</f>
        <v>0</v>
      </c>
      <c r="I65">
        <f>-0.8179*$I$7</f>
        <v>0</v>
      </c>
      <c r="J65">
        <f>-66.6343*$J$7</f>
        <v>0</v>
      </c>
      <c r="K65">
        <f>88.8457*$K$7</f>
        <v>0</v>
      </c>
      <c r="L65">
        <f>-45.4127*$L$7</f>
        <v>0</v>
      </c>
      <c r="M65">
        <f>0+D65+E65+G65+H65+I65+J65+K65+L65</f>
        <v>0</v>
      </c>
      <c r="N65">
        <f>0+D65+F65+G65+H65+I65+J65+K65+L65</f>
        <v>0</v>
      </c>
    </row>
    <row r="70" spans="3:14">
      <c r="C70" t="s">
        <v>70</v>
      </c>
    </row>
    <row r="72" spans="3:14">
      <c r="C72" t="s">
        <v>2</v>
      </c>
    </row>
    <row r="73" spans="3:14">
      <c r="C73" t="s">
        <v>3</v>
      </c>
      <c r="D73" t="s">
        <v>4</v>
      </c>
      <c r="E73" t="s">
        <v>5</v>
      </c>
      <c r="F73" t="s">
        <v>6</v>
      </c>
      <c r="G73" t="s">
        <v>7</v>
      </c>
      <c r="H73" t="s">
        <v>8</v>
      </c>
      <c r="I73" t="s">
        <v>9</v>
      </c>
      <c r="J73" t="s">
        <v>10</v>
      </c>
      <c r="K73" t="s">
        <v>11</v>
      </c>
      <c r="L73" t="s">
        <v>12</v>
      </c>
      <c r="M73" t="s">
        <v>13</v>
      </c>
      <c r="N73" t="s">
        <v>14</v>
      </c>
    </row>
    <row r="74" spans="3:14">
      <c r="C74" t="s">
        <v>15</v>
      </c>
      <c r="D74">
        <f>-230.611*$D$72</f>
        <v>0</v>
      </c>
      <c r="E74">
        <f>41.1*$E$72</f>
        <v>0</v>
      </c>
      <c r="F74">
        <f>-370.613*$F$72</f>
        <v>0</v>
      </c>
      <c r="G74">
        <f>-37.948*$G$72</f>
        <v>0</v>
      </c>
      <c r="H74">
        <f>0*$H$72</f>
        <v>0</v>
      </c>
      <c r="I74">
        <f>-31.64*$I$72</f>
        <v>0</v>
      </c>
      <c r="J74">
        <f>-87.437*$J$72</f>
        <v>0</v>
      </c>
      <c r="K74">
        <f>116.583*$K$72</f>
        <v>0</v>
      </c>
      <c r="L74">
        <f>-0.028*$L$72</f>
        <v>0</v>
      </c>
      <c r="M74">
        <f>0+D74+E74+G74+H74+I74+J74+K74+L74</f>
        <v>0</v>
      </c>
      <c r="N74">
        <f>0+D74+F74+G74+H74+I74+J74+K74+L74</f>
        <v>0</v>
      </c>
    </row>
    <row r="75" spans="3:14">
      <c r="C75" t="s">
        <v>16</v>
      </c>
      <c r="D75">
        <f>-210.175*$D$72</f>
        <v>0</v>
      </c>
      <c r="E75">
        <f>42.934*$E$72</f>
        <v>0</v>
      </c>
      <c r="F75">
        <f>-360.631*$F$72</f>
        <v>0</v>
      </c>
      <c r="G75">
        <f>-35.189*$G$72</f>
        <v>0</v>
      </c>
      <c r="H75">
        <f>0*$H$72</f>
        <v>0</v>
      </c>
      <c r="I75">
        <f>-30.156*$I$72</f>
        <v>0</v>
      </c>
      <c r="J75">
        <f>-79.962*$J$72</f>
        <v>0</v>
      </c>
      <c r="K75">
        <f>106.616*$K$72</f>
        <v>0</v>
      </c>
      <c r="L75">
        <f>-0.027*$L$72</f>
        <v>0</v>
      </c>
      <c r="M75">
        <f>0+D75+E75+G75+H75+I75+J75+K75+L75</f>
        <v>0</v>
      </c>
      <c r="N75">
        <f>0+D75+F75+G75+H75+I75+J75+K75+L75</f>
        <v>0</v>
      </c>
    </row>
    <row r="76" spans="3:14">
      <c r="C76" t="s">
        <v>17</v>
      </c>
      <c r="D76">
        <f>-188.196*$D$72</f>
        <v>0</v>
      </c>
      <c r="E76">
        <f>43.965*$E$72</f>
        <v>0</v>
      </c>
      <c r="F76">
        <f>-337.569*$F$72</f>
        <v>0</v>
      </c>
      <c r="G76">
        <f>-28.64*$G$72</f>
        <v>0</v>
      </c>
      <c r="H76">
        <f>0*$H$72</f>
        <v>0</v>
      </c>
      <c r="I76">
        <f>-27.079*$I$72</f>
        <v>0</v>
      </c>
      <c r="J76">
        <f>-63.679*$J$72</f>
        <v>0</v>
      </c>
      <c r="K76">
        <f>84.905*$K$72</f>
        <v>0</v>
      </c>
      <c r="L76">
        <f>-0.025*$L$72</f>
        <v>0</v>
      </c>
      <c r="M76">
        <f>0+D76+E76+G76+H76+I76+J76+K76+L76</f>
        <v>0</v>
      </c>
      <c r="N76">
        <f>0+D76+F76+G76+H76+I76+J76+K76+L76</f>
        <v>0</v>
      </c>
    </row>
    <row r="77" spans="3:14">
      <c r="C77" t="s">
        <v>18</v>
      </c>
      <c r="D77">
        <f>-165.322*$D$72</f>
        <v>0</v>
      </c>
      <c r="E77">
        <f>51.68*$E$72</f>
        <v>0</v>
      </c>
      <c r="F77">
        <f>-313.619*$F$72</f>
        <v>0</v>
      </c>
      <c r="G77">
        <f>-22.423*$G$72</f>
        <v>0</v>
      </c>
      <c r="H77">
        <f>0*$H$72</f>
        <v>0</v>
      </c>
      <c r="I77">
        <f>-23.846*$I$72</f>
        <v>0</v>
      </c>
      <c r="J77">
        <f>-55.152*$J$72</f>
        <v>0</v>
      </c>
      <c r="K77">
        <f>73.536*$K$72</f>
        <v>0</v>
      </c>
      <c r="L77">
        <f>-0.023*$L$72</f>
        <v>0</v>
      </c>
      <c r="M77">
        <f>0+D77+E77+G77+H77+I77+J77+K77+L77</f>
        <v>0</v>
      </c>
      <c r="N77">
        <f>0+D77+F77+G77+H77+I77+J77+K77+L77</f>
        <v>0</v>
      </c>
    </row>
    <row r="78" spans="3:14">
      <c r="C78" t="s">
        <v>19</v>
      </c>
      <c r="D78">
        <f>-141.582*$D$72</f>
        <v>0</v>
      </c>
      <c r="E78">
        <f>61.733*$E$72</f>
        <v>0</v>
      </c>
      <c r="F78">
        <f>-288.377*$F$72</f>
        <v>0</v>
      </c>
      <c r="G78">
        <f>-16.733*$G$72</f>
        <v>0</v>
      </c>
      <c r="H78">
        <f>0*$H$72</f>
        <v>0</v>
      </c>
      <c r="I78">
        <f>-20.456*$I$72</f>
        <v>0</v>
      </c>
      <c r="J78">
        <f>-50.482*$J$72</f>
        <v>0</v>
      </c>
      <c r="K78">
        <f>67.31*$K$72</f>
        <v>0</v>
      </c>
      <c r="L78">
        <f>-0.021*$L$72</f>
        <v>0</v>
      </c>
      <c r="M78">
        <f>0+D78+E78+G78+H78+I78+J78+K78+L78</f>
        <v>0</v>
      </c>
      <c r="N78">
        <f>0+D78+F78+G78+H78+I78+J78+K78+L78</f>
        <v>0</v>
      </c>
    </row>
    <row r="79" spans="3:14">
      <c r="C79" t="s">
        <v>20</v>
      </c>
      <c r="D79">
        <f>-127.452*$D$72</f>
        <v>0</v>
      </c>
      <c r="E79">
        <f>65.682*$E$72</f>
        <v>0</v>
      </c>
      <c r="F79">
        <f>-273.914*$F$72</f>
        <v>0</v>
      </c>
      <c r="G79">
        <f>-12.711*$G$72</f>
        <v>0</v>
      </c>
      <c r="H79">
        <f>0*$H$72</f>
        <v>0</v>
      </c>
      <c r="I79">
        <f>-18.414*$I$72</f>
        <v>0</v>
      </c>
      <c r="J79">
        <f>-55.938*$J$72</f>
        <v>0</v>
      </c>
      <c r="K79">
        <f>74.584*$K$72</f>
        <v>0</v>
      </c>
      <c r="L79">
        <f>-0.018*$L$72</f>
        <v>0</v>
      </c>
      <c r="M79">
        <f>0+D79+E79+G79+H79+I79+J79+K79+L79</f>
        <v>0</v>
      </c>
      <c r="N79">
        <f>0+D79+F79+G79+H79+I79+J79+K79+L79</f>
        <v>0</v>
      </c>
    </row>
    <row r="80" spans="3:14">
      <c r="C80" t="s">
        <v>21</v>
      </c>
      <c r="D80">
        <f>-91.475*$D$72</f>
        <v>0</v>
      </c>
      <c r="E80">
        <f>68.455*$E$72</f>
        <v>0</v>
      </c>
      <c r="F80">
        <f>-233.148*$F$72</f>
        <v>0</v>
      </c>
      <c r="G80">
        <f>-14.43*$G$72</f>
        <v>0</v>
      </c>
      <c r="H80">
        <f>0*$H$72</f>
        <v>0</v>
      </c>
      <c r="I80">
        <f>-13.828*$I$72</f>
        <v>0</v>
      </c>
      <c r="J80">
        <f>3.28*$J$72</f>
        <v>0</v>
      </c>
      <c r="K80">
        <f>-4.373*$K$72</f>
        <v>0</v>
      </c>
      <c r="L80">
        <f>-0.018*$L$72</f>
        <v>0</v>
      </c>
      <c r="M80">
        <f>0+D80+E80+G80+H80+I80+J80+K80+L80</f>
        <v>0</v>
      </c>
      <c r="N80">
        <f>0+D80+F80+G80+H80+I80+J80+K80+L80</f>
        <v>0</v>
      </c>
    </row>
    <row r="81" spans="3:14">
      <c r="C81" t="s">
        <v>22</v>
      </c>
      <c r="D81">
        <f>-69.003*$D$72</f>
        <v>0</v>
      </c>
      <c r="E81">
        <f>82.192*$E$72</f>
        <v>0</v>
      </c>
      <c r="F81">
        <f>-212.926*$F$72</f>
        <v>0</v>
      </c>
      <c r="G81">
        <f>-9.692*$G$72</f>
        <v>0</v>
      </c>
      <c r="H81">
        <f>0*$H$72</f>
        <v>0</v>
      </c>
      <c r="I81">
        <f>-10.566*$I$72</f>
        <v>0</v>
      </c>
      <c r="J81">
        <f>1.109*$J$72</f>
        <v>0</v>
      </c>
      <c r="K81">
        <f>-1.478*$K$72</f>
        <v>0</v>
      </c>
      <c r="L81">
        <f>-0.017*$L$72</f>
        <v>0</v>
      </c>
      <c r="M81">
        <f>0+D81+E81+G81+H81+I81+J81+K81+L81</f>
        <v>0</v>
      </c>
      <c r="N81">
        <f>0+D81+F81+G81+H81+I81+J81+K81+L81</f>
        <v>0</v>
      </c>
    </row>
    <row r="82" spans="3:14">
      <c r="C82" t="s">
        <v>23</v>
      </c>
      <c r="D82">
        <f>-46.252*$D$72</f>
        <v>0</v>
      </c>
      <c r="E82">
        <f>96.411*$E$72</f>
        <v>0</v>
      </c>
      <c r="F82">
        <f>-192.347*$F$72</f>
        <v>0</v>
      </c>
      <c r="G82">
        <f>-4.809*$G$72</f>
        <v>0</v>
      </c>
      <c r="H82">
        <f>0*$H$72</f>
        <v>0</v>
      </c>
      <c r="I82">
        <f>-7.281*$I$72</f>
        <v>0</v>
      </c>
      <c r="J82">
        <f>-3.792*$J$72</f>
        <v>0</v>
      </c>
      <c r="K82">
        <f>5.056*$K$72</f>
        <v>0</v>
      </c>
      <c r="L82">
        <f>-0.017*$L$72</f>
        <v>0</v>
      </c>
      <c r="M82">
        <f>0+D82+E82+G82+H82+I82+J82+K82+L82</f>
        <v>0</v>
      </c>
      <c r="N82">
        <f>0+D82+F82+G82+H82+I82+J82+K82+L82</f>
        <v>0</v>
      </c>
    </row>
    <row r="83" spans="3:14">
      <c r="C83" t="s">
        <v>24</v>
      </c>
      <c r="D83">
        <f>-23.462*$D$72</f>
        <v>0</v>
      </c>
      <c r="E83">
        <f>110.464*$E$72</f>
        <v>0</v>
      </c>
      <c r="F83">
        <f>-171.215*$F$72</f>
        <v>0</v>
      </c>
      <c r="G83">
        <f>-0.141*$G$72</f>
        <v>0</v>
      </c>
      <c r="H83">
        <f>0*$H$72</f>
        <v>0</v>
      </c>
      <c r="I83">
        <f>-3.959*$I$72</f>
        <v>0</v>
      </c>
      <c r="J83">
        <f>-8.697*$J$72</f>
        <v>0</v>
      </c>
      <c r="K83">
        <f>11.596*$K$72</f>
        <v>0</v>
      </c>
      <c r="L83">
        <f>-0.016*$L$72</f>
        <v>0</v>
      </c>
      <c r="M83">
        <f>0+D83+E83+G83+H83+I83+J83+K83+L83</f>
        <v>0</v>
      </c>
      <c r="N83">
        <f>0+D83+F83+G83+H83+I83+J83+K83+L83</f>
        <v>0</v>
      </c>
    </row>
    <row r="84" spans="3:14">
      <c r="C84" t="s">
        <v>25</v>
      </c>
      <c r="D84">
        <f>-0.704*$D$72</f>
        <v>0</v>
      </c>
      <c r="E84">
        <f>125.081*$E$72</f>
        <v>0</v>
      </c>
      <c r="F84">
        <f>-149.991*$F$72</f>
        <v>0</v>
      </c>
      <c r="G84">
        <f>4.119*$G$72</f>
        <v>0</v>
      </c>
      <c r="H84">
        <f>0*$H$72</f>
        <v>0</v>
      </c>
      <c r="I84">
        <f>-0.63*$I$72</f>
        <v>0</v>
      </c>
      <c r="J84">
        <f>-11.685*$J$72</f>
        <v>0</v>
      </c>
      <c r="K84">
        <f>15.58*$K$72</f>
        <v>0</v>
      </c>
      <c r="L84">
        <f>-0.015*$L$72</f>
        <v>0</v>
      </c>
      <c r="M84">
        <f>0+D84+E84+G84+H84+I84+J84+K84+L84</f>
        <v>0</v>
      </c>
      <c r="N84">
        <f>0+D84+F84+G84+H84+I84+J84+K84+L84</f>
        <v>0</v>
      </c>
    </row>
    <row r="85" spans="3:14">
      <c r="C85" t="s">
        <v>26</v>
      </c>
      <c r="D85">
        <f>37.988*$D$72</f>
        <v>0</v>
      </c>
      <c r="E85">
        <f>152.118*$E$72</f>
        <v>0</v>
      </c>
      <c r="F85">
        <f>-114.155*$F$72</f>
        <v>0</v>
      </c>
      <c r="G85">
        <f>-1.247*$G$72</f>
        <v>0</v>
      </c>
      <c r="H85">
        <f>0*$H$72</f>
        <v>0</v>
      </c>
      <c r="I85">
        <f>4.585*$I$72</f>
        <v>0</v>
      </c>
      <c r="J85">
        <f>8.28*$J$72</f>
        <v>0</v>
      </c>
      <c r="K85">
        <f>-11.039*$K$72</f>
        <v>0</v>
      </c>
      <c r="L85">
        <f>-0.015*$L$72</f>
        <v>0</v>
      </c>
      <c r="M85">
        <f>0+D85+E85+G85+H85+I85+J85+K85+L85</f>
        <v>0</v>
      </c>
      <c r="N85">
        <f>0+D85+F85+G85+H85+I85+J85+K85+L85</f>
        <v>0</v>
      </c>
    </row>
    <row r="86" spans="3:14">
      <c r="C86" t="s">
        <v>27</v>
      </c>
      <c r="D86">
        <f>60.869*$D$72</f>
        <v>0</v>
      </c>
      <c r="E86">
        <f>172.981*$E$72</f>
        <v>0</v>
      </c>
      <c r="F86">
        <f>-98.826*$F$72</f>
        <v>0</v>
      </c>
      <c r="G86">
        <f>3.257*$G$72</f>
        <v>0</v>
      </c>
      <c r="H86">
        <f>0*$H$72</f>
        <v>0</v>
      </c>
      <c r="I86">
        <f>7.925*$I$72</f>
        <v>0</v>
      </c>
      <c r="J86">
        <f>3.31*$J$72</f>
        <v>0</v>
      </c>
      <c r="K86">
        <f>-4.413*$K$72</f>
        <v>0</v>
      </c>
      <c r="L86">
        <f>-0.016*$L$72</f>
        <v>0</v>
      </c>
      <c r="M86">
        <f>0+D86+E86+G86+H86+I86+J86+K86+L86</f>
        <v>0</v>
      </c>
      <c r="N86">
        <f>0+D86+F86+G86+H86+I86+J86+K86+L86</f>
        <v>0</v>
      </c>
    </row>
    <row r="87" spans="3:14">
      <c r="C87" t="s">
        <v>28</v>
      </c>
      <c r="D87">
        <f>83.695*$D$72</f>
        <v>0</v>
      </c>
      <c r="E87">
        <f>193.59*$E$72</f>
        <v>0</v>
      </c>
      <c r="F87">
        <f>-85.158*$F$72</f>
        <v>0</v>
      </c>
      <c r="G87">
        <f>8.018*$G$72</f>
        <v>0</v>
      </c>
      <c r="H87">
        <f>0*$H$72</f>
        <v>0</v>
      </c>
      <c r="I87">
        <f>11.246*$I$72</f>
        <v>0</v>
      </c>
      <c r="J87">
        <f>-2.921*$J$72</f>
        <v>0</v>
      </c>
      <c r="K87">
        <f>3.895*$K$72</f>
        <v>0</v>
      </c>
      <c r="L87">
        <f>-0.016*$L$72</f>
        <v>0</v>
      </c>
      <c r="M87">
        <f>0+D87+E87+G87+H87+I87+J87+K87+L87</f>
        <v>0</v>
      </c>
      <c r="N87">
        <f>0+D87+F87+G87+H87+I87+J87+K87+L87</f>
        <v>0</v>
      </c>
    </row>
    <row r="88" spans="3:14">
      <c r="C88" t="s">
        <v>29</v>
      </c>
      <c r="D88">
        <f>106.403*$D$72</f>
        <v>0</v>
      </c>
      <c r="E88">
        <f>214.102*$E$72</f>
        <v>0</v>
      </c>
      <c r="F88">
        <f>-71.616*$F$72</f>
        <v>0</v>
      </c>
      <c r="G88">
        <f>12.636*$G$72</f>
        <v>0</v>
      </c>
      <c r="H88">
        <f>0*$H$72</f>
        <v>0</v>
      </c>
      <c r="I88">
        <f>14.544*$I$72</f>
        <v>0</v>
      </c>
      <c r="J88">
        <f>-8.025*$J$72</f>
        <v>0</v>
      </c>
      <c r="K88">
        <f>10.7*$K$72</f>
        <v>0</v>
      </c>
      <c r="L88">
        <f>-0.016*$L$72</f>
        <v>0</v>
      </c>
      <c r="M88">
        <f>0+D88+E88+G88+H88+I88+J88+K88+L88</f>
        <v>0</v>
      </c>
      <c r="N88">
        <f>0+D88+F88+G88+H88+I88+J88+K88+L88</f>
        <v>0</v>
      </c>
    </row>
    <row r="89" spans="3:14">
      <c r="C89" t="s">
        <v>30</v>
      </c>
      <c r="D89">
        <f>128.575*$D$72</f>
        <v>0</v>
      </c>
      <c r="E89">
        <f>234.56*$E$72</f>
        <v>0</v>
      </c>
      <c r="F89">
        <f>-58.542*$F$72</f>
        <v>0</v>
      </c>
      <c r="G89">
        <f>16.915*$G$72</f>
        <v>0</v>
      </c>
      <c r="H89">
        <f>0*$H$72</f>
        <v>0</v>
      </c>
      <c r="I89">
        <f>17.785*$I$72</f>
        <v>0</v>
      </c>
      <c r="J89">
        <f>-10.312*$J$72</f>
        <v>0</v>
      </c>
      <c r="K89">
        <f>13.75*$K$72</f>
        <v>0</v>
      </c>
      <c r="L89">
        <f>-0.015*$L$72</f>
        <v>0</v>
      </c>
      <c r="M89">
        <f>0+D89+E89+G89+H89+I89+J89+K89+L89</f>
        <v>0</v>
      </c>
      <c r="N89">
        <f>0+D89+F89+G89+H89+I89+J89+K89+L89</f>
        <v>0</v>
      </c>
    </row>
    <row r="90" spans="3:14">
      <c r="C90" t="s">
        <v>31</v>
      </c>
      <c r="D90">
        <f>153.599*$D$72</f>
        <v>0</v>
      </c>
      <c r="E90">
        <f>272.938*$E$72</f>
        <v>0</v>
      </c>
      <c r="F90">
        <f>-54.524*$F$72</f>
        <v>0</v>
      </c>
      <c r="G90">
        <f>11.964*$G$72</f>
        <v>0</v>
      </c>
      <c r="H90">
        <f>0*$H$72</f>
        <v>0</v>
      </c>
      <c r="I90">
        <f>21.094*$I$72</f>
        <v>0</v>
      </c>
      <c r="J90">
        <f>23.442*$J$72</f>
        <v>0</v>
      </c>
      <c r="K90">
        <f>-31.257*$K$72</f>
        <v>0</v>
      </c>
      <c r="L90">
        <f>-0.008774*$L$72</f>
        <v>0</v>
      </c>
      <c r="M90">
        <f>0+D90+E90+G90+H90+I90+J90+K90+L90</f>
        <v>0</v>
      </c>
      <c r="N90">
        <f>0+D90+F90+G90+H90+I90+J90+K90+L90</f>
        <v>0</v>
      </c>
    </row>
    <row r="91" spans="3:14">
      <c r="C91" t="s">
        <v>32</v>
      </c>
      <c r="D91">
        <f>166.619*$D$72</f>
        <v>0</v>
      </c>
      <c r="E91">
        <f>285.247*$E$72</f>
        <v>0</v>
      </c>
      <c r="F91">
        <f>-45.367*$F$72</f>
        <v>0</v>
      </c>
      <c r="G91">
        <f>15.394*$G$72</f>
        <v>0</v>
      </c>
      <c r="H91">
        <f>0*$H$72</f>
        <v>0</v>
      </c>
      <c r="I91">
        <f>23.005*$I$72</f>
        <v>0</v>
      </c>
      <c r="J91">
        <f>13.095*$J$72</f>
        <v>0</v>
      </c>
      <c r="K91">
        <f>-17.46*$K$72</f>
        <v>0</v>
      </c>
      <c r="L91">
        <f>-0.008438*$L$72</f>
        <v>0</v>
      </c>
      <c r="M91">
        <f>0+D91+E91+G91+H91+I91+J91+K91+L91</f>
        <v>0</v>
      </c>
      <c r="N91">
        <f>0+D91+F91+G91+H91+I91+J91+K91+L91</f>
        <v>0</v>
      </c>
    </row>
    <row r="92" spans="3:14">
      <c r="C92" t="s">
        <v>33</v>
      </c>
      <c r="D92">
        <f>185.571*$D$72</f>
        <v>0</v>
      </c>
      <c r="E92">
        <f>307.2*$E$72</f>
        <v>0</v>
      </c>
      <c r="F92">
        <f>-32.502*$F$72</f>
        <v>0</v>
      </c>
      <c r="G92">
        <f>19.871*$G$72</f>
        <v>0</v>
      </c>
      <c r="H92">
        <f>0*$H$72</f>
        <v>0</v>
      </c>
      <c r="I92">
        <f>25.759*$I$72</f>
        <v>0</v>
      </c>
      <c r="J92">
        <f>10.658*$J$72</f>
        <v>0</v>
      </c>
      <c r="K92">
        <f>-14.21*$K$72</f>
        <v>0</v>
      </c>
      <c r="L92">
        <f>-0.006589*$L$72</f>
        <v>0</v>
      </c>
      <c r="M92">
        <f>0+D92+E92+G92+H92+I92+J92+K92+L92</f>
        <v>0</v>
      </c>
      <c r="N92">
        <f>0+D92+F92+G92+H92+I92+J92+K92+L92</f>
        <v>0</v>
      </c>
    </row>
    <row r="93" spans="3:14">
      <c r="C93" t="s">
        <v>34</v>
      </c>
      <c r="D93">
        <f>204.033*$D$72</f>
        <v>0</v>
      </c>
      <c r="E93">
        <f>330.228*$E$72</f>
        <v>0</v>
      </c>
      <c r="F93">
        <f>-25.441*$F$72</f>
        <v>0</v>
      </c>
      <c r="G93">
        <f>24.489*$G$72</f>
        <v>0</v>
      </c>
      <c r="H93">
        <f>0*$H$72</f>
        <v>0</v>
      </c>
      <c r="I93">
        <f>28.45*$I$72</f>
        <v>0</v>
      </c>
      <c r="J93">
        <f>12.396*$J$72</f>
        <v>0</v>
      </c>
      <c r="K93">
        <f>-16.528*$K$72</f>
        <v>0</v>
      </c>
      <c r="L93">
        <f>-0.00245*$L$72</f>
        <v>0</v>
      </c>
      <c r="M93">
        <f>0+D93+E93+G93+H93+I93+J93+K93+L93</f>
        <v>0</v>
      </c>
      <c r="N93">
        <f>0+D93+F93+G93+H93+I93+J93+K93+L93</f>
        <v>0</v>
      </c>
    </row>
    <row r="94" spans="3:14">
      <c r="C94" t="s">
        <v>35</v>
      </c>
      <c r="D94">
        <f>220.107*$D$72</f>
        <v>0</v>
      </c>
      <c r="E94">
        <f>353.778*$E$72</f>
        <v>0</v>
      </c>
      <c r="F94">
        <f>-18.574*$F$72</f>
        <v>0</v>
      </c>
      <c r="G94">
        <f>29.168*$G$72</f>
        <v>0</v>
      </c>
      <c r="H94">
        <f>0*$H$72</f>
        <v>0</v>
      </c>
      <c r="I94">
        <f>30.789*$I$72</f>
        <v>0</v>
      </c>
      <c r="J94">
        <f>22.356*$J$72</f>
        <v>0</v>
      </c>
      <c r="K94">
        <f>-29.808*$K$72</f>
        <v>0</v>
      </c>
      <c r="L94">
        <f>0.004067*$L$72</f>
        <v>0</v>
      </c>
      <c r="M94">
        <f>0+D94+E94+G94+H94+I94+J94+K94+L94</f>
        <v>0</v>
      </c>
      <c r="N94">
        <f>0+D94+F94+G94+H94+I94+J94+K94+L94</f>
        <v>0</v>
      </c>
    </row>
    <row r="95" spans="3:14">
      <c r="C95" t="s">
        <v>36</v>
      </c>
      <c r="D95">
        <f>10.224*$D$72</f>
        <v>0</v>
      </c>
      <c r="E95">
        <f>41.392*$E$72</f>
        <v>0</v>
      </c>
      <c r="F95">
        <f>-145.04*$F$72</f>
        <v>0</v>
      </c>
      <c r="G95">
        <f>-1.972*$G$72</f>
        <v>0</v>
      </c>
      <c r="H95">
        <f>0*$H$72</f>
        <v>0</v>
      </c>
      <c r="I95">
        <f>0.842*$I$72</f>
        <v>0</v>
      </c>
      <c r="J95">
        <f>-32.655*$J$72</f>
        <v>0</v>
      </c>
      <c r="K95">
        <f>43.54*$K$72</f>
        <v>0</v>
      </c>
      <c r="L95">
        <f>0.01*$L$72</f>
        <v>0</v>
      </c>
      <c r="M95">
        <f>0+D95+E95+G95+H95+I95+J95+K95+L95</f>
        <v>0</v>
      </c>
      <c r="N95">
        <f>0+D95+F95+G95+H95+I95+J95+K95+L95</f>
        <v>0</v>
      </c>
    </row>
    <row r="96" spans="3:14">
      <c r="C96" t="s">
        <v>36</v>
      </c>
      <c r="D96">
        <f>-9.171*$D$72</f>
        <v>0</v>
      </c>
      <c r="E96">
        <f>32.745*$E$72</f>
        <v>0</v>
      </c>
      <c r="F96">
        <f>-45.048*$F$72</f>
        <v>0</v>
      </c>
      <c r="G96">
        <f>1.915*$G$72</f>
        <v>0</v>
      </c>
      <c r="H96">
        <f>0*$H$72</f>
        <v>0</v>
      </c>
      <c r="I96">
        <f>-0.687*$I$72</f>
        <v>0</v>
      </c>
      <c r="J96">
        <f>31.755*$J$72</f>
        <v>0</v>
      </c>
      <c r="K96">
        <f>-42.34*$K$72</f>
        <v>0</v>
      </c>
      <c r="L96">
        <f>0.45*$L$72</f>
        <v>0</v>
      </c>
      <c r="M96">
        <f>0+D96+E96+G96+H96+I96+J96+K96+L96</f>
        <v>0</v>
      </c>
      <c r="N96">
        <f>0+D96+F96+G96+H96+I96+J96+K96+L96</f>
        <v>0</v>
      </c>
    </row>
    <row r="97" spans="3:14">
      <c r="C97" t="s">
        <v>37</v>
      </c>
      <c r="D97">
        <f>-0.033*$D$72</f>
        <v>0</v>
      </c>
      <c r="E97">
        <f>32.745*$E$72</f>
        <v>0</v>
      </c>
      <c r="F97">
        <f>-45.048*$F$72</f>
        <v>0</v>
      </c>
      <c r="G97">
        <f>1.915*$G$72</f>
        <v>0</v>
      </c>
      <c r="H97">
        <f>0*$H$72</f>
        <v>0</v>
      </c>
      <c r="I97">
        <f>-0.687*$I$72</f>
        <v>0</v>
      </c>
      <c r="J97">
        <f>31.755*$J$72</f>
        <v>0</v>
      </c>
      <c r="K97">
        <f>-42.34*$K$72</f>
        <v>0</v>
      </c>
      <c r="L97">
        <f>0.45*$L$72</f>
        <v>0</v>
      </c>
      <c r="M97">
        <f>0+D97+E97+G97+H97+I97+J97+K97+L97</f>
        <v>0</v>
      </c>
      <c r="N97">
        <f>0+D97+F97+G97+H97+I97+J97+K97+L97</f>
        <v>0</v>
      </c>
    </row>
    <row r="98" spans="3:14">
      <c r="C98" t="s">
        <v>38</v>
      </c>
      <c r="D98">
        <f>-194.218*$D$72</f>
        <v>0</v>
      </c>
      <c r="E98">
        <f>24.202*$E$72</f>
        <v>0</v>
      </c>
      <c r="F98">
        <f>-337.214*$F$72</f>
        <v>0</v>
      </c>
      <c r="G98">
        <f>-27.144*$G$72</f>
        <v>0</v>
      </c>
      <c r="H98">
        <f>0*$H$72</f>
        <v>0</v>
      </c>
      <c r="I98">
        <f>-28.31*$I$72</f>
        <v>0</v>
      </c>
      <c r="J98">
        <f>-21.971*$J$72</f>
        <v>0</v>
      </c>
      <c r="K98">
        <f>29.295*$K$72</f>
        <v>0</v>
      </c>
      <c r="L98">
        <f>-0.334*$L$72</f>
        <v>0</v>
      </c>
      <c r="M98">
        <f>0+D98+E98+G98+H98+I98+J98+K98+L98</f>
        <v>0</v>
      </c>
      <c r="N98">
        <f>0+D98+F98+G98+H98+I98+J98+K98+L98</f>
        <v>0</v>
      </c>
    </row>
    <row r="99" spans="3:14">
      <c r="C99" t="s">
        <v>39</v>
      </c>
      <c r="D99">
        <f>-177.037*$D$72</f>
        <v>0</v>
      </c>
      <c r="E99">
        <f>31.893*$E$72</f>
        <v>0</v>
      </c>
      <c r="F99">
        <f>-315.53*$F$72</f>
        <v>0</v>
      </c>
      <c r="G99">
        <f>-22.328*$G$72</f>
        <v>0</v>
      </c>
      <c r="H99">
        <f>0*$H$72</f>
        <v>0</v>
      </c>
      <c r="I99">
        <f>-25.829*$I$72</f>
        <v>0</v>
      </c>
      <c r="J99">
        <f>-16.506*$J$72</f>
        <v>0</v>
      </c>
      <c r="K99">
        <f>22.008*$K$72</f>
        <v>0</v>
      </c>
      <c r="L99">
        <f>-0.351*$L$72</f>
        <v>0</v>
      </c>
      <c r="M99">
        <f>0+D99+E99+G99+H99+I99+J99+K99+L99</f>
        <v>0</v>
      </c>
      <c r="N99">
        <f>0+D99+F99+G99+H99+I99+J99+K99+L99</f>
        <v>0</v>
      </c>
    </row>
    <row r="100" spans="3:14">
      <c r="C100" t="s">
        <v>40</v>
      </c>
      <c r="D100">
        <f>-158.25*$D$72</f>
        <v>0</v>
      </c>
      <c r="E100">
        <f>41.495*$E$72</f>
        <v>0</v>
      </c>
      <c r="F100">
        <f>-293.915*$F$72</f>
        <v>0</v>
      </c>
      <c r="G100">
        <f>-17.597*$G$72</f>
        <v>0</v>
      </c>
      <c r="H100">
        <f>0*$H$72</f>
        <v>0</v>
      </c>
      <c r="I100">
        <f>-23.103*$I$72</f>
        <v>0</v>
      </c>
      <c r="J100">
        <f>-16.011*$J$72</f>
        <v>0</v>
      </c>
      <c r="K100">
        <f>21.348*$K$72</f>
        <v>0</v>
      </c>
      <c r="L100">
        <f>-0.325*$L$72</f>
        <v>0</v>
      </c>
      <c r="M100">
        <f>0+D100+E100+G100+H100+I100+J100+K100+L100</f>
        <v>0</v>
      </c>
      <c r="N100">
        <f>0+D100+F100+G100+H100+I100+J100+K100+L100</f>
        <v>0</v>
      </c>
    </row>
    <row r="101" spans="3:14">
      <c r="C101" t="s">
        <v>41</v>
      </c>
      <c r="D101">
        <f>-139.307*$D$72</f>
        <v>0</v>
      </c>
      <c r="E101">
        <f>54.157*$E$72</f>
        <v>0</v>
      </c>
      <c r="F101">
        <f>-272.88*$F$72</f>
        <v>0</v>
      </c>
      <c r="G101">
        <f>-13.232*$G$72</f>
        <v>0</v>
      </c>
      <c r="H101">
        <f>0*$H$72</f>
        <v>0</v>
      </c>
      <c r="I101">
        <f>-20.344*$I$72</f>
        <v>0</v>
      </c>
      <c r="J101">
        <f>-17.471*$J$72</f>
        <v>0</v>
      </c>
      <c r="K101">
        <f>23.295*$K$72</f>
        <v>0</v>
      </c>
      <c r="L101">
        <f>-0.253*$L$72</f>
        <v>0</v>
      </c>
      <c r="M101">
        <f>0+D101+E101+G101+H101+I101+J101+K101+L101</f>
        <v>0</v>
      </c>
      <c r="N101">
        <f>0+D101+F101+G101+H101+I101+J101+K101+L101</f>
        <v>0</v>
      </c>
    </row>
    <row r="102" spans="3:14">
      <c r="C102" t="s">
        <v>42</v>
      </c>
      <c r="D102">
        <f>-126.177*$D$72</f>
        <v>0</v>
      </c>
      <c r="E102">
        <f>61.595*$E$72</f>
        <v>0</v>
      </c>
      <c r="F102">
        <f>-261.369*$F$72</f>
        <v>0</v>
      </c>
      <c r="G102">
        <f>-9.963*$G$72</f>
        <v>0</v>
      </c>
      <c r="H102">
        <f>0*$H$72</f>
        <v>0</v>
      </c>
      <c r="I102">
        <f>-18.415*$I$72</f>
        <v>0</v>
      </c>
      <c r="J102">
        <f>-25.988*$J$72</f>
        <v>0</v>
      </c>
      <c r="K102">
        <f>34.65*$K$72</f>
        <v>0</v>
      </c>
      <c r="L102">
        <f>-0.129*$L$72</f>
        <v>0</v>
      </c>
      <c r="M102">
        <f>0+D102+E102+G102+H102+I102+J102+K102+L102</f>
        <v>0</v>
      </c>
      <c r="N102">
        <f>0+D102+F102+G102+H102+I102+J102+K102+L102</f>
        <v>0</v>
      </c>
    </row>
    <row r="103" spans="3:14">
      <c r="C103" t="s">
        <v>43</v>
      </c>
      <c r="D103">
        <f>-99.942*$D$72</f>
        <v>0</v>
      </c>
      <c r="E103">
        <f>61.164*$E$72</f>
        <v>0</v>
      </c>
      <c r="F103">
        <f>-224.454*$F$72</f>
        <v>0</v>
      </c>
      <c r="G103">
        <f>-14.486*$G$72</f>
        <v>0</v>
      </c>
      <c r="H103">
        <f>0*$H$72</f>
        <v>0</v>
      </c>
      <c r="I103">
        <f>-15.077*$I$72</f>
        <v>0</v>
      </c>
      <c r="J103">
        <f>9.525*$J$72</f>
        <v>0</v>
      </c>
      <c r="K103">
        <f>-12.7*$K$72</f>
        <v>0</v>
      </c>
      <c r="L103">
        <f>0.223*$L$72</f>
        <v>0</v>
      </c>
      <c r="M103">
        <f>0+D103+E103+G103+H103+I103+J103+K103+L103</f>
        <v>0</v>
      </c>
      <c r="N103">
        <f>0+D103+F103+G103+H103+I103+J103+K103+L103</f>
        <v>0</v>
      </c>
    </row>
    <row r="104" spans="3:14">
      <c r="C104" t="s">
        <v>44</v>
      </c>
      <c r="D104">
        <f>-77.609*$D$72</f>
        <v>0</v>
      </c>
      <c r="E104">
        <f>74.979*$E$72</f>
        <v>0</v>
      </c>
      <c r="F104">
        <f>-203.921*$F$72</f>
        <v>0</v>
      </c>
      <c r="G104">
        <f>-9.917*$G$72</f>
        <v>0</v>
      </c>
      <c r="H104">
        <f>0*$H$72</f>
        <v>0</v>
      </c>
      <c r="I104">
        <f>-11.822*$I$72</f>
        <v>0</v>
      </c>
      <c r="J104">
        <f>5.757*$J$72</f>
        <v>0</v>
      </c>
      <c r="K104">
        <f>-7.676*$K$72</f>
        <v>0</v>
      </c>
      <c r="L104">
        <f>0.339*$L$72</f>
        <v>0</v>
      </c>
      <c r="M104">
        <f>0+D104+E104+G104+H104+I104+J104+K104+L104</f>
        <v>0</v>
      </c>
      <c r="N104">
        <f>0+D104+F104+G104+H104+I104+J104+K104+L104</f>
        <v>0</v>
      </c>
    </row>
    <row r="105" spans="3:14">
      <c r="C105" t="s">
        <v>45</v>
      </c>
      <c r="D105">
        <f>-54.761*$D$72</f>
        <v>0</v>
      </c>
      <c r="E105">
        <f>89.237*$E$72</f>
        <v>0</v>
      </c>
      <c r="F105">
        <f>-183.513*$F$72</f>
        <v>0</v>
      </c>
      <c r="G105">
        <f>-5.12*$G$72</f>
        <v>0</v>
      </c>
      <c r="H105">
        <f>0*$H$72</f>
        <v>0</v>
      </c>
      <c r="I105">
        <f>-8.518*$I$72</f>
        <v>0</v>
      </c>
      <c r="J105">
        <f>0.036*$J$72</f>
        <v>0</v>
      </c>
      <c r="K105">
        <f>-0.048*$K$72</f>
        <v>0</v>
      </c>
      <c r="L105">
        <f>0.503*$L$72</f>
        <v>0</v>
      </c>
      <c r="M105">
        <f>0+D105+E105+G105+H105+I105+J105+K105+L105</f>
        <v>0</v>
      </c>
      <c r="N105">
        <f>0+D105+F105+G105+H105+I105+J105+K105+L105</f>
        <v>0</v>
      </c>
    </row>
    <row r="106" spans="3:14">
      <c r="C106" t="s">
        <v>46</v>
      </c>
      <c r="D106">
        <f>-31.798*$D$72</f>
        <v>0</v>
      </c>
      <c r="E106">
        <f>103.012*$E$72</f>
        <v>0</v>
      </c>
      <c r="F106">
        <f>-163.197*$F$72</f>
        <v>0</v>
      </c>
      <c r="G106">
        <f>-0.499*$G$72</f>
        <v>0</v>
      </c>
      <c r="H106">
        <f>0*$H$72</f>
        <v>0</v>
      </c>
      <c r="I106">
        <f>-5.169*$I$72</f>
        <v>0</v>
      </c>
      <c r="J106">
        <f>-5.308*$J$72</f>
        <v>0</v>
      </c>
      <c r="K106">
        <f>7.077*$K$72</f>
        <v>0</v>
      </c>
      <c r="L106">
        <f>0.719*$L$72</f>
        <v>0</v>
      </c>
      <c r="M106">
        <f>0+D106+E106+G106+H106+I106+J106+K106+L106</f>
        <v>0</v>
      </c>
      <c r="N106">
        <f>0+D106+F106+G106+H106+I106+J106+K106+L106</f>
        <v>0</v>
      </c>
    </row>
    <row r="107" spans="3:14">
      <c r="C107" t="s">
        <v>47</v>
      </c>
      <c r="D107">
        <f>-8.864*$D$72</f>
        <v>0</v>
      </c>
      <c r="E107">
        <f>118.944*$E$72</f>
        <v>0</v>
      </c>
      <c r="F107">
        <f>-142.657*$F$72</f>
        <v>0</v>
      </c>
      <c r="G107">
        <f>3.736*$G$72</f>
        <v>0</v>
      </c>
      <c r="H107">
        <f>0*$H$72</f>
        <v>0</v>
      </c>
      <c r="I107">
        <f>-1.815*$I$72</f>
        <v>0</v>
      </c>
      <c r="J107">
        <f>-8.539*$J$72</f>
        <v>0</v>
      </c>
      <c r="K107">
        <f>11.386*$K$72</f>
        <v>0</v>
      </c>
      <c r="L107">
        <f>0.942*$L$72</f>
        <v>0</v>
      </c>
      <c r="M107">
        <f>0+D107+E107+G107+H107+I107+J107+K107+L107</f>
        <v>0</v>
      </c>
      <c r="N107">
        <f>0+D107+F107+G107+H107+I107+J107+K107+L107</f>
        <v>0</v>
      </c>
    </row>
    <row r="108" spans="3:14">
      <c r="C108" t="s">
        <v>48</v>
      </c>
      <c r="D108">
        <f>29.866*$D$72</f>
        <v>0</v>
      </c>
      <c r="E108">
        <f>150.444*$E$72</f>
        <v>0</v>
      </c>
      <c r="F108">
        <f>-111.768*$F$72</f>
        <v>0</v>
      </c>
      <c r="G108">
        <f>-2.057*$G$72</f>
        <v>0</v>
      </c>
      <c r="H108">
        <f>0*$H$72</f>
        <v>0</v>
      </c>
      <c r="I108">
        <f>3.437*$I$72</f>
        <v>0</v>
      </c>
      <c r="J108">
        <f>7.163*$J$72</f>
        <v>0</v>
      </c>
      <c r="K108">
        <f>-9.55*$K$72</f>
        <v>0</v>
      </c>
      <c r="L108">
        <f>1.241*$L$72</f>
        <v>0</v>
      </c>
      <c r="M108">
        <f>0+D108+E108+G108+H108+I108+J108+K108+L108</f>
        <v>0</v>
      </c>
      <c r="N108">
        <f>0+D108+F108+G108+H108+I108+J108+K108+L108</f>
        <v>0</v>
      </c>
    </row>
    <row r="109" spans="3:14">
      <c r="C109" t="s">
        <v>49</v>
      </c>
      <c r="D109">
        <f>52.899*$D$72</f>
        <v>0</v>
      </c>
      <c r="E109">
        <f>170.886*$E$72</f>
        <v>0</v>
      </c>
      <c r="F109">
        <f>-97.027*$F$72</f>
        <v>0</v>
      </c>
      <c r="G109">
        <f>2.452*$G$72</f>
        <v>0</v>
      </c>
      <c r="H109">
        <f>0*$H$72</f>
        <v>0</v>
      </c>
      <c r="I109">
        <f>6.798*$I$72</f>
        <v>0</v>
      </c>
      <c r="J109">
        <f>2.266*$J$72</f>
        <v>0</v>
      </c>
      <c r="K109">
        <f>-3.021*$K$72</f>
        <v>0</v>
      </c>
      <c r="L109">
        <f>1.513*$L$72</f>
        <v>0</v>
      </c>
      <c r="M109">
        <f>0+D109+E109+G109+H109+I109+J109+K109+L109</f>
        <v>0</v>
      </c>
      <c r="N109">
        <f>0+D109+F109+G109+H109+I109+J109+K109+L109</f>
        <v>0</v>
      </c>
    </row>
    <row r="110" spans="3:14">
      <c r="C110" t="s">
        <v>50</v>
      </c>
      <c r="D110">
        <f>75.842*$D$72</f>
        <v>0</v>
      </c>
      <c r="E110">
        <f>191.768*$E$72</f>
        <v>0</v>
      </c>
      <c r="F110">
        <f>-82.746*$F$72</f>
        <v>0</v>
      </c>
      <c r="G110">
        <f>7.226*$G$72</f>
        <v>0</v>
      </c>
      <c r="H110">
        <f>0*$H$72</f>
        <v>0</v>
      </c>
      <c r="I110">
        <f>10.134*$I$72</f>
        <v>0</v>
      </c>
      <c r="J110">
        <f>-3.806*$J$72</f>
        <v>0</v>
      </c>
      <c r="K110">
        <f>5.075*$K$72</f>
        <v>0</v>
      </c>
      <c r="L110">
        <f>1.822*$L$72</f>
        <v>0</v>
      </c>
      <c r="M110">
        <f>0+D110+E110+G110+H110+I110+J110+K110+L110</f>
        <v>0</v>
      </c>
      <c r="N110">
        <f>0+D110+F110+G110+H110+I110+J110+K110+L110</f>
        <v>0</v>
      </c>
    </row>
    <row r="111" spans="3:14">
      <c r="C111" t="s">
        <v>51</v>
      </c>
      <c r="D111">
        <f>98.675*$D$72</f>
        <v>0</v>
      </c>
      <c r="E111">
        <f>212.427*$E$72</f>
        <v>0</v>
      </c>
      <c r="F111">
        <f>-68.669*$F$72</f>
        <v>0</v>
      </c>
      <c r="G111">
        <f>11.86*$G$72</f>
        <v>0</v>
      </c>
      <c r="H111">
        <f>0*$H$72</f>
        <v>0</v>
      </c>
      <c r="I111">
        <f>13.447*$I$72</f>
        <v>0</v>
      </c>
      <c r="J111">
        <f>-8.745*$J$72</f>
        <v>0</v>
      </c>
      <c r="K111">
        <f>11.66*$K$72</f>
        <v>0</v>
      </c>
      <c r="L111">
        <f>2.069*$L$72</f>
        <v>0</v>
      </c>
      <c r="M111">
        <f>0+D111+E111+G111+H111+I111+J111+K111+L111</f>
        <v>0</v>
      </c>
      <c r="N111">
        <f>0+D111+F111+G111+H111+I111+J111+K111+L111</f>
        <v>0</v>
      </c>
    </row>
    <row r="112" spans="3:14">
      <c r="C112" t="s">
        <v>52</v>
      </c>
      <c r="D112">
        <f>121.006*$D$72</f>
        <v>0</v>
      </c>
      <c r="E112">
        <f>232.946*$E$72</f>
        <v>0</v>
      </c>
      <c r="F112">
        <f>-55.535*$F$72</f>
        <v>0</v>
      </c>
      <c r="G112">
        <f>16.159*$G$72</f>
        <v>0</v>
      </c>
      <c r="H112">
        <f>0*$H$72</f>
        <v>0</v>
      </c>
      <c r="I112">
        <f>16.71*$I$72</f>
        <v>0</v>
      </c>
      <c r="J112">
        <f>-10.895*$J$72</f>
        <v>0</v>
      </c>
      <c r="K112">
        <f>14.527*$K$72</f>
        <v>0</v>
      </c>
      <c r="L112">
        <f>2.204*$L$72</f>
        <v>0</v>
      </c>
      <c r="M112">
        <f>0+D112+E112+G112+H112+I112+J112+K112+L112</f>
        <v>0</v>
      </c>
      <c r="N112">
        <f>0+D112+F112+G112+H112+I112+J112+K112+L112</f>
        <v>0</v>
      </c>
    </row>
    <row r="113" spans="3:14">
      <c r="C113" t="s">
        <v>53</v>
      </c>
      <c r="D113">
        <f>148.927*$D$72</f>
        <v>0</v>
      </c>
      <c r="E113">
        <f>272.281*$E$72</f>
        <v>0</v>
      </c>
      <c r="F113">
        <f>-56.155*$F$72</f>
        <v>0</v>
      </c>
      <c r="G113">
        <f>11.44*$G$72</f>
        <v>0</v>
      </c>
      <c r="H113">
        <f>0*$H$72</f>
        <v>0</v>
      </c>
      <c r="I113">
        <f>20.431*$I$72</f>
        <v>0</v>
      </c>
      <c r="J113">
        <f>22.713*$J$72</f>
        <v>0</v>
      </c>
      <c r="K113">
        <f>-30.283*$K$72</f>
        <v>0</v>
      </c>
      <c r="L113">
        <f>-3.47*$L$72</f>
        <v>0</v>
      </c>
      <c r="M113">
        <f>0+D113+E113+G113+H113+I113+J113+K113+L113</f>
        <v>0</v>
      </c>
      <c r="N113">
        <f>0+D113+F113+G113+H113+I113+J113+K113+L113</f>
        <v>0</v>
      </c>
    </row>
    <row r="114" spans="3:14">
      <c r="C114" t="s">
        <v>54</v>
      </c>
      <c r="D114">
        <f>162.337*$D$72</f>
        <v>0</v>
      </c>
      <c r="E114">
        <f>284.289*$E$72</f>
        <v>0</v>
      </c>
      <c r="F114">
        <f>-47.36*$F$72</f>
        <v>0</v>
      </c>
      <c r="G114">
        <f>14.915*$G$72</f>
        <v>0</v>
      </c>
      <c r="H114">
        <f>0*$H$72</f>
        <v>0</v>
      </c>
      <c r="I114">
        <f>22.396*$I$72</f>
        <v>0</v>
      </c>
      <c r="J114">
        <f>12.485*$J$72</f>
        <v>0</v>
      </c>
      <c r="K114">
        <f>-16.646*$K$72</f>
        <v>0</v>
      </c>
      <c r="L114">
        <f>-3.928*$L$72</f>
        <v>0</v>
      </c>
      <c r="M114">
        <f>0+D114+E114+G114+H114+I114+J114+K114+L114</f>
        <v>0</v>
      </c>
      <c r="N114">
        <f>0+D114+F114+G114+H114+I114+J114+K114+L114</f>
        <v>0</v>
      </c>
    </row>
    <row r="115" spans="3:14">
      <c r="C115" t="s">
        <v>55</v>
      </c>
      <c r="D115">
        <f>181.612*$D$72</f>
        <v>0</v>
      </c>
      <c r="E115">
        <f>305.715*$E$72</f>
        <v>0</v>
      </c>
      <c r="F115">
        <f>-34.714*$F$72</f>
        <v>0</v>
      </c>
      <c r="G115">
        <f>19.427*$G$72</f>
        <v>0</v>
      </c>
      <c r="H115">
        <f>0*$H$72</f>
        <v>0</v>
      </c>
      <c r="I115">
        <f>25.196*$I$72</f>
        <v>0</v>
      </c>
      <c r="J115">
        <f>10.112*$J$72</f>
        <v>0</v>
      </c>
      <c r="K115">
        <f>-13.483*$K$72</f>
        <v>0</v>
      </c>
      <c r="L115">
        <f>-5.17*$L$72</f>
        <v>0</v>
      </c>
      <c r="M115">
        <f>0+D115+E115+G115+H115+I115+J115+K115+L115</f>
        <v>0</v>
      </c>
      <c r="N115">
        <f>0+D115+F115+G115+H115+I115+J115+K115+L115</f>
        <v>0</v>
      </c>
    </row>
    <row r="116" spans="3:14">
      <c r="C116" t="s">
        <v>56</v>
      </c>
      <c r="D116">
        <f>200.638*$D$72</f>
        <v>0</v>
      </c>
      <c r="E116">
        <f>328.255*$E$72</f>
        <v>0</v>
      </c>
      <c r="F116">
        <f>-27.06*$F$72</f>
        <v>0</v>
      </c>
      <c r="G116">
        <f>24.101*$G$72</f>
        <v>0</v>
      </c>
      <c r="H116">
        <f>0*$H$72</f>
        <v>0</v>
      </c>
      <c r="I116">
        <f>27.966*$I$72</f>
        <v>0</v>
      </c>
      <c r="J116">
        <f>11.878*$J$72</f>
        <v>0</v>
      </c>
      <c r="K116">
        <f>-15.838*$K$72</f>
        <v>0</v>
      </c>
      <c r="L116">
        <f>-7.646*$L$72</f>
        <v>0</v>
      </c>
      <c r="M116">
        <f>0+D116+E116+G116+H116+I116+J116+K116+L116</f>
        <v>0</v>
      </c>
      <c r="N116">
        <f>0+D116+F116+G116+H116+I116+J116+K116+L116</f>
        <v>0</v>
      </c>
    </row>
    <row r="117" spans="3:14">
      <c r="C117" t="s">
        <v>57</v>
      </c>
      <c r="D117">
        <f>217.936*$D$72</f>
        <v>0</v>
      </c>
      <c r="E117">
        <f>351.402*$E$72</f>
        <v>0</v>
      </c>
      <c r="F117">
        <f>-19.569*$F$72</f>
        <v>0</v>
      </c>
      <c r="G117">
        <f>28.901*$G$72</f>
        <v>0</v>
      </c>
      <c r="H117">
        <f>0*$H$72</f>
        <v>0</v>
      </c>
      <c r="I117">
        <f>30.48*$I$72</f>
        <v>0</v>
      </c>
      <c r="J117">
        <f>21.851*$J$72</f>
        <v>0</v>
      </c>
      <c r="K117">
        <f>-29.134*$K$72</f>
        <v>0</v>
      </c>
      <c r="L117">
        <f>-12.8*$L$72</f>
        <v>0</v>
      </c>
      <c r="M117">
        <f>0+D117+E117+G117+H117+I117+J117+K117+L117</f>
        <v>0</v>
      </c>
      <c r="N117">
        <f>0+D117+F117+G117+H117+I117+J117+K117+L117</f>
        <v>0</v>
      </c>
    </row>
    <row r="118" spans="3:14">
      <c r="C118" t="s">
        <v>58</v>
      </c>
      <c r="D118">
        <f>7.712*$D$72</f>
        <v>0</v>
      </c>
      <c r="E118">
        <f>46.191*$E$72</f>
        <v>0</v>
      </c>
      <c r="F118">
        <f>-149.617*$F$72</f>
        <v>0</v>
      </c>
      <c r="G118">
        <f>-2.248*$G$72</f>
        <v>0</v>
      </c>
      <c r="H118">
        <f>0*$H$72</f>
        <v>0</v>
      </c>
      <c r="I118">
        <f>0.486*$I$72</f>
        <v>0</v>
      </c>
      <c r="J118">
        <f>-32.992*$J$72</f>
        <v>0</v>
      </c>
      <c r="K118">
        <f>43.989*$K$72</f>
        <v>0</v>
      </c>
      <c r="L118">
        <f>9.229*$L$72</f>
        <v>0</v>
      </c>
      <c r="M118">
        <f>0+D118+E118+G118+H118+I118+J118+K118+L118</f>
        <v>0</v>
      </c>
      <c r="N118">
        <f>0+D118+F118+G118+H118+I118+J118+K118+L118</f>
        <v>0</v>
      </c>
    </row>
    <row r="119" spans="3:14">
      <c r="C119" t="s">
        <v>58</v>
      </c>
      <c r="D119">
        <f>-6.877*$D$72</f>
        <v>0</v>
      </c>
      <c r="E119">
        <f>9.858*$E$72</f>
        <v>0</v>
      </c>
      <c r="F119">
        <f>-19.631*$F$72</f>
        <v>0</v>
      </c>
      <c r="G119">
        <f>1.805*$G$72</f>
        <v>0</v>
      </c>
      <c r="H119">
        <f>0*$H$72</f>
        <v>0</v>
      </c>
      <c r="I119">
        <f>-0.336*$I$72</f>
        <v>0</v>
      </c>
      <c r="J119">
        <f>36.106*$J$72</f>
        <v>0</v>
      </c>
      <c r="K119">
        <f>-48.142*$K$72</f>
        <v>0</v>
      </c>
      <c r="L119">
        <f>45.233*$L$72</f>
        <v>0</v>
      </c>
      <c r="M119">
        <f>0+D119+E119+G119+H119+I119+J119+K119+L119</f>
        <v>0</v>
      </c>
      <c r="N119">
        <f>0+D119+F119+G119+H119+I119+J119+K119+L119</f>
        <v>0</v>
      </c>
    </row>
    <row r="120" spans="3:14">
      <c r="C120" t="s">
        <v>59</v>
      </c>
      <c r="D120">
        <f>2.261*$D$72</f>
        <v>0</v>
      </c>
      <c r="E120">
        <f>9.858*$E$72</f>
        <v>0</v>
      </c>
      <c r="F120">
        <f>-19.631*$F$72</f>
        <v>0</v>
      </c>
      <c r="G120">
        <f>1.805*$G$72</f>
        <v>0</v>
      </c>
      <c r="H120">
        <f>0*$H$72</f>
        <v>0</v>
      </c>
      <c r="I120">
        <f>-0.336*$I$72</f>
        <v>0</v>
      </c>
      <c r="J120">
        <f>36.106*$J$72</f>
        <v>0</v>
      </c>
      <c r="K120">
        <f>-48.142*$K$72</f>
        <v>0</v>
      </c>
      <c r="L120">
        <f>45.233*$L$72</f>
        <v>0</v>
      </c>
      <c r="M120">
        <f>0+D120+E120+G120+H120+I120+J120+K120+L120</f>
        <v>0</v>
      </c>
      <c r="N120">
        <f>0+D120+F120+G120+H120+I120+J120+K120+L120</f>
        <v>0</v>
      </c>
    </row>
    <row r="121" spans="3:14">
      <c r="C121" t="s">
        <v>60</v>
      </c>
      <c r="D121">
        <f>-74.356*$D$72</f>
        <v>0</v>
      </c>
      <c r="E121">
        <f>23.58*$E$72</f>
        <v>0</v>
      </c>
      <c r="F121">
        <f>-209.632*$F$72</f>
        <v>0</v>
      </c>
      <c r="G121">
        <f>-16.176*$G$72</f>
        <v>0</v>
      </c>
      <c r="H121">
        <f>0*$H$72</f>
        <v>0</v>
      </c>
      <c r="I121">
        <f>-11.164*$I$72</f>
        <v>0</v>
      </c>
      <c r="J121">
        <f>-23.096*$J$72</f>
        <v>0</v>
      </c>
      <c r="K121">
        <f>30.794*$K$72</f>
        <v>0</v>
      </c>
      <c r="L121">
        <f>-306.087*$L$72</f>
        <v>0</v>
      </c>
      <c r="M121">
        <f>0+D121+E121+G121+H121+I121+J121+K121+L121</f>
        <v>0</v>
      </c>
      <c r="N121">
        <f>0+D121+F121+G121+H121+I121+J121+K121+L121</f>
        <v>0</v>
      </c>
    </row>
    <row r="122" spans="3:14">
      <c r="C122" t="s">
        <v>61</v>
      </c>
      <c r="D122">
        <f>-58.561*$D$72</f>
        <v>0</v>
      </c>
      <c r="E122">
        <f>35.113*$E$72</f>
        <v>0</v>
      </c>
      <c r="F122">
        <f>-182.092*$F$72</f>
        <v>0</v>
      </c>
      <c r="G122">
        <f>-11.592*$G$72</f>
        <v>0</v>
      </c>
      <c r="H122">
        <f>0*$H$72</f>
        <v>0</v>
      </c>
      <c r="I122">
        <f>-8.871*$I$72</f>
        <v>0</v>
      </c>
      <c r="J122">
        <f>-23.728*$J$72</f>
        <v>0</v>
      </c>
      <c r="K122">
        <f>31.637*$K$72</f>
        <v>0</v>
      </c>
      <c r="L122">
        <f>-227.783*$L$72</f>
        <v>0</v>
      </c>
      <c r="M122">
        <f>0+D122+E122+G122+H122+I122+J122+K122+L122</f>
        <v>0</v>
      </c>
      <c r="N122">
        <f>0+D122+F122+G122+H122+I122+J122+K122+L122</f>
        <v>0</v>
      </c>
    </row>
    <row r="123" spans="3:14">
      <c r="C123" t="s">
        <v>62</v>
      </c>
      <c r="D123">
        <f>-43.379*$D$72</f>
        <v>0</v>
      </c>
      <c r="E123">
        <f>47.857*$E$72</f>
        <v>0</v>
      </c>
      <c r="F123">
        <f>-163.115*$F$72</f>
        <v>0</v>
      </c>
      <c r="G123">
        <f>-7.447*$G$72</f>
        <v>0</v>
      </c>
      <c r="H123">
        <f>0*$H$72</f>
        <v>0</v>
      </c>
      <c r="I123">
        <f>-6.653*$I$72</f>
        <v>0</v>
      </c>
      <c r="J123">
        <f>-36.725*$J$72</f>
        <v>0</v>
      </c>
      <c r="K123">
        <f>48.967*$K$72</f>
        <v>0</v>
      </c>
      <c r="L123">
        <f>-159.947*$L$72</f>
        <v>0</v>
      </c>
      <c r="M123">
        <f>0+D123+E123+G123+H123+I123+J123+K123+L123</f>
        <v>0</v>
      </c>
      <c r="N123">
        <f>0+D123+F123+G123+H123+I123+J123+K123+L123</f>
        <v>0</v>
      </c>
    </row>
    <row r="124" spans="3:14">
      <c r="C124" t="s">
        <v>63</v>
      </c>
      <c r="D124">
        <f>-25.116*$D$72</f>
        <v>0</v>
      </c>
      <c r="E124">
        <f>66.421*$E$72</f>
        <v>0</v>
      </c>
      <c r="F124">
        <f>-138.878*$F$72</f>
        <v>0</v>
      </c>
      <c r="G124">
        <f>-3.192*$G$72</f>
        <v>0</v>
      </c>
      <c r="H124">
        <f>0*$H$72</f>
        <v>0</v>
      </c>
      <c r="I124">
        <f>-3.99*$I$72</f>
        <v>0</v>
      </c>
      <c r="J124">
        <f>-37.296*$J$72</f>
        <v>0</v>
      </c>
      <c r="K124">
        <f>49.728*$K$72</f>
        <v>0</v>
      </c>
      <c r="L124">
        <f>-87.703*$L$72</f>
        <v>0</v>
      </c>
      <c r="M124">
        <f>0+D124+E124+G124+H124+I124+J124+K124+L124</f>
        <v>0</v>
      </c>
      <c r="N124">
        <f>0+D124+F124+G124+H124+I124+J124+K124+L124</f>
        <v>0</v>
      </c>
    </row>
    <row r="125" spans="3:14">
      <c r="C125" t="s">
        <v>64</v>
      </c>
      <c r="D125">
        <f>-6.192*$D$72</f>
        <v>0</v>
      </c>
      <c r="E125">
        <f>84.837*$E$72</f>
        <v>0</v>
      </c>
      <c r="F125">
        <f>-114.05*$F$72</f>
        <v>0</v>
      </c>
      <c r="G125">
        <f>0.751*$G$72</f>
        <v>0</v>
      </c>
      <c r="H125">
        <f>0*$H$72</f>
        <v>0</v>
      </c>
      <c r="I125">
        <f>-1.222*$I$72</f>
        <v>0</v>
      </c>
      <c r="J125">
        <f>-36.399*$J$72</f>
        <v>0</v>
      </c>
      <c r="K125">
        <f>48.532*$K$72</f>
        <v>0</v>
      </c>
      <c r="L125">
        <f>-15.096*$L$72</f>
        <v>0</v>
      </c>
      <c r="M125">
        <f>0+D125+E125+G125+H125+I125+J125+K125+L125</f>
        <v>0</v>
      </c>
      <c r="N125">
        <f>0+D125+F125+G125+H125+I125+J125+K125+L125</f>
        <v>0</v>
      </c>
    </row>
    <row r="126" spans="3:14">
      <c r="C126" t="s">
        <v>65</v>
      </c>
      <c r="D126">
        <f>19.992*$D$72</f>
        <v>0</v>
      </c>
      <c r="E126">
        <f>116.439*$E$72</f>
        <v>0</v>
      </c>
      <c r="F126">
        <f>-82.462*$F$72</f>
        <v>0</v>
      </c>
      <c r="G126">
        <f>-1.002*$G$72</f>
        <v>0</v>
      </c>
      <c r="H126">
        <f>0*$H$72</f>
        <v>0</v>
      </c>
      <c r="I126">
        <f>1.935*$I$72</f>
        <v>0</v>
      </c>
      <c r="J126">
        <f>28.954*$J$72</f>
        <v>0</v>
      </c>
      <c r="K126">
        <f>-38.605*$K$72</f>
        <v>0</v>
      </c>
      <c r="L126">
        <f>11.922*$L$72</f>
        <v>0</v>
      </c>
      <c r="M126">
        <f>0+D126+E126+G126+H126+I126+J126+K126+L126</f>
        <v>0</v>
      </c>
      <c r="N126">
        <f>0+D126+F126+G126+H126+I126+J126+K126+L126</f>
        <v>0</v>
      </c>
    </row>
    <row r="127" spans="3:14">
      <c r="C127" t="s">
        <v>66</v>
      </c>
      <c r="D127">
        <f>41.265*$D$72</f>
        <v>0</v>
      </c>
      <c r="E127">
        <f>144.068*$E$72</f>
        <v>0</v>
      </c>
      <c r="F127">
        <f>-60.86*$F$72</f>
        <v>0</v>
      </c>
      <c r="G127">
        <f>3.687*$G$72</f>
        <v>0</v>
      </c>
      <c r="H127">
        <f>0*$H$72</f>
        <v>0</v>
      </c>
      <c r="I127">
        <f>5.028*$I$72</f>
        <v>0</v>
      </c>
      <c r="J127">
        <f>28.379*$J$72</f>
        <v>0</v>
      </c>
      <c r="K127">
        <f>-37.838*$K$72</f>
        <v>0</v>
      </c>
      <c r="L127">
        <f>91.167*$L$72</f>
        <v>0</v>
      </c>
      <c r="M127">
        <f>0+D127+E127+G127+H127+I127+J127+K127+L127</f>
        <v>0</v>
      </c>
      <c r="N127">
        <f>0+D127+F127+G127+H127+I127+J127+K127+L127</f>
        <v>0</v>
      </c>
    </row>
    <row r="128" spans="3:14">
      <c r="C128" t="s">
        <v>67</v>
      </c>
      <c r="D128">
        <f>62.426*$D$72</f>
        <v>0</v>
      </c>
      <c r="E128">
        <f>171.638*$E$72</f>
        <v>0</v>
      </c>
      <c r="F128">
        <f>-38.714*$F$72</f>
        <v>0</v>
      </c>
      <c r="G128">
        <f>8.755*$G$72</f>
        <v>0</v>
      </c>
      <c r="H128">
        <f>0*$H$72</f>
        <v>0</v>
      </c>
      <c r="I128">
        <f>8.08*$I$72</f>
        <v>0</v>
      </c>
      <c r="J128">
        <f>28.221*$J$72</f>
        <v>0</v>
      </c>
      <c r="K128">
        <f>-37.627*$K$72</f>
        <v>0</v>
      </c>
      <c r="L128">
        <f>171.964*$L$72</f>
        <v>0</v>
      </c>
      <c r="M128">
        <f>0+D128+E128+G128+H128+I128+J128+K128+L128</f>
        <v>0</v>
      </c>
      <c r="N128">
        <f>0+D128+F128+G128+H128+I128+J128+K128+L128</f>
        <v>0</v>
      </c>
    </row>
    <row r="129" spans="3:14">
      <c r="C129" t="s">
        <v>68</v>
      </c>
      <c r="D129">
        <f>79.849*$D$72</f>
        <v>0</v>
      </c>
      <c r="E129">
        <f>193.676*$E$72</f>
        <v>0</v>
      </c>
      <c r="F129">
        <f>-23.777*$F$72</f>
        <v>0</v>
      </c>
      <c r="G129">
        <f>13.434*$G$72</f>
        <v>0</v>
      </c>
      <c r="H129">
        <f>0*$H$72</f>
        <v>0</v>
      </c>
      <c r="I129">
        <f>10.587*$I$72</f>
        <v>0</v>
      </c>
      <c r="J129">
        <f>14.97*$J$72</f>
        <v>0</v>
      </c>
      <c r="K129">
        <f>-19.96*$K$72</f>
        <v>0</v>
      </c>
      <c r="L129">
        <f>244.856*$L$72</f>
        <v>0</v>
      </c>
      <c r="M129">
        <f>0+D129+E129+G129+H129+I129+J129+K129+L129</f>
        <v>0</v>
      </c>
      <c r="N129">
        <f>0+D129+F129+G129+H129+I129+J129+K129+L129</f>
        <v>0</v>
      </c>
    </row>
    <row r="130" spans="3:14">
      <c r="C130" t="s">
        <v>69</v>
      </c>
      <c r="D130">
        <f>101.983*$D$72</f>
        <v>0</v>
      </c>
      <c r="E130">
        <f>232.047*$E$72</f>
        <v>0</v>
      </c>
      <c r="F130">
        <f>-9.689*$F$72</f>
        <v>0</v>
      </c>
      <c r="G130">
        <f>19.255*$G$72</f>
        <v>0</v>
      </c>
      <c r="H130">
        <f>0*$H$72</f>
        <v>0</v>
      </c>
      <c r="I130">
        <f>13.739*$I$72</f>
        <v>0</v>
      </c>
      <c r="J130">
        <f>24.723*$J$72</f>
        <v>0</v>
      </c>
      <c r="K130">
        <f>-32.963*$K$72</f>
        <v>0</v>
      </c>
      <c r="L130">
        <f>340.971*$L$72</f>
        <v>0</v>
      </c>
      <c r="M130">
        <f>0+D130+E130+G130+H130+I130+J130+K130+L130</f>
        <v>0</v>
      </c>
      <c r="N130">
        <f>0+D130+F130+G130+H130+I130+J130+K130+L130</f>
        <v>0</v>
      </c>
    </row>
    <row r="135" spans="3:14">
      <c r="C135" t="s">
        <v>71</v>
      </c>
    </row>
    <row r="137" spans="3:14">
      <c r="C137" t="s">
        <v>2</v>
      </c>
    </row>
    <row r="138" spans="3:14">
      <c r="C138" t="s">
        <v>3</v>
      </c>
      <c r="D138" t="s">
        <v>4</v>
      </c>
      <c r="E138" t="s">
        <v>5</v>
      </c>
      <c r="F138" t="s">
        <v>6</v>
      </c>
      <c r="G138" t="s">
        <v>7</v>
      </c>
      <c r="H138" t="s">
        <v>8</v>
      </c>
      <c r="I138" t="s">
        <v>9</v>
      </c>
      <c r="J138" t="s">
        <v>10</v>
      </c>
      <c r="K138" t="s">
        <v>11</v>
      </c>
      <c r="L138" t="s">
        <v>12</v>
      </c>
      <c r="M138" t="s">
        <v>13</v>
      </c>
      <c r="N138" t="s">
        <v>14</v>
      </c>
    </row>
    <row r="139" spans="3:14">
      <c r="C139" t="s">
        <v>15</v>
      </c>
      <c r="D139">
        <f>-5.3606*$D$137</f>
        <v>0</v>
      </c>
      <c r="E139">
        <f>5.3647*$E$137</f>
        <v>0</v>
      </c>
      <c r="F139">
        <f>-14.0446*$F$137</f>
        <v>0</v>
      </c>
      <c r="G139">
        <f>0.6916*$G$137</f>
        <v>0</v>
      </c>
      <c r="H139">
        <f>0*$H$137</f>
        <v>0</v>
      </c>
      <c r="I139">
        <f>-0.8221*$I$137</f>
        <v>0</v>
      </c>
      <c r="J139">
        <f>-97.8027*$J$137</f>
        <v>0</v>
      </c>
      <c r="K139">
        <f>130.4036*$K$137</f>
        <v>0</v>
      </c>
      <c r="L139">
        <f>-0.0012*$L$137</f>
        <v>0</v>
      </c>
      <c r="M139">
        <f>0+D139+E139+G139+H139+I139+J139+K139+L139</f>
        <v>0</v>
      </c>
      <c r="N139">
        <f>0+D139+F139+G139+H139+I139+J139+K139+L139</f>
        <v>0</v>
      </c>
    </row>
    <row r="140" spans="3:14">
      <c r="C140" t="s">
        <v>16</v>
      </c>
      <c r="D140">
        <f>67.2131*$D$137</f>
        <v>0</v>
      </c>
      <c r="E140">
        <f>106.5263*$E$137</f>
        <v>0</v>
      </c>
      <c r="F140">
        <f>-16.6347*$F$137</f>
        <v>0</v>
      </c>
      <c r="G140">
        <f>6.5809*$G$137</f>
        <v>0</v>
      </c>
      <c r="H140">
        <f>0*$H$137</f>
        <v>0</v>
      </c>
      <c r="I140">
        <f>9.5141*$I$137</f>
        <v>0</v>
      </c>
      <c r="J140">
        <f>227.9122*$J$137</f>
        <v>0</v>
      </c>
      <c r="K140">
        <f>-303.8829*$K$137</f>
        <v>0</v>
      </c>
      <c r="L140">
        <f>0.0114*$L$137</f>
        <v>0</v>
      </c>
      <c r="M140">
        <f>0+D140+E140+G140+H140+I140+J140+K140+L140</f>
        <v>0</v>
      </c>
      <c r="N140">
        <f>0+D140+F140+G140+H140+I140+J140+K140+L140</f>
        <v>0</v>
      </c>
    </row>
    <row r="141" spans="3:14">
      <c r="C141" t="s">
        <v>17</v>
      </c>
      <c r="D141">
        <f>145.1342*$D$137</f>
        <v>0</v>
      </c>
      <c r="E141">
        <f>207.7497*$E$137</f>
        <v>0</v>
      </c>
      <c r="F141">
        <f>-7.3457*$F$137</f>
        <v>0</v>
      </c>
      <c r="G141">
        <f>14.4964*$G$137</f>
        <v>0</v>
      </c>
      <c r="H141">
        <f>0*$H$137</f>
        <v>0</v>
      </c>
      <c r="I141">
        <f>20.7187*$I$137</f>
        <v>0</v>
      </c>
      <c r="J141">
        <f>166.5009*$J$137</f>
        <v>0</v>
      </c>
      <c r="K141">
        <f>-222.0013*$K$137</f>
        <v>0</v>
      </c>
      <c r="L141">
        <f>0.0092*$L$137</f>
        <v>0</v>
      </c>
      <c r="M141">
        <f>0+D141+E141+G141+H141+I141+J141+K141+L141</f>
        <v>0</v>
      </c>
      <c r="N141">
        <f>0+D141+F141+G141+H141+I141+J141+K141+L141</f>
        <v>0</v>
      </c>
    </row>
    <row r="142" spans="3:14">
      <c r="C142" t="s">
        <v>18</v>
      </c>
      <c r="D142">
        <f>212.9764*$D$137</f>
        <v>0</v>
      </c>
      <c r="E142">
        <f>300.1306*$E$137</f>
        <v>0</v>
      </c>
      <c r="F142">
        <f>-4.8328*$F$137</f>
        <v>0</v>
      </c>
      <c r="G142">
        <f>21.9076*$G$137</f>
        <v>0</v>
      </c>
      <c r="H142">
        <f>0*$H$137</f>
        <v>0</v>
      </c>
      <c r="I142">
        <f>30.4035*$I$137</f>
        <v>0</v>
      </c>
      <c r="J142">
        <f>99.4631*$J$137</f>
        <v>0</v>
      </c>
      <c r="K142">
        <f>-132.6174*$K$137</f>
        <v>0</v>
      </c>
      <c r="L142">
        <f>0.0088*$L$137</f>
        <v>0</v>
      </c>
      <c r="M142">
        <f>0+D142+E142+G142+H142+I142+J142+K142+L142</f>
        <v>0</v>
      </c>
      <c r="N142">
        <f>0+D142+F142+G142+H142+I142+J142+K142+L142</f>
        <v>0</v>
      </c>
    </row>
    <row r="143" spans="3:14">
      <c r="C143" t="s">
        <v>19</v>
      </c>
      <c r="D143">
        <f>269.7458*$D$137</f>
        <v>0</v>
      </c>
      <c r="E143">
        <f>375.4699*$E$137</f>
        <v>0</v>
      </c>
      <c r="F143">
        <f>-5.9784*$F$137</f>
        <v>0</v>
      </c>
      <c r="G143">
        <f>29.1529*$G$137</f>
        <v>0</v>
      </c>
      <c r="H143">
        <f>0*$H$137</f>
        <v>0</v>
      </c>
      <c r="I143">
        <f>38.4024*$I$137</f>
        <v>0</v>
      </c>
      <c r="J143">
        <f>41.3089*$J$137</f>
        <v>0</v>
      </c>
      <c r="K143">
        <f>-55.0785*$K$137</f>
        <v>0</v>
      </c>
      <c r="L143">
        <f>0.0089*$L$137</f>
        <v>0</v>
      </c>
      <c r="M143">
        <f>0+D143+E143+G143+H143+I143+J143+K143+L143</f>
        <v>0</v>
      </c>
      <c r="N143">
        <f>0+D143+F143+G143+H143+I143+J143+K143+L143</f>
        <v>0</v>
      </c>
    </row>
    <row r="144" spans="3:14">
      <c r="C144" t="s">
        <v>20</v>
      </c>
      <c r="D144">
        <f>311.2963*$D$137</f>
        <v>0</v>
      </c>
      <c r="E144">
        <f>417.7425*$E$137</f>
        <v>0</v>
      </c>
      <c r="F144">
        <f>-7.2587*$F$137</f>
        <v>0</v>
      </c>
      <c r="G144">
        <f>42.3214*$G$137</f>
        <v>0</v>
      </c>
      <c r="H144">
        <f>0*$H$137</f>
        <v>0</v>
      </c>
      <c r="I144">
        <f>43.7876*$I$137</f>
        <v>0</v>
      </c>
      <c r="J144">
        <f>-102.0536*$J$137</f>
        <v>0</v>
      </c>
      <c r="K144">
        <f>136.0715*$K$137</f>
        <v>0</v>
      </c>
      <c r="L144">
        <f>0.0045*$L$137</f>
        <v>0</v>
      </c>
      <c r="M144">
        <f>0+D144+E144+G144+H144+I144+J144+K144+L144</f>
        <v>0</v>
      </c>
      <c r="N144">
        <f>0+D144+F144+G144+H144+I144+J144+K144+L144</f>
        <v>0</v>
      </c>
    </row>
    <row r="145" spans="3:14">
      <c r="C145" t="s">
        <v>21</v>
      </c>
      <c r="D145">
        <f>356.1698*$D$137</f>
        <v>0</v>
      </c>
      <c r="E145">
        <f>498.75*$E$137</f>
        <v>0</v>
      </c>
      <c r="F145">
        <f>-9.0372*$F$137</f>
        <v>0</v>
      </c>
      <c r="G145">
        <f>34.4204*$G$137</f>
        <v>0</v>
      </c>
      <c r="H145">
        <f>0*$H$137</f>
        <v>0</v>
      </c>
      <c r="I145">
        <f>50.9311*$I$137</f>
        <v>0</v>
      </c>
      <c r="J145">
        <f>48.7232*$J$137</f>
        <v>0</v>
      </c>
      <c r="K145">
        <f>-64.9643*$K$137</f>
        <v>0</v>
      </c>
      <c r="L145">
        <f>0.012*$L$137</f>
        <v>0</v>
      </c>
      <c r="M145">
        <f>0+D145+E145+G145+H145+I145+J145+K145+L145</f>
        <v>0</v>
      </c>
      <c r="N145">
        <f>0+D145+F145+G145+H145+I145+J145+K145+L145</f>
        <v>0</v>
      </c>
    </row>
    <row r="146" spans="3:14">
      <c r="C146" t="s">
        <v>22</v>
      </c>
      <c r="D146">
        <f>383.7347*$D$137</f>
        <v>0</v>
      </c>
      <c r="E146">
        <f>535.7208*$E$137</f>
        <v>0</v>
      </c>
      <c r="F146">
        <f>-10.2436*$F$137</f>
        <v>0</v>
      </c>
      <c r="G146">
        <f>35.4887*$G$137</f>
        <v>0</v>
      </c>
      <c r="H146">
        <f>0*$H$137</f>
        <v>0</v>
      </c>
      <c r="I146">
        <f>54.9957*$I$137</f>
        <v>0</v>
      </c>
      <c r="J146">
        <f>54.8092*$J$137</f>
        <v>0</v>
      </c>
      <c r="K146">
        <f>-73.0789*$K$137</f>
        <v>0</v>
      </c>
      <c r="L146">
        <f>0.0112*$L$137</f>
        <v>0</v>
      </c>
      <c r="M146">
        <f>0+D146+E146+G146+H146+I146+J146+K146+L146</f>
        <v>0</v>
      </c>
      <c r="N146">
        <f>0+D146+F146+G146+H146+I146+J146+K146+L146</f>
        <v>0</v>
      </c>
    </row>
    <row r="147" spans="3:14">
      <c r="C147" t="s">
        <v>23</v>
      </c>
      <c r="D147">
        <f>401.3718*$D$137</f>
        <v>0</v>
      </c>
      <c r="E147">
        <f>557.5432*$E$137</f>
        <v>0</v>
      </c>
      <c r="F147">
        <f>-11.4694*$F$137</f>
        <v>0</v>
      </c>
      <c r="G147">
        <f>38.023*$G$137</f>
        <v>0</v>
      </c>
      <c r="H147">
        <f>0*$H$137</f>
        <v>0</v>
      </c>
      <c r="I147">
        <f>57.459*$I$137</f>
        <v>0</v>
      </c>
      <c r="J147">
        <f>40.8404*$J$137</f>
        <v>0</v>
      </c>
      <c r="K147">
        <f>-54.4539*$K$137</f>
        <v>0</v>
      </c>
      <c r="L147">
        <f>0.0122*$L$137</f>
        <v>0</v>
      </c>
      <c r="M147">
        <f>0+D147+E147+G147+H147+I147+J147+K147+L147</f>
        <v>0</v>
      </c>
      <c r="N147">
        <f>0+D147+F147+G147+H147+I147+J147+K147+L147</f>
        <v>0</v>
      </c>
    </row>
    <row r="148" spans="3:14">
      <c r="C148" t="s">
        <v>24</v>
      </c>
      <c r="D148">
        <f>409.6114*$D$137</f>
        <v>0</v>
      </c>
      <c r="E148">
        <f>564.9785*$E$137</f>
        <v>0</v>
      </c>
      <c r="F148">
        <f>-12.6053*$F$137</f>
        <v>0</v>
      </c>
      <c r="G148">
        <f>41.2967*$G$137</f>
        <v>0</v>
      </c>
      <c r="H148">
        <f>0*$H$137</f>
        <v>0</v>
      </c>
      <c r="I148">
        <f>58.4571*$I$137</f>
        <v>0</v>
      </c>
      <c r="J148">
        <f>16.0091*$J$137</f>
        <v>0</v>
      </c>
      <c r="K148">
        <f>-21.3455*$K$137</f>
        <v>0</v>
      </c>
      <c r="L148">
        <f>0.0131*$L$137</f>
        <v>0</v>
      </c>
      <c r="M148">
        <f>0+D148+E148+G148+H148+I148+J148+K148+L148</f>
        <v>0</v>
      </c>
      <c r="N148">
        <f>0+D148+F148+G148+H148+I148+J148+K148+L148</f>
        <v>0</v>
      </c>
    </row>
    <row r="149" spans="3:14">
      <c r="C149" t="s">
        <v>25</v>
      </c>
      <c r="D149">
        <f>403.0471*$D$137</f>
        <v>0</v>
      </c>
      <c r="E149">
        <f>538.4162*$E$137</f>
        <v>0</v>
      </c>
      <c r="F149">
        <f>-13.2812*$F$137</f>
        <v>0</v>
      </c>
      <c r="G149">
        <f>53.2986*$G$137</f>
        <v>0</v>
      </c>
      <c r="H149">
        <f>0*$H$137</f>
        <v>0</v>
      </c>
      <c r="I149">
        <f>56.7351*$I$137</f>
        <v>0</v>
      </c>
      <c r="J149">
        <f>-80.6882*$J$137</f>
        <v>0</v>
      </c>
      <c r="K149">
        <f>107.5843*$K$137</f>
        <v>0</v>
      </c>
      <c r="L149">
        <f>0.0066*$L$137</f>
        <v>0</v>
      </c>
      <c r="M149">
        <f>0+D149+E149+G149+H149+I149+J149+K149+L149</f>
        <v>0</v>
      </c>
      <c r="N149">
        <f>0+D149+F149+G149+H149+I149+J149+K149+L149</f>
        <v>0</v>
      </c>
    </row>
    <row r="150" spans="3:14">
      <c r="C150" t="s">
        <v>26</v>
      </c>
      <c r="D150">
        <f>404.3361*$D$137</f>
        <v>0</v>
      </c>
      <c r="E150">
        <f>564.7998*$E$137</f>
        <v>0</v>
      </c>
      <c r="F150">
        <f>-15.6172*$F$137</f>
        <v>0</v>
      </c>
      <c r="G150">
        <f>37.023*$G$137</f>
        <v>0</v>
      </c>
      <c r="H150">
        <f>0*$H$137</f>
        <v>0</v>
      </c>
      <c r="I150">
        <f>57.9326*$I$137</f>
        <v>0</v>
      </c>
      <c r="J150">
        <f>34.0028*$J$137</f>
        <v>0</v>
      </c>
      <c r="K150">
        <f>-45.3371*$K$137</f>
        <v>0</v>
      </c>
      <c r="L150">
        <f>0.0156*$L$137</f>
        <v>0</v>
      </c>
      <c r="M150">
        <f>0+D150+E150+G150+H150+I150+J150+K150+L150</f>
        <v>0</v>
      </c>
      <c r="N150">
        <f>0+D150+F150+G150+H150+I150+J150+K150+L150</f>
        <v>0</v>
      </c>
    </row>
    <row r="151" spans="3:14">
      <c r="C151" t="s">
        <v>27</v>
      </c>
      <c r="D151">
        <f>386.5512*$D$137</f>
        <v>0</v>
      </c>
      <c r="E151">
        <f>543.3384*$E$137</f>
        <v>0</v>
      </c>
      <c r="F151">
        <f>-16.9382*$F$137</f>
        <v>0</v>
      </c>
      <c r="G151">
        <f>33.8821*$G$137</f>
        <v>0</v>
      </c>
      <c r="H151">
        <f>0*$H$137</f>
        <v>0</v>
      </c>
      <c r="I151">
        <f>55.5151*$I$137</f>
        <v>0</v>
      </c>
      <c r="J151">
        <f>44.525*$J$137</f>
        <v>0</v>
      </c>
      <c r="K151">
        <f>-59.3667*$K$137</f>
        <v>0</v>
      </c>
      <c r="L151">
        <f>0.0136*$L$137</f>
        <v>0</v>
      </c>
      <c r="M151">
        <f>0+D151+E151+G151+H151+I151+J151+K151+L151</f>
        <v>0</v>
      </c>
      <c r="N151">
        <f>0+D151+F151+G151+H151+I151+J151+K151+L151</f>
        <v>0</v>
      </c>
    </row>
    <row r="152" spans="3:14">
      <c r="C152" t="s">
        <v>28</v>
      </c>
      <c r="D152">
        <f>359.7758*$D$137</f>
        <v>0</v>
      </c>
      <c r="E152">
        <f>505.9721*$E$137</f>
        <v>0</v>
      </c>
      <c r="F152">
        <f>-17.7279*$F$137</f>
        <v>0</v>
      </c>
      <c r="G152">
        <f>32.494*$G$137</f>
        <v>0</v>
      </c>
      <c r="H152">
        <f>0*$H$137</f>
        <v>0</v>
      </c>
      <c r="I152">
        <f>51.6138*$I$137</f>
        <v>0</v>
      </c>
      <c r="J152">
        <f>36.4689*$J$137</f>
        <v>0</v>
      </c>
      <c r="K152">
        <f>-48.6252*$K$137</f>
        <v>0</v>
      </c>
      <c r="L152">
        <f>0.0137*$L$137</f>
        <v>0</v>
      </c>
      <c r="M152">
        <f>0+D152+E152+G152+H152+I152+J152+K152+L152</f>
        <v>0</v>
      </c>
      <c r="N152">
        <f>0+D152+F152+G152+H152+I152+J152+K152+L152</f>
        <v>0</v>
      </c>
    </row>
    <row r="153" spans="3:14">
      <c r="C153" t="s">
        <v>29</v>
      </c>
      <c r="D153">
        <f>324.6627*$D$137</f>
        <v>0</v>
      </c>
      <c r="E153">
        <f>454.9318*$E$137</f>
        <v>0</v>
      </c>
      <c r="F153">
        <f>-18.2799*$F$137</f>
        <v>0</v>
      </c>
      <c r="G153">
        <f>31.6331*$G$137</f>
        <v>0</v>
      </c>
      <c r="H153">
        <f>0*$H$137</f>
        <v>0</v>
      </c>
      <c r="I153">
        <f>46.413*$I$137</f>
        <v>0</v>
      </c>
      <c r="J153">
        <f>15.6637*$J$137</f>
        <v>0</v>
      </c>
      <c r="K153">
        <f>-20.885*$K$137</f>
        <v>0</v>
      </c>
      <c r="L153">
        <f>0.0124*$L$137</f>
        <v>0</v>
      </c>
      <c r="M153">
        <f>0+D153+E153+G153+H153+I153+J153+K153+L153</f>
        <v>0</v>
      </c>
      <c r="N153">
        <f>0+D153+F153+G153+H153+I153+J153+K153+L153</f>
        <v>0</v>
      </c>
    </row>
    <row r="154" spans="3:14">
      <c r="C154" t="s">
        <v>30</v>
      </c>
      <c r="D154">
        <f>280.298*$D$137</f>
        <v>0</v>
      </c>
      <c r="E154">
        <f>377.8605*$E$137</f>
        <v>0</v>
      </c>
      <c r="F154">
        <f>-16.7595*$F$137</f>
        <v>0</v>
      </c>
      <c r="G154">
        <f>38.9692*$G$137</f>
        <v>0</v>
      </c>
      <c r="H154">
        <f>0*$H$137</f>
        <v>0</v>
      </c>
      <c r="I154">
        <f>39.3101*$I$137</f>
        <v>0</v>
      </c>
      <c r="J154">
        <f>-82.4032*$J$137</f>
        <v>0</v>
      </c>
      <c r="K154">
        <f>109.8709*$K$137</f>
        <v>0</v>
      </c>
      <c r="L154">
        <f>-0.002*$L$137</f>
        <v>0</v>
      </c>
      <c r="M154">
        <f>0+D154+E154+G154+H154+I154+J154+K154+L154</f>
        <v>0</v>
      </c>
      <c r="N154">
        <f>0+D154+F154+G154+H154+I154+J154+K154+L154</f>
        <v>0</v>
      </c>
    </row>
    <row r="155" spans="3:14">
      <c r="C155" t="s">
        <v>31</v>
      </c>
      <c r="D155">
        <f>234.2233*$D$137</f>
        <v>0</v>
      </c>
      <c r="E155">
        <f>336.8531*$E$137</f>
        <v>0</v>
      </c>
      <c r="F155">
        <f>-20.9998*$F$137</f>
        <v>0</v>
      </c>
      <c r="G155">
        <f>20.136*$G$137</f>
        <v>0</v>
      </c>
      <c r="H155">
        <f>0*$H$137</f>
        <v>0</v>
      </c>
      <c r="I155">
        <f>33.6915*$I$137</f>
        <v>0</v>
      </c>
      <c r="J155">
        <f>40.6862*$J$137</f>
        <v>0</v>
      </c>
      <c r="K155">
        <f>-54.2483*$K$137</f>
        <v>0</v>
      </c>
      <c r="L155">
        <f>0.0162*$L$137</f>
        <v>0</v>
      </c>
      <c r="M155">
        <f>0+D155+E155+G155+H155+I155+J155+K155+L155</f>
        <v>0</v>
      </c>
      <c r="N155">
        <f>0+D155+F155+G155+H155+I155+J155+K155+L155</f>
        <v>0</v>
      </c>
    </row>
    <row r="156" spans="3:14">
      <c r="C156" t="s">
        <v>32</v>
      </c>
      <c r="D156">
        <f>178.6592*$D$137</f>
        <v>0</v>
      </c>
      <c r="E156">
        <f>263.9393*$E$137</f>
        <v>0</v>
      </c>
      <c r="F156">
        <f>-22.342*$F$137</f>
        <v>0</v>
      </c>
      <c r="G156">
        <f>12.7606*$G$137</f>
        <v>0</v>
      </c>
      <c r="H156">
        <f>0*$H$137</f>
        <v>0</v>
      </c>
      <c r="I156">
        <f>25.9296*$I$137</f>
        <v>0</v>
      </c>
      <c r="J156">
        <f>64.6091*$J$137</f>
        <v>0</v>
      </c>
      <c r="K156">
        <f>-86.1455*$K$137</f>
        <v>0</v>
      </c>
      <c r="L156">
        <f>0.018*$L$137</f>
        <v>0</v>
      </c>
      <c r="M156">
        <f>0+D156+E156+G156+H156+I156+J156+K156+L156</f>
        <v>0</v>
      </c>
      <c r="N156">
        <f>0+D156+F156+G156+H156+I156+J156+K156+L156</f>
        <v>0</v>
      </c>
    </row>
    <row r="157" spans="3:14">
      <c r="C157" t="s">
        <v>33</v>
      </c>
      <c r="D157">
        <f>119.1528*$D$137</f>
        <v>0</v>
      </c>
      <c r="E157">
        <f>178.934*$E$137</f>
        <v>0</v>
      </c>
      <c r="F157">
        <f>-19.9554*$F$137</f>
        <v>0</v>
      </c>
      <c r="G157">
        <f>7.3934*$G$137</f>
        <v>0</v>
      </c>
      <c r="H157">
        <f>0*$H$137</f>
        <v>0</v>
      </c>
      <c r="I157">
        <f>17.4072*$I$137</f>
        <v>0</v>
      </c>
      <c r="J157">
        <f>65.3081*$J$137</f>
        <v>0</v>
      </c>
      <c r="K157">
        <f>-87.0775*$K$137</f>
        <v>0</v>
      </c>
      <c r="L157">
        <f>0.021*$L$137</f>
        <v>0</v>
      </c>
      <c r="M157">
        <f>0+D157+E157+G157+H157+I157+J157+K157+L157</f>
        <v>0</v>
      </c>
      <c r="N157">
        <f>0+D157+F157+G157+H157+I157+J157+K157+L157</f>
        <v>0</v>
      </c>
    </row>
    <row r="158" spans="3:14">
      <c r="C158" t="s">
        <v>34</v>
      </c>
      <c r="D158">
        <f>60.2956*$D$137</f>
        <v>0</v>
      </c>
      <c r="E158">
        <f>92.3547*$E$137</f>
        <v>0</v>
      </c>
      <c r="F158">
        <f>-15.1126*$F$137</f>
        <v>0</v>
      </c>
      <c r="G158">
        <f>2.9931*$G$137</f>
        <v>0</v>
      </c>
      <c r="H158">
        <f>0*$H$137</f>
        <v>0</v>
      </c>
      <c r="I158">
        <f>8.87*$I$137</f>
        <v>0</v>
      </c>
      <c r="J158">
        <f>47.3172*$J$137</f>
        <v>0</v>
      </c>
      <c r="K158">
        <f>-63.0896*$K$137</f>
        <v>0</v>
      </c>
      <c r="L158">
        <f>0.0178*$L$137</f>
        <v>0</v>
      </c>
      <c r="M158">
        <f>0+D158+E158+G158+H158+I158+J158+K158+L158</f>
        <v>0</v>
      </c>
      <c r="N158">
        <f>0+D158+F158+G158+H158+I158+J158+K158+L158</f>
        <v>0</v>
      </c>
    </row>
    <row r="159" spans="3:14">
      <c r="C159" t="s">
        <v>35</v>
      </c>
      <c r="D159">
        <f>23.4902*$D$137</f>
        <v>0</v>
      </c>
      <c r="E159">
        <f>41.4956*$E$137</f>
        <v>0</v>
      </c>
      <c r="F159">
        <f>-22.8824*$F$137</f>
        <v>0</v>
      </c>
      <c r="G159">
        <f>5.3856*$G$137</f>
        <v>0</v>
      </c>
      <c r="H159">
        <f>0*$H$137</f>
        <v>0</v>
      </c>
      <c r="I159">
        <f>3.0378*$I$137</f>
        <v>0</v>
      </c>
      <c r="J159">
        <f>-80.7928*$J$137</f>
        <v>0</v>
      </c>
      <c r="K159">
        <f>107.7237*$K$137</f>
        <v>0</v>
      </c>
      <c r="L159">
        <f>-0.0184*$L$137</f>
        <v>0</v>
      </c>
      <c r="M159">
        <f>0+D159+E159+G159+H159+I159+J159+K159+L159</f>
        <v>0</v>
      </c>
      <c r="N159">
        <f>0+D159+F159+G159+H159+I159+J159+K159+L159</f>
        <v>0</v>
      </c>
    </row>
    <row r="160" spans="3:14">
      <c r="C160" t="s">
        <v>36</v>
      </c>
      <c r="D160">
        <f>4.0639*$D$137</f>
        <v>0</v>
      </c>
      <c r="E160">
        <f>5.3798*$E$137</f>
        <v>0</v>
      </c>
      <c r="F160">
        <f>-2.3648*$F$137</f>
        <v>0</v>
      </c>
      <c r="G160">
        <f>0.525*$G$137</f>
        <v>0</v>
      </c>
      <c r="H160">
        <f>0*$H$137</f>
        <v>0</v>
      </c>
      <c r="I160">
        <f>0.5358*$I$137</f>
        <v>0</v>
      </c>
      <c r="J160">
        <f>-16.8807*$J$137</f>
        <v>0</v>
      </c>
      <c r="K160">
        <f>22.5076*$K$137</f>
        <v>0</v>
      </c>
      <c r="L160">
        <f>0.0011*$L$137</f>
        <v>0</v>
      </c>
      <c r="M160">
        <f>0+D160+E160+G160+H160+I160+J160+K160+L160</f>
        <v>0</v>
      </c>
      <c r="N160">
        <f>0+D160+F160+G160+H160+I160+J160+K160+L160</f>
        <v>0</v>
      </c>
    </row>
    <row r="161" spans="3:14">
      <c r="C161" t="s">
        <v>36</v>
      </c>
      <c r="D161">
        <f>4.5233*$D$137</f>
        <v>0</v>
      </c>
      <c r="E161">
        <f>7.8413*$E$137</f>
        <v>0</v>
      </c>
      <c r="F161">
        <f>-4.3265*$F$137</f>
        <v>0</v>
      </c>
      <c r="G161">
        <f>0.4527*$G$137</f>
        <v>0</v>
      </c>
      <c r="H161">
        <f>0*$H$137</f>
        <v>0</v>
      </c>
      <c r="I161">
        <f>0.6062*$I$137</f>
        <v>0</v>
      </c>
      <c r="J161">
        <f>-17.7374*$J$137</f>
        <v>0</v>
      </c>
      <c r="K161">
        <f>23.6499*$K$137</f>
        <v>0</v>
      </c>
      <c r="L161">
        <f>-0.0791*$L$137</f>
        <v>0</v>
      </c>
      <c r="M161">
        <f>0+D161+E161+G161+H161+I161+J161+K161+L161</f>
        <v>0</v>
      </c>
      <c r="N161">
        <f>0+D161+F161+G161+H161+I161+J161+K161+L161</f>
        <v>0</v>
      </c>
    </row>
    <row r="162" spans="3:14">
      <c r="C162" t="s">
        <v>37</v>
      </c>
      <c r="D162">
        <f>20.3178*$D$137</f>
        <v>0</v>
      </c>
      <c r="E162">
        <f>22.1648*$E$137</f>
        <v>0</v>
      </c>
      <c r="F162">
        <f>-2.6665*$F$137</f>
        <v>0</v>
      </c>
      <c r="G162">
        <f>3.1964*$G$137</f>
        <v>0</v>
      </c>
      <c r="H162">
        <f>0*$H$137</f>
        <v>0</v>
      </c>
      <c r="I162">
        <f>2.7732*$I$137</f>
        <v>0</v>
      </c>
      <c r="J162">
        <f>-45.8869*$J$137</f>
        <v>0</v>
      </c>
      <c r="K162">
        <f>61.1826*$K$137</f>
        <v>0</v>
      </c>
      <c r="L162">
        <f>-0.1198*$L$137</f>
        <v>0</v>
      </c>
      <c r="M162">
        <f>0+D162+E162+G162+H162+I162+J162+K162+L162</f>
        <v>0</v>
      </c>
      <c r="N162">
        <f>0+D162+F162+G162+H162+I162+J162+K162+L162</f>
        <v>0</v>
      </c>
    </row>
    <row r="163" spans="3:14">
      <c r="C163" t="s">
        <v>38</v>
      </c>
      <c r="D163">
        <f>53.3798*$D$137</f>
        <v>0</v>
      </c>
      <c r="E163">
        <f>93.7919*$E$137</f>
        <v>0</v>
      </c>
      <c r="F163">
        <f>-15.396*$F$137</f>
        <v>0</v>
      </c>
      <c r="G163">
        <f>2.7336*$G$137</f>
        <v>0</v>
      </c>
      <c r="H163">
        <f>0*$H$137</f>
        <v>0</v>
      </c>
      <c r="I163">
        <f>7.9744*$I$137</f>
        <v>0</v>
      </c>
      <c r="J163">
        <f>106.3459*$J$137</f>
        <v>0</v>
      </c>
      <c r="K163">
        <f>-141.7946*$K$137</f>
        <v>0</v>
      </c>
      <c r="L163">
        <f>-0.1196*$L$137</f>
        <v>0</v>
      </c>
      <c r="M163">
        <f>0+D163+E163+G163+H163+I163+J163+K163+L163</f>
        <v>0</v>
      </c>
      <c r="N163">
        <f>0+D163+F163+G163+H163+I163+J163+K163+L163</f>
        <v>0</v>
      </c>
    </row>
    <row r="164" spans="3:14">
      <c r="C164" t="s">
        <v>39</v>
      </c>
      <c r="D164">
        <f>120.679*$D$137</f>
        <v>0</v>
      </c>
      <c r="E164">
        <f>183.6609*$E$137</f>
        <v>0</v>
      </c>
      <c r="F164">
        <f>-12.5452*$F$137</f>
        <v>0</v>
      </c>
      <c r="G164">
        <f>9.1343*$G$137</f>
        <v>0</v>
      </c>
      <c r="H164">
        <f>0*$H$137</f>
        <v>0</v>
      </c>
      <c r="I164">
        <f>17.5984*$I$137</f>
        <v>0</v>
      </c>
      <c r="J164">
        <f>95.2561*$J$137</f>
        <v>0</v>
      </c>
      <c r="K164">
        <f>-127.0082*$K$137</f>
        <v>0</v>
      </c>
      <c r="L164">
        <f>-0.1671*$L$137</f>
        <v>0</v>
      </c>
      <c r="M164">
        <f>0+D164+E164+G164+H164+I164+J164+K164+L164</f>
        <v>0</v>
      </c>
      <c r="N164">
        <f>0+D164+F164+G164+H164+I164+J164+K164+L164</f>
        <v>0</v>
      </c>
    </row>
    <row r="165" spans="3:14">
      <c r="C165" t="s">
        <v>40</v>
      </c>
      <c r="D165">
        <f>185.0298*$D$137</f>
        <v>0</v>
      </c>
      <c r="E165">
        <f>267.6942*$E$137</f>
        <v>0</v>
      </c>
      <c r="F165">
        <f>-7.3411*$F$137</f>
        <v>0</v>
      </c>
      <c r="G165">
        <f>16.576*$G$137</f>
        <v>0</v>
      </c>
      <c r="H165">
        <f>0*$H$137</f>
        <v>0</v>
      </c>
      <c r="I165">
        <f>26.6583*$I$137</f>
        <v>0</v>
      </c>
      <c r="J165">
        <f>63.4677*$J$137</f>
        <v>0</v>
      </c>
      <c r="K165">
        <f>-84.6236*$K$137</f>
        <v>0</v>
      </c>
      <c r="L165">
        <f>-0.1206*$L$137</f>
        <v>0</v>
      </c>
      <c r="M165">
        <f>0+D165+E165+G165+H165+I165+J165+K165+L165</f>
        <v>0</v>
      </c>
      <c r="N165">
        <f>0+D165+F165+G165+H165+I165+J165+K165+L165</f>
        <v>0</v>
      </c>
    </row>
    <row r="166" spans="3:14">
      <c r="C166" t="s">
        <v>41</v>
      </c>
      <c r="D166">
        <f>241.3933*$D$137</f>
        <v>0</v>
      </c>
      <c r="E166">
        <f>338.3611*$E$137</f>
        <v>0</v>
      </c>
      <c r="F166">
        <f>-5.376*$F$137</f>
        <v>0</v>
      </c>
      <c r="G166">
        <f>24.6002*$G$137</f>
        <v>0</v>
      </c>
      <c r="H166">
        <f>0*$H$137</f>
        <v>0</v>
      </c>
      <c r="I166">
        <f>34.4777*$I$137</f>
        <v>0</v>
      </c>
      <c r="J166">
        <f>22.3578*$J$137</f>
        <v>0</v>
      </c>
      <c r="K166">
        <f>-29.8104*$K$137</f>
        <v>0</v>
      </c>
      <c r="L166">
        <f>-0.1246*$L$137</f>
        <v>0</v>
      </c>
      <c r="M166">
        <f>0+D166+E166+G166+H166+I166+J166+K166+L166</f>
        <v>0</v>
      </c>
      <c r="N166">
        <f>0+D166+F166+G166+H166+I166+J166+K166+L166</f>
        <v>0</v>
      </c>
    </row>
    <row r="167" spans="3:14">
      <c r="C167" t="s">
        <v>42</v>
      </c>
      <c r="D167">
        <f>291.304*$D$137</f>
        <v>0</v>
      </c>
      <c r="E167">
        <f>382.0742*$E$137</f>
        <v>0</v>
      </c>
      <c r="F167">
        <f>-6.4591*$F$137</f>
        <v>0</v>
      </c>
      <c r="G167">
        <f>39.9406*$G$137</f>
        <v>0</v>
      </c>
      <c r="H167">
        <f>0*$H$137</f>
        <v>0</v>
      </c>
      <c r="I167">
        <f>40.8527*$I$137</f>
        <v>0</v>
      </c>
      <c r="J167">
        <f>-91.6843*$J$137</f>
        <v>0</v>
      </c>
      <c r="K167">
        <f>122.2458*$K$137</f>
        <v>0</v>
      </c>
      <c r="L167">
        <f>-0.5668*$L$137</f>
        <v>0</v>
      </c>
      <c r="M167">
        <f>0+D167+E167+G167+H167+I167+J167+K167+L167</f>
        <v>0</v>
      </c>
      <c r="N167">
        <f>0+D167+F167+G167+H167+I167+J167+K167+L167</f>
        <v>0</v>
      </c>
    </row>
    <row r="168" spans="3:14">
      <c r="C168" t="s">
        <v>43</v>
      </c>
      <c r="D168">
        <f>327.8782*$D$137</f>
        <v>0</v>
      </c>
      <c r="E168">
        <f>462.4773*$E$137</f>
        <v>0</v>
      </c>
      <c r="F168">
        <f>-7.9262*$F$137</f>
        <v>0</v>
      </c>
      <c r="G168">
        <f>29.9861*$G$137</f>
        <v>0</v>
      </c>
      <c r="H168">
        <f>0*$H$137</f>
        <v>0</v>
      </c>
      <c r="I168">
        <f>46.9945*$I$137</f>
        <v>0</v>
      </c>
      <c r="J168">
        <f>35.1595*$J$137</f>
        <v>0</v>
      </c>
      <c r="K168">
        <f>-46.8793*$K$137</f>
        <v>0</v>
      </c>
      <c r="L168">
        <f>-0.0088*$L$137</f>
        <v>0</v>
      </c>
      <c r="M168">
        <f>0+D168+E168+G168+H168+I168+J168+K168+L168</f>
        <v>0</v>
      </c>
      <c r="N168">
        <f>0+D168+F168+G168+H168+I168+J168+K168+L168</f>
        <v>0</v>
      </c>
    </row>
    <row r="169" spans="3:14">
      <c r="C169" t="s">
        <v>44</v>
      </c>
      <c r="D169">
        <f>358.1313*$D$137</f>
        <v>0</v>
      </c>
      <c r="E169">
        <f>501.4181*$E$137</f>
        <v>0</v>
      </c>
      <c r="F169">
        <f>-9.084*$F$137</f>
        <v>0</v>
      </c>
      <c r="G169">
        <f>31.5917*$G$137</f>
        <v>0</v>
      </c>
      <c r="H169">
        <f>0*$H$137</f>
        <v>0</v>
      </c>
      <c r="I169">
        <f>51.4186*$I$137</f>
        <v>0</v>
      </c>
      <c r="J169">
        <f>42.8842*$J$137</f>
        <v>0</v>
      </c>
      <c r="K169">
        <f>-57.179*$K$137</f>
        <v>0</v>
      </c>
      <c r="L169">
        <f>-0.1269*$L$137</f>
        <v>0</v>
      </c>
      <c r="M169">
        <f>0+D169+E169+G169+H169+I169+J169+K169+L169</f>
        <v>0</v>
      </c>
      <c r="N169">
        <f>0+D169+F169+G169+H169+I169+J169+K169+L169</f>
        <v>0</v>
      </c>
    </row>
    <row r="170" spans="3:14">
      <c r="C170" t="s">
        <v>45</v>
      </c>
      <c r="D170">
        <f>378.9369*$D$137</f>
        <v>0</v>
      </c>
      <c r="E170">
        <f>525.625*$E$137</f>
        <v>0</v>
      </c>
      <c r="F170">
        <f>-10.2767*$F$137</f>
        <v>0</v>
      </c>
      <c r="G170">
        <f>34.8153*$G$137</f>
        <v>0</v>
      </c>
      <c r="H170">
        <f>0*$H$137</f>
        <v>0</v>
      </c>
      <c r="I170">
        <f>54.2997*$I$137</f>
        <v>0</v>
      </c>
      <c r="J170">
        <f>32.528*$J$137</f>
        <v>0</v>
      </c>
      <c r="K170">
        <f>-43.3706*$K$137</f>
        <v>0</v>
      </c>
      <c r="L170">
        <f>-0.2216*$L$137</f>
        <v>0</v>
      </c>
      <c r="M170">
        <f>0+D170+E170+G170+H170+I170+J170+K170+L170</f>
        <v>0</v>
      </c>
      <c r="N170">
        <f>0+D170+F170+G170+H170+I170+J170+K170+L170</f>
        <v>0</v>
      </c>
    </row>
    <row r="171" spans="3:14">
      <c r="C171" t="s">
        <v>46</v>
      </c>
      <c r="D171">
        <f>389.9636*$D$137</f>
        <v>0</v>
      </c>
      <c r="E171">
        <f>535.6354*$E$137</f>
        <v>0</v>
      </c>
      <c r="F171">
        <f>-11.528*$F$137</f>
        <v>0</v>
      </c>
      <c r="G171">
        <f>38.7113*$G$137</f>
        <v>0</v>
      </c>
      <c r="H171">
        <f>0*$H$137</f>
        <v>0</v>
      </c>
      <c r="I171">
        <f>55.6664*$I$137</f>
        <v>0</v>
      </c>
      <c r="J171">
        <f>11.0879*$J$137</f>
        <v>0</v>
      </c>
      <c r="K171">
        <f>-14.7839*$K$137</f>
        <v>0</v>
      </c>
      <c r="L171">
        <f>-0.3753*$L$137</f>
        <v>0</v>
      </c>
      <c r="M171">
        <f>0+D171+E171+G171+H171+I171+J171+K171+L171</f>
        <v>0</v>
      </c>
      <c r="N171">
        <f>0+D171+F171+G171+H171+I171+J171+K171+L171</f>
        <v>0</v>
      </c>
    </row>
    <row r="172" spans="3:14">
      <c r="C172" t="s">
        <v>47</v>
      </c>
      <c r="D172">
        <f>386.3007*$D$137</f>
        <v>0</v>
      </c>
      <c r="E172">
        <f>511.3959*$E$137</f>
        <v>0</v>
      </c>
      <c r="F172">
        <f>-12.6566*$F$137</f>
        <v>0</v>
      </c>
      <c r="G172">
        <f>51.6147*$G$137</f>
        <v>0</v>
      </c>
      <c r="H172">
        <f>0*$H$137</f>
        <v>0</v>
      </c>
      <c r="I172">
        <f>54.3065*$I$137</f>
        <v>0</v>
      </c>
      <c r="J172">
        <f>-79.1918*$J$137</f>
        <v>0</v>
      </c>
      <c r="K172">
        <f>105.5891*$K$137</f>
        <v>0</v>
      </c>
      <c r="L172">
        <f>-0.9762*$L$137</f>
        <v>0</v>
      </c>
      <c r="M172">
        <f>0+D172+E172+G172+H172+I172+J172+K172+L172</f>
        <v>0</v>
      </c>
      <c r="N172">
        <f>0+D172+F172+G172+H172+I172+J172+K172+L172</f>
        <v>0</v>
      </c>
    </row>
    <row r="173" spans="3:14">
      <c r="C173" t="s">
        <v>48</v>
      </c>
      <c r="D173">
        <f>388.9249*$D$137</f>
        <v>0</v>
      </c>
      <c r="E173">
        <f>540.605*$E$137</f>
        <v>0</v>
      </c>
      <c r="F173">
        <f>-14.266*$F$137</f>
        <v>0</v>
      </c>
      <c r="G173">
        <f>35.0839*$G$137</f>
        <v>0</v>
      </c>
      <c r="H173">
        <f>0*$H$137</f>
        <v>0</v>
      </c>
      <c r="I173">
        <f>55.7348*$I$137</f>
        <v>0</v>
      </c>
      <c r="J173">
        <f>30.8494*$J$137</f>
        <v>0</v>
      </c>
      <c r="K173">
        <f>-41.1325*$K$137</f>
        <v>0</v>
      </c>
      <c r="L173">
        <f>-0.5952*$L$137</f>
        <v>0</v>
      </c>
      <c r="M173">
        <f>0+D173+E173+G173+H173+I173+J173+K173+L173</f>
        <v>0</v>
      </c>
      <c r="N173">
        <f>0+D173+F173+G173+H173+I173+J173+K173+L173</f>
        <v>0</v>
      </c>
    </row>
    <row r="174" spans="3:14">
      <c r="C174" t="s">
        <v>49</v>
      </c>
      <c r="D174">
        <f>373.2535*$D$137</f>
        <v>0</v>
      </c>
      <c r="E174">
        <f>521.8973*$E$137</f>
        <v>0</v>
      </c>
      <c r="F174">
        <f>-15.5289*$F$137</f>
        <v>0</v>
      </c>
      <c r="G174">
        <f>32.2627*$G$137</f>
        <v>0</v>
      </c>
      <c r="H174">
        <f>0*$H$137</f>
        <v>0</v>
      </c>
      <c r="I174">
        <f>53.6136*$I$137</f>
        <v>0</v>
      </c>
      <c r="J174">
        <f>42.3338*$J$137</f>
        <v>0</v>
      </c>
      <c r="K174">
        <f>-56.445*$K$137</f>
        <v>0</v>
      </c>
      <c r="L174">
        <f>-0.866*$L$137</f>
        <v>0</v>
      </c>
      <c r="M174">
        <f>0+D174+E174+G174+H174+I174+J174+K174+L174</f>
        <v>0</v>
      </c>
      <c r="N174">
        <f>0+D174+F174+G174+H174+I174+J174+K174+L174</f>
        <v>0</v>
      </c>
    </row>
    <row r="175" spans="3:14">
      <c r="C175" t="s">
        <v>50</v>
      </c>
      <c r="D175">
        <f>348.3424*$D$137</f>
        <v>0</v>
      </c>
      <c r="E175">
        <f>487.2155*$E$137</f>
        <v>0</v>
      </c>
      <c r="F175">
        <f>-16.6102*$F$137</f>
        <v>0</v>
      </c>
      <c r="G175">
        <f>31.1774*$G$137</f>
        <v>0</v>
      </c>
      <c r="H175">
        <f>0*$H$137</f>
        <v>0</v>
      </c>
      <c r="I175">
        <f>49.9729*$I$137</f>
        <v>0</v>
      </c>
      <c r="J175">
        <f>35.317*$J$137</f>
        <v>0</v>
      </c>
      <c r="K175">
        <f>-47.0893*$K$137</f>
        <v>0</v>
      </c>
      <c r="L175">
        <f>-0.8662*$L$137</f>
        <v>0</v>
      </c>
      <c r="M175">
        <f>0+D175+E175+G175+H175+I175+J175+K175+L175</f>
        <v>0</v>
      </c>
      <c r="N175">
        <f>0+D175+F175+G175+H175+I175+J175+K175+L175</f>
        <v>0</v>
      </c>
    </row>
    <row r="176" spans="3:14">
      <c r="C176" t="s">
        <v>51</v>
      </c>
      <c r="D176">
        <f>314.8248*$D$137</f>
        <v>0</v>
      </c>
      <c r="E176">
        <f>438.8849*$E$137</f>
        <v>0</v>
      </c>
      <c r="F176">
        <f>-17.4053*$F$137</f>
        <v>0</v>
      </c>
      <c r="G176">
        <f>30.5683*$G$137</f>
        <v>0</v>
      </c>
      <c r="H176">
        <f>0*$H$137</f>
        <v>0</v>
      </c>
      <c r="I176">
        <f>44.9966*$I$137</f>
        <v>0</v>
      </c>
      <c r="J176">
        <f>15.293*$J$137</f>
        <v>0</v>
      </c>
      <c r="K176">
        <f>-20.3907*$K$137</f>
        <v>0</v>
      </c>
      <c r="L176">
        <f>-0.2559*$L$137</f>
        <v>0</v>
      </c>
      <c r="M176">
        <f>0+D176+E176+G176+H176+I176+J176+K176+L176</f>
        <v>0</v>
      </c>
      <c r="N176">
        <f>0+D176+F176+G176+H176+I176+J176+K176+L176</f>
        <v>0</v>
      </c>
    </row>
    <row r="177" spans="3:14">
      <c r="C177" t="s">
        <v>52</v>
      </c>
      <c r="D177">
        <f>270.4778*$D$137</f>
        <v>0</v>
      </c>
      <c r="E177">
        <f>365.0022*$E$137</f>
        <v>0</v>
      </c>
      <c r="F177">
        <f>-16.7045*$F$137</f>
        <v>0</v>
      </c>
      <c r="G177">
        <f>38.0419*$G$137</f>
        <v>0</v>
      </c>
      <c r="H177">
        <f>0*$H$137</f>
        <v>0</v>
      </c>
      <c r="I177">
        <f>37.8924*$I$137</f>
        <v>0</v>
      </c>
      <c r="J177">
        <f>-81.7332*$J$137</f>
        <v>0</v>
      </c>
      <c r="K177">
        <f>108.9776*$K$137</f>
        <v>0</v>
      </c>
      <c r="L177">
        <f>3.5834*$L$137</f>
        <v>0</v>
      </c>
      <c r="M177">
        <f>0+D177+E177+G177+H177+I177+J177+K177+L177</f>
        <v>0</v>
      </c>
      <c r="N177">
        <f>0+D177+F177+G177+H177+I177+J177+K177+L177</f>
        <v>0</v>
      </c>
    </row>
    <row r="178" spans="3:14">
      <c r="C178" t="s">
        <v>53</v>
      </c>
      <c r="D178">
        <f>228.72*$D$137</f>
        <v>0</v>
      </c>
      <c r="E178">
        <f>327.1911*$E$137</f>
        <v>0</v>
      </c>
      <c r="F178">
        <f>-19.8421*$F$137</f>
        <v>0</v>
      </c>
      <c r="G178">
        <f>19.567*$G$137</f>
        <v>0</v>
      </c>
      <c r="H178">
        <f>0*$H$137</f>
        <v>0</v>
      </c>
      <c r="I178">
        <f>32.8946*$I$137</f>
        <v>0</v>
      </c>
      <c r="J178">
        <f>40.8494*$J$137</f>
        <v>0</v>
      </c>
      <c r="K178">
        <f>-54.4659*$K$137</f>
        <v>0</v>
      </c>
      <c r="L178">
        <f>-2.4651*$L$137</f>
        <v>0</v>
      </c>
      <c r="M178">
        <f>0+D178+E178+G178+H178+I178+J178+K178+L178</f>
        <v>0</v>
      </c>
      <c r="N178">
        <f>0+D178+F178+G178+H178+I178+J178+K178+L178</f>
        <v>0</v>
      </c>
    </row>
    <row r="179" spans="3:14">
      <c r="C179" t="s">
        <v>54</v>
      </c>
      <c r="D179">
        <f>175.5367*$D$137</f>
        <v>0</v>
      </c>
      <c r="E179">
        <f>257.2723*$E$137</f>
        <v>0</v>
      </c>
      <c r="F179">
        <f>-20.5762*$F$137</f>
        <v>0</v>
      </c>
      <c r="G179">
        <f>12.4523*$G$137</f>
        <v>0</v>
      </c>
      <c r="H179">
        <f>0*$H$137</f>
        <v>0</v>
      </c>
      <c r="I179">
        <f>25.4729*$I$137</f>
        <v>0</v>
      </c>
      <c r="J179">
        <f>65.0004*$J$137</f>
        <v>0</v>
      </c>
      <c r="K179">
        <f>-86.6672*$K$137</f>
        <v>0</v>
      </c>
      <c r="L179">
        <f>-5.6715*$L$137</f>
        <v>0</v>
      </c>
      <c r="M179">
        <f>0+D179+E179+G179+H179+I179+J179+K179+L179</f>
        <v>0</v>
      </c>
      <c r="N179">
        <f>0+D179+F179+G179+H179+I179+J179+K179+L179</f>
        <v>0</v>
      </c>
    </row>
    <row r="180" spans="3:14">
      <c r="C180" t="s">
        <v>55</v>
      </c>
      <c r="D180">
        <f>117.8154*$D$137</f>
        <v>0</v>
      </c>
      <c r="E180">
        <f>174.9198*$E$137</f>
        <v>0</v>
      </c>
      <c r="F180">
        <f>-18.5256*$F$137</f>
        <v>0</v>
      </c>
      <c r="G180">
        <f>7.2844*$G$137</f>
        <v>0</v>
      </c>
      <c r="H180">
        <f>0*$H$137</f>
        <v>0</v>
      </c>
      <c r="I180">
        <f>17.2063*$I$137</f>
        <v>0</v>
      </c>
      <c r="J180">
        <f>65.8634*$J$137</f>
        <v>0</v>
      </c>
      <c r="K180">
        <f>-87.8179*$K$137</f>
        <v>0</v>
      </c>
      <c r="L180">
        <f>-7.8703*$L$137</f>
        <v>0</v>
      </c>
      <c r="M180">
        <f>0+D180+E180+G180+H180+I180+J180+K180+L180</f>
        <v>0</v>
      </c>
      <c r="N180">
        <f>0+D180+F180+G180+H180+I180+J180+K180+L180</f>
        <v>0</v>
      </c>
    </row>
    <row r="181" spans="3:14">
      <c r="C181" t="s">
        <v>56</v>
      </c>
      <c r="D181">
        <f>60.055*$D$137</f>
        <v>0</v>
      </c>
      <c r="E181">
        <f>90.4775*$E$137</f>
        <v>0</v>
      </c>
      <c r="F181">
        <f>-14.1157*$F$137</f>
        <v>0</v>
      </c>
      <c r="G181">
        <f>3.004*$G$137</f>
        <v>0</v>
      </c>
      <c r="H181">
        <f>0*$H$137</f>
        <v>0</v>
      </c>
      <c r="I181">
        <f>8.8278*$I$137</f>
        <v>0</v>
      </c>
      <c r="J181">
        <f>47.9011*$J$137</f>
        <v>0</v>
      </c>
      <c r="K181">
        <f>-63.8682*$K$137</f>
        <v>0</v>
      </c>
      <c r="L181">
        <f>-7.1003*$L$137</f>
        <v>0</v>
      </c>
      <c r="M181">
        <f>0+D181+E181+G181+H181+I181+J181+K181+L181</f>
        <v>0</v>
      </c>
      <c r="N181">
        <f>0+D181+F181+G181+H181+I181+J181+K181+L181</f>
        <v>0</v>
      </c>
    </row>
    <row r="182" spans="3:14">
      <c r="C182" t="s">
        <v>57</v>
      </c>
      <c r="D182">
        <f>18.9996*$D$137</f>
        <v>0</v>
      </c>
      <c r="E182">
        <f>31.7767*$E$137</f>
        <v>0</v>
      </c>
      <c r="F182">
        <f>-14.0849*$F$137</f>
        <v>0</v>
      </c>
      <c r="G182">
        <f>4.9592*$G$137</f>
        <v>0</v>
      </c>
      <c r="H182">
        <f>0*$H$137</f>
        <v>0</v>
      </c>
      <c r="I182">
        <f>2.3952*$I$137</f>
        <v>0</v>
      </c>
      <c r="J182">
        <f>-80.6769*$J$137</f>
        <v>0</v>
      </c>
      <c r="K182">
        <f>107.5692*$K$137</f>
        <v>0</v>
      </c>
      <c r="L182">
        <f>12.5359*$L$137</f>
        <v>0</v>
      </c>
      <c r="M182">
        <f>0+D182+E182+G182+H182+I182+J182+K182+L182</f>
        <v>0</v>
      </c>
      <c r="N182">
        <f>0+D182+F182+G182+H182+I182+J182+K182+L182</f>
        <v>0</v>
      </c>
    </row>
    <row r="183" spans="3:14">
      <c r="C183" t="s">
        <v>58</v>
      </c>
      <c r="D183">
        <f>2.9196*$D$137</f>
        <v>0</v>
      </c>
      <c r="E183">
        <f>6.8973*$E$137</f>
        <v>0</v>
      </c>
      <c r="F183">
        <f>-4.4215*$F$137</f>
        <v>0</v>
      </c>
      <c r="G183">
        <f>0.4107*$G$137</f>
        <v>0</v>
      </c>
      <c r="H183">
        <f>0*$H$137</f>
        <v>0</v>
      </c>
      <c r="I183">
        <f>0.3725*$I$137</f>
        <v>0</v>
      </c>
      <c r="J183">
        <f>-16.9074*$J$137</f>
        <v>0</v>
      </c>
      <c r="K183">
        <f>22.5432*$K$137</f>
        <v>0</v>
      </c>
      <c r="L183">
        <f>2.7865*$L$137</f>
        <v>0</v>
      </c>
      <c r="M183">
        <f>0+D183+E183+G183+H183+I183+J183+K183+L183</f>
        <v>0</v>
      </c>
      <c r="N183">
        <f>0+D183+F183+G183+H183+I183+J183+K183+L183</f>
        <v>0</v>
      </c>
    </row>
    <row r="184" spans="3:14">
      <c r="C184" t="s">
        <v>58</v>
      </c>
      <c r="D184">
        <f>3.7761*$D$137</f>
        <v>0</v>
      </c>
      <c r="E184">
        <f>4.6896*$E$137</f>
        <v>0</v>
      </c>
      <c r="F184">
        <f>-1.7225*$F$137</f>
        <v>0</v>
      </c>
      <c r="G184">
        <f>0.4272*$G$137</f>
        <v>0</v>
      </c>
      <c r="H184">
        <f>0*$H$137</f>
        <v>0</v>
      </c>
      <c r="I184">
        <f>0.4986*$I$137</f>
        <v>0</v>
      </c>
      <c r="J184">
        <f>-17.7944*$J$137</f>
        <v>0</v>
      </c>
      <c r="K184">
        <f>23.7258*$K$137</f>
        <v>0</v>
      </c>
      <c r="L184">
        <f>0.0897*$L$137</f>
        <v>0</v>
      </c>
      <c r="M184">
        <f>0+D184+E184+G184+H184+I184+J184+K184+L184</f>
        <v>0</v>
      </c>
      <c r="N184">
        <f>0+D184+F184+G184+H184+I184+J184+K184+L184</f>
        <v>0</v>
      </c>
    </row>
    <row r="185" spans="3:14">
      <c r="C185" t="s">
        <v>59</v>
      </c>
      <c r="D185">
        <f>11.3606*$D$137</f>
        <v>0</v>
      </c>
      <c r="E185">
        <f>13.8962*$E$137</f>
        <v>0</v>
      </c>
      <c r="F185">
        <f>-2.6632*$F$137</f>
        <v>0</v>
      </c>
      <c r="G185">
        <f>2.493*$G$137</f>
        <v>0</v>
      </c>
      <c r="H185">
        <f>0*$H$137</f>
        <v>0</v>
      </c>
      <c r="I185">
        <f>1.484*$I$137</f>
        <v>0</v>
      </c>
      <c r="J185">
        <f>-44.2886*$J$137</f>
        <v>0</v>
      </c>
      <c r="K185">
        <f>59.0515*$K$137</f>
        <v>0</v>
      </c>
      <c r="L185">
        <f>17.6452*$L$137</f>
        <v>0</v>
      </c>
      <c r="M185">
        <f>0+D185+E185+G185+H185+I185+J185+K185+L185</f>
        <v>0</v>
      </c>
      <c r="N185">
        <f>0+D185+F185+G185+H185+I185+J185+K185+L185</f>
        <v>0</v>
      </c>
    </row>
    <row r="186" spans="3:14">
      <c r="C186" t="s">
        <v>60</v>
      </c>
      <c r="D186">
        <f>15.6503*$D$137</f>
        <v>0</v>
      </c>
      <c r="E186">
        <f>54.1192*$E$137</f>
        <v>0</v>
      </c>
      <c r="F186">
        <f>-14.7401*$F$137</f>
        <v>0</v>
      </c>
      <c r="G186">
        <f>-0.6599*$G$137</f>
        <v>0</v>
      </c>
      <c r="H186">
        <f>0*$H$137</f>
        <v>0</v>
      </c>
      <c r="I186">
        <f>2.5741*$I$137</f>
        <v>0</v>
      </c>
      <c r="J186">
        <f>109.1122*$J$137</f>
        <v>0</v>
      </c>
      <c r="K186">
        <f>-145.4829*$K$137</f>
        <v>0</v>
      </c>
      <c r="L186">
        <f>49.707*$L$137</f>
        <v>0</v>
      </c>
      <c r="M186">
        <f>0+D186+E186+G186+H186+I186+J186+K186+L186</f>
        <v>0</v>
      </c>
      <c r="N186">
        <f>0+D186+F186+G186+H186+I186+J186+K186+L186</f>
        <v>0</v>
      </c>
    </row>
    <row r="187" spans="3:14">
      <c r="C187" t="s">
        <v>61</v>
      </c>
      <c r="D187">
        <f>42.6258*$D$137</f>
        <v>0</v>
      </c>
      <c r="E187">
        <f>103.1336*$E$137</f>
        <v>0</v>
      </c>
      <c r="F187">
        <f>-12.01*$F$137</f>
        <v>0</v>
      </c>
      <c r="G187">
        <f>1.8173*$G$137</f>
        <v>0</v>
      </c>
      <c r="H187">
        <f>0*$H$137</f>
        <v>0</v>
      </c>
      <c r="I187">
        <f>6.4485*$I$137</f>
        <v>0</v>
      </c>
      <c r="J187">
        <f>99.1647*$J$137</f>
        <v>0</v>
      </c>
      <c r="K187">
        <f>-132.2196*$K$137</f>
        <v>0</v>
      </c>
      <c r="L187">
        <f>94.8499*$L$137</f>
        <v>0</v>
      </c>
      <c r="M187">
        <f>0+D187+E187+G187+H187+I187+J187+K187+L187</f>
        <v>0</v>
      </c>
      <c r="N187">
        <f>0+D187+F187+G187+H187+I187+J187+K187+L187</f>
        <v>0</v>
      </c>
    </row>
    <row r="188" spans="3:14">
      <c r="C188" t="s">
        <v>62</v>
      </c>
      <c r="D188">
        <f>65.7716*$D$137</f>
        <v>0</v>
      </c>
      <c r="E188">
        <f>141.0922*$E$137</f>
        <v>0</v>
      </c>
      <c r="F188">
        <f>-7.158*$F$137</f>
        <v>0</v>
      </c>
      <c r="G188">
        <f>5.1063*$G$137</f>
        <v>0</v>
      </c>
      <c r="H188">
        <f>0*$H$137</f>
        <v>0</v>
      </c>
      <c r="I188">
        <f>9.6406*$I$137</f>
        <v>0</v>
      </c>
      <c r="J188">
        <f>68.5969*$J$137</f>
        <v>0</v>
      </c>
      <c r="K188">
        <f>-91.4625*$K$137</f>
        <v>0</v>
      </c>
      <c r="L188">
        <f>138.0697*$L$137</f>
        <v>0</v>
      </c>
      <c r="M188">
        <f>0+D188+E188+G188+H188+I188+J188+K188+L188</f>
        <v>0</v>
      </c>
      <c r="N188">
        <f>0+D188+F188+G188+H188+I188+J188+K188+L188</f>
        <v>0</v>
      </c>
    </row>
    <row r="189" spans="3:14">
      <c r="C189" t="s">
        <v>63</v>
      </c>
      <c r="D189">
        <f>81.2813*$D$137</f>
        <v>0</v>
      </c>
      <c r="E189">
        <f>163.1857*$E$137</f>
        <v>0</v>
      </c>
      <c r="F189">
        <f>-2.7222*$F$137</f>
        <v>0</v>
      </c>
      <c r="G189">
        <f>8.7022*$G$137</f>
        <v>0</v>
      </c>
      <c r="H189">
        <f>0*$H$137</f>
        <v>0</v>
      </c>
      <c r="I189">
        <f>11.6603*$I$137</f>
        <v>0</v>
      </c>
      <c r="J189">
        <f>26.9761*$J$137</f>
        <v>0</v>
      </c>
      <c r="K189">
        <f>-35.9682*$K$137</f>
        <v>0</v>
      </c>
      <c r="L189">
        <f>171.3737*$L$137</f>
        <v>0</v>
      </c>
      <c r="M189">
        <f>0+D189+E189+G189+H189+I189+J189+K189+L189</f>
        <v>0</v>
      </c>
      <c r="N189">
        <f>0+D189+F189+G189+H189+I189+J189+K189+L189</f>
        <v>0</v>
      </c>
    </row>
    <row r="190" spans="3:14">
      <c r="C190" t="s">
        <v>64</v>
      </c>
      <c r="D190">
        <f>89.4818*$D$137</f>
        <v>0</v>
      </c>
      <c r="E190">
        <f>157.1572*$E$137</f>
        <v>0</v>
      </c>
      <c r="F190">
        <f>-1.5829*$F$137</f>
        <v>0</v>
      </c>
      <c r="G190">
        <f>17.9178*$G$137</f>
        <v>0</v>
      </c>
      <c r="H190">
        <f>0*$H$137</f>
        <v>0</v>
      </c>
      <c r="I190">
        <f>12.2066*$I$137</f>
        <v>0</v>
      </c>
      <c r="J190">
        <f>-103.0732*$J$137</f>
        <v>0</v>
      </c>
      <c r="K190">
        <f>137.431*$K$137</f>
        <v>0</v>
      </c>
      <c r="L190">
        <f>218.778*$L$137</f>
        <v>0</v>
      </c>
      <c r="M190">
        <f>0+D190+E190+G190+H190+I190+J190+K190+L190</f>
        <v>0</v>
      </c>
      <c r="N190">
        <f>0+D190+F190+G190+H190+I190+J190+K190+L190</f>
        <v>0</v>
      </c>
    </row>
    <row r="191" spans="3:14">
      <c r="C191" t="s">
        <v>65</v>
      </c>
      <c r="D191">
        <f>85.597*$D$137</f>
        <v>0</v>
      </c>
      <c r="E191">
        <f>175.2095*$E$137</f>
        <v>0</v>
      </c>
      <c r="F191">
        <f>-4.6185*$F$137</f>
        <v>0</v>
      </c>
      <c r="G191">
        <f>6.2513*$G$137</f>
        <v>0</v>
      </c>
      <c r="H191">
        <f>0*$H$137</f>
        <v>0</v>
      </c>
      <c r="I191">
        <f>12.4379*$I$137</f>
        <v>0</v>
      </c>
      <c r="J191">
        <f>57.9318*$J$137</f>
        <v>0</v>
      </c>
      <c r="K191">
        <f>-77.2424*$K$137</f>
        <v>0</v>
      </c>
      <c r="L191">
        <f>157.2456*$L$137</f>
        <v>0</v>
      </c>
      <c r="M191">
        <f>0+D191+E191+G191+H191+I191+J191+K191+L191</f>
        <v>0</v>
      </c>
      <c r="N191">
        <f>0+D191+F191+G191+H191+I191+J191+K191+L191</f>
        <v>0</v>
      </c>
    </row>
    <row r="192" spans="3:14">
      <c r="C192" t="s">
        <v>66</v>
      </c>
      <c r="D192">
        <f>74.5803*$D$137</f>
        <v>0</v>
      </c>
      <c r="E192">
        <f>153.113*$E$137</f>
        <v>0</v>
      </c>
      <c r="F192">
        <f>-4.8935*$F$137</f>
        <v>0</v>
      </c>
      <c r="G192">
        <f>3.5483*$G$137</f>
        <v>0</v>
      </c>
      <c r="H192">
        <f>0*$H$137</f>
        <v>0</v>
      </c>
      <c r="I192">
        <f>10.974*$I$137</f>
        <v>0</v>
      </c>
      <c r="J192">
        <f>79.8713*$J$137</f>
        <v>0</v>
      </c>
      <c r="K192">
        <f>-106.4951*$K$137</f>
        <v>0</v>
      </c>
      <c r="L192">
        <f>126.3641*$L$137</f>
        <v>0</v>
      </c>
      <c r="M192">
        <f>0+D192+E192+G192+H192+I192+J192+K192+L192</f>
        <v>0</v>
      </c>
      <c r="N192">
        <f>0+D192+F192+G192+H192+I192+J192+K192+L192</f>
        <v>0</v>
      </c>
    </row>
    <row r="193" spans="3:14">
      <c r="C193" t="s">
        <v>67</v>
      </c>
      <c r="D193">
        <f>54.4969*$D$137</f>
        <v>0</v>
      </c>
      <c r="E193">
        <f>111.5552*$E$137</f>
        <v>0</v>
      </c>
      <c r="F193">
        <f>-5.0622*$F$137</f>
        <v>0</v>
      </c>
      <c r="G193">
        <f>1.8031*$G$137</f>
        <v>0</v>
      </c>
      <c r="H193">
        <f>0*$H$137</f>
        <v>0</v>
      </c>
      <c r="I193">
        <f>8.044*$I$137</f>
        <v>0</v>
      </c>
      <c r="J193">
        <f>91.0531*$J$137</f>
        <v>0</v>
      </c>
      <c r="K193">
        <f>-121.4041*$K$137</f>
        <v>0</v>
      </c>
      <c r="L193">
        <f>85.7242*$L$137</f>
        <v>0</v>
      </c>
      <c r="M193">
        <f>0+D193+E193+G193+H193+I193+J193+K193+L193</f>
        <v>0</v>
      </c>
      <c r="N193">
        <f>0+D193+F193+G193+H193+I193+J193+K193+L193</f>
        <v>0</v>
      </c>
    </row>
    <row r="194" spans="3:14">
      <c r="C194" t="s">
        <v>68</v>
      </c>
      <c r="D194">
        <f>26.2341*$D$137</f>
        <v>0</v>
      </c>
      <c r="E194">
        <f>54.675*$E$137</f>
        <v>0</v>
      </c>
      <c r="F194">
        <f>-3.964*$F$137</f>
        <v>0</v>
      </c>
      <c r="G194">
        <f>0.2972*$G$137</f>
        <v>0</v>
      </c>
      <c r="H194">
        <f>0*$H$137</f>
        <v>0</v>
      </c>
      <c r="I194">
        <f>3.846*$I$137</f>
        <v>0</v>
      </c>
      <c r="J194">
        <f>103.6731*$J$137</f>
        <v>0</v>
      </c>
      <c r="K194">
        <f>-138.2309*$K$137</f>
        <v>0</v>
      </c>
      <c r="L194">
        <f>39.1531*$L$137</f>
        <v>0</v>
      </c>
      <c r="M194">
        <f>0+D194+E194+G194+H194+I194+J194+K194+L194</f>
        <v>0</v>
      </c>
      <c r="N194">
        <f>0+D194+F194+G194+H194+I194+J194+K194+L194</f>
        <v>0</v>
      </c>
    </row>
    <row r="195" spans="3:14">
      <c r="C195" t="s">
        <v>69</v>
      </c>
      <c r="D195">
        <f>-1.3997*$D$137</f>
        <v>0</v>
      </c>
      <c r="E195">
        <f>7.0828*$E$137</f>
        <v>0</v>
      </c>
      <c r="F195">
        <f>-14.9501*$F$137</f>
        <v>0</v>
      </c>
      <c r="G195">
        <f>2.2309*$G$137</f>
        <v>0</v>
      </c>
      <c r="H195">
        <f>0*$H$137</f>
        <v>0</v>
      </c>
      <c r="I195">
        <f>-0.3615*$I$137</f>
        <v>0</v>
      </c>
      <c r="J195">
        <f>-87.668*$J$137</f>
        <v>0</v>
      </c>
      <c r="K195">
        <f>116.8906*$K$137</f>
        <v>0</v>
      </c>
      <c r="L195">
        <f>15.3506*$L$137</f>
        <v>0</v>
      </c>
      <c r="M195">
        <f>0+D195+E195+G195+H195+I195+J195+K195+L195</f>
        <v>0</v>
      </c>
      <c r="N195">
        <f>0+D195+F195+G195+H195+I195+J195+K195+L195</f>
        <v>0</v>
      </c>
    </row>
    <row r="200" spans="3:14">
      <c r="C200" t="s">
        <v>72</v>
      </c>
    </row>
    <row r="202" spans="3:14">
      <c r="C202" t="s">
        <v>2</v>
      </c>
    </row>
    <row r="203" spans="3:14">
      <c r="C203" t="s">
        <v>3</v>
      </c>
      <c r="D203" t="s">
        <v>4</v>
      </c>
      <c r="E203" t="s">
        <v>5</v>
      </c>
      <c r="F203" t="s">
        <v>6</v>
      </c>
      <c r="G203" t="s">
        <v>7</v>
      </c>
      <c r="H203" t="s">
        <v>8</v>
      </c>
      <c r="I203" t="s">
        <v>9</v>
      </c>
      <c r="J203" t="s">
        <v>10</v>
      </c>
      <c r="K203" t="s">
        <v>11</v>
      </c>
      <c r="L203" t="s">
        <v>12</v>
      </c>
      <c r="M203" t="s">
        <v>13</v>
      </c>
      <c r="N203" t="s">
        <v>14</v>
      </c>
    </row>
    <row r="204" spans="3:14">
      <c r="C204" t="s">
        <v>15</v>
      </c>
      <c r="D204">
        <f>-58.023*$D$202</f>
        <v>0</v>
      </c>
      <c r="E204">
        <f>54.056*$E$202</f>
        <v>0</v>
      </c>
      <c r="F204">
        <f>-122.748*$F$202</f>
        <v>0</v>
      </c>
      <c r="G204">
        <f>-4.134*$G$202</f>
        <v>0</v>
      </c>
      <c r="H204">
        <f>0*$H$202</f>
        <v>0</v>
      </c>
      <c r="I204">
        <f>-8.177*$I$202</f>
        <v>0</v>
      </c>
      <c r="J204">
        <f>-480.87*$J$202</f>
        <v>0</v>
      </c>
      <c r="K204">
        <f>641.16*$K$202</f>
        <v>0</v>
      </c>
      <c r="L204">
        <f>-0.028*$L$202</f>
        <v>0</v>
      </c>
      <c r="M204">
        <f>0+D204+E204+G204+H204+I204+J204+K204+L204</f>
        <v>0</v>
      </c>
      <c r="N204">
        <f>0+D204+F204+G204+H204+I204+J204+K204+L204</f>
        <v>0</v>
      </c>
    </row>
    <row r="205" spans="3:14">
      <c r="C205" t="s">
        <v>16</v>
      </c>
      <c r="D205">
        <f>-92.153*$D$202</f>
        <v>0</v>
      </c>
      <c r="E205">
        <f>22.321*$E$202</f>
        <v>0</v>
      </c>
      <c r="F205">
        <f>-142.132*$F$202</f>
        <v>0</v>
      </c>
      <c r="G205">
        <f>-11.411*$G$202</f>
        <v>0</v>
      </c>
      <c r="H205">
        <f>0*$H$202</f>
        <v>0</v>
      </c>
      <c r="I205">
        <f>-12.946*$I$202</f>
        <v>0</v>
      </c>
      <c r="J205">
        <f>-333.996*$J$202</f>
        <v>0</v>
      </c>
      <c r="K205">
        <f>445.328*$K$202</f>
        <v>0</v>
      </c>
      <c r="L205">
        <f>-0.019*$L$202</f>
        <v>0</v>
      </c>
      <c r="M205">
        <f>0+D205+E205+G205+H205+I205+J205+K205+L205</f>
        <v>0</v>
      </c>
      <c r="N205">
        <f>0+D205+F205+G205+H205+I205+J205+K205+L205</f>
        <v>0</v>
      </c>
    </row>
    <row r="206" spans="3:14">
      <c r="C206" t="s">
        <v>17</v>
      </c>
      <c r="D206">
        <f>-98.856*$D$202</f>
        <v>0</v>
      </c>
      <c r="E206">
        <f>18.231*$E$202</f>
        <v>0</v>
      </c>
      <c r="F206">
        <f>-148.568*$F$202</f>
        <v>0</v>
      </c>
      <c r="G206">
        <f>-17.433*$G$202</f>
        <v>0</v>
      </c>
      <c r="H206">
        <f>0*$H$202</f>
        <v>0</v>
      </c>
      <c r="I206">
        <f>-13.654*$I$202</f>
        <v>0</v>
      </c>
      <c r="J206">
        <f>-137.295*$J$202</f>
        <v>0</v>
      </c>
      <c r="K206">
        <f>183.06*$K$202</f>
        <v>0</v>
      </c>
      <c r="L206">
        <f>-0.019*$L$202</f>
        <v>0</v>
      </c>
      <c r="M206">
        <f>0+D206+E206+G206+H206+I206+J206+K206+L206</f>
        <v>0</v>
      </c>
      <c r="N206">
        <f>0+D206+F206+G206+H206+I206+J206+K206+L206</f>
        <v>0</v>
      </c>
    </row>
    <row r="207" spans="3:14">
      <c r="C207" t="s">
        <v>18</v>
      </c>
      <c r="D207">
        <f>-93.359*$D$202</f>
        <v>0</v>
      </c>
      <c r="E207">
        <f>24.97*$E$202</f>
        <v>0</v>
      </c>
      <c r="F207">
        <f>-142.523*$F$202</f>
        <v>0</v>
      </c>
      <c r="G207">
        <f>-20.298*$G$202</f>
        <v>0</v>
      </c>
      <c r="H207">
        <f>0*$H$202</f>
        <v>0</v>
      </c>
      <c r="I207">
        <f>-12.618*$I$202</f>
        <v>0</v>
      </c>
      <c r="J207">
        <f>-28.908*$J$202</f>
        <v>0</v>
      </c>
      <c r="K207">
        <f>38.544*$K$202</f>
        <v>0</v>
      </c>
      <c r="L207">
        <f>-0.018*$L$202</f>
        <v>0</v>
      </c>
      <c r="M207">
        <f>0+D207+E207+G207+H207+I207+J207+K207+L207</f>
        <v>0</v>
      </c>
      <c r="N207">
        <f>0+D207+F207+G207+H207+I207+J207+K207+L207</f>
        <v>0</v>
      </c>
    </row>
    <row r="208" spans="3:14">
      <c r="C208" t="s">
        <v>19</v>
      </c>
      <c r="D208">
        <f>-80.706*$D$202</f>
        <v>0</v>
      </c>
      <c r="E208">
        <f>33.326*$E$202</f>
        <v>0</v>
      </c>
      <c r="F208">
        <f>-129.148*$F$202</f>
        <v>0</v>
      </c>
      <c r="G208">
        <f>-23.439*$G$202</f>
        <v>0</v>
      </c>
      <c r="H208">
        <f>0*$H$202</f>
        <v>0</v>
      </c>
      <c r="I208">
        <f>-10.512*$I$202</f>
        <v>0</v>
      </c>
      <c r="J208">
        <f>64.28*$J$202</f>
        <v>0</v>
      </c>
      <c r="K208">
        <f>-85.706*$K$202</f>
        <v>0</v>
      </c>
      <c r="L208">
        <f>-0.019*$L$202</f>
        <v>0</v>
      </c>
      <c r="M208">
        <f>0+D208+E208+G208+H208+I208+J208+K208+L208</f>
        <v>0</v>
      </c>
      <c r="N208">
        <f>0+D208+F208+G208+H208+I208+J208+K208+L208</f>
        <v>0</v>
      </c>
    </row>
    <row r="209" spans="3:14">
      <c r="C209" t="s">
        <v>20</v>
      </c>
      <c r="D209">
        <f>-62.699*$D$202</f>
        <v>0</v>
      </c>
      <c r="E209">
        <f>56.719*$E$202</f>
        <v>0</v>
      </c>
      <c r="F209">
        <f>-113.979*$F$202</f>
        <v>0</v>
      </c>
      <c r="G209">
        <f>-28.55*$G$202</f>
        <v>0</v>
      </c>
      <c r="H209">
        <f>0*$H$202</f>
        <v>0</v>
      </c>
      <c r="I209">
        <f>-7.585*$I$202</f>
        <v>0</v>
      </c>
      <c r="J209">
        <f>182.131*$J$202</f>
        <v>0</v>
      </c>
      <c r="K209">
        <f>-242.842*$K$202</f>
        <v>0</v>
      </c>
      <c r="L209">
        <f>-0.019*$L$202</f>
        <v>0</v>
      </c>
      <c r="M209">
        <f>0+D209+E209+G209+H209+I209+J209+K209+L209</f>
        <v>0</v>
      </c>
      <c r="N209">
        <f>0+D209+F209+G209+H209+I209+J209+K209+L209</f>
        <v>0</v>
      </c>
    </row>
    <row r="210" spans="3:14">
      <c r="C210" t="s">
        <v>21</v>
      </c>
      <c r="D210">
        <f>-66.386*$D$202</f>
        <v>0</v>
      </c>
      <c r="E210">
        <f>32.117*$E$202</f>
        <v>0</v>
      </c>
      <c r="F210">
        <f>-133.458*$F$202</f>
        <v>0</v>
      </c>
      <c r="G210">
        <f>0.023*$G$202</f>
        <v>0</v>
      </c>
      <c r="H210">
        <f>0*$H$202</f>
        <v>0</v>
      </c>
      <c r="I210">
        <f>-9.903*$I$202</f>
        <v>0</v>
      </c>
      <c r="J210">
        <f>-152.334*$J$202</f>
        <v>0</v>
      </c>
      <c r="K210">
        <f>203.112*$K$202</f>
        <v>0</v>
      </c>
      <c r="L210">
        <f>-0.018*$L$202</f>
        <v>0</v>
      </c>
      <c r="M210">
        <f>0+D210+E210+G210+H210+I210+J210+K210+L210</f>
        <v>0</v>
      </c>
      <c r="N210">
        <f>0+D210+F210+G210+H210+I210+J210+K210+L210</f>
        <v>0</v>
      </c>
    </row>
    <row r="211" spans="3:14">
      <c r="C211" t="s">
        <v>22</v>
      </c>
      <c r="D211">
        <f>-45.73*$D$202</f>
        <v>0</v>
      </c>
      <c r="E211">
        <f>29.084*$E$202</f>
        <v>0</v>
      </c>
      <c r="F211">
        <f>-100.145*$F$202</f>
        <v>0</v>
      </c>
      <c r="G211">
        <f>-4.387*$G$202</f>
        <v>0</v>
      </c>
      <c r="H211">
        <f>0*$H$202</f>
        <v>0</v>
      </c>
      <c r="I211">
        <f>-6.586*$I$202</f>
        <v>0</v>
      </c>
      <c r="J211">
        <f>-62.484*$J$202</f>
        <v>0</v>
      </c>
      <c r="K211">
        <f>83.312*$K$202</f>
        <v>0</v>
      </c>
      <c r="L211">
        <f>-0.019*$L$202</f>
        <v>0</v>
      </c>
      <c r="M211">
        <f>0+D211+E211+G211+H211+I211+J211+K211+L211</f>
        <v>0</v>
      </c>
      <c r="N211">
        <f>0+D211+F211+G211+H211+I211+J211+K211+L211</f>
        <v>0</v>
      </c>
    </row>
    <row r="212" spans="3:14">
      <c r="C212" t="s">
        <v>23</v>
      </c>
      <c r="D212">
        <f>-25.85*$D$202</f>
        <v>0</v>
      </c>
      <c r="E212">
        <f>33.254*$E$202</f>
        <v>0</v>
      </c>
      <c r="F212">
        <f>-75.777*$F$202</f>
        <v>0</v>
      </c>
      <c r="G212">
        <f>-7.715*$G$202</f>
        <v>0</v>
      </c>
      <c r="H212">
        <f>0*$H$202</f>
        <v>0</v>
      </c>
      <c r="I212">
        <f>-3.378*$I$202</f>
        <v>0</v>
      </c>
      <c r="J212">
        <f>-4.387*$J$202</f>
        <v>0</v>
      </c>
      <c r="K212">
        <f>5.849*$K$202</f>
        <v>0</v>
      </c>
      <c r="L212">
        <f>-0.02*$L$202</f>
        <v>0</v>
      </c>
      <c r="M212">
        <f>0+D212+E212+G212+H212+I212+J212+K212+L212</f>
        <v>0</v>
      </c>
      <c r="N212">
        <f>0+D212+F212+G212+H212+I212+J212+K212+L212</f>
        <v>0</v>
      </c>
    </row>
    <row r="213" spans="3:14">
      <c r="C213" t="s">
        <v>24</v>
      </c>
      <c r="D213">
        <f>-5.22*$D$202</f>
        <v>0</v>
      </c>
      <c r="E213">
        <f>51.787*$E$202</f>
        <v>0</v>
      </c>
      <c r="F213">
        <f>-59.441*$F$202</f>
        <v>0</v>
      </c>
      <c r="G213">
        <f>-12.662*$G$202</f>
        <v>0</v>
      </c>
      <c r="H213">
        <f>0*$H$202</f>
        <v>0</v>
      </c>
      <c r="I213">
        <f>0.031*$I$202</f>
        <v>0</v>
      </c>
      <c r="J213">
        <f>55.08*$J$202</f>
        <v>0</v>
      </c>
      <c r="K213">
        <f>-73.44*$K$202</f>
        <v>0</v>
      </c>
      <c r="L213">
        <f>-0.021*$L$202</f>
        <v>0</v>
      </c>
      <c r="M213">
        <f>0+D213+E213+G213+H213+I213+J213+K213+L213</f>
        <v>0</v>
      </c>
      <c r="N213">
        <f>0+D213+F213+G213+H213+I213+J213+K213+L213</f>
        <v>0</v>
      </c>
    </row>
    <row r="214" spans="3:14">
      <c r="C214" t="s">
        <v>25</v>
      </c>
      <c r="D214">
        <f>17.444*$D$202</f>
        <v>0</v>
      </c>
      <c r="E214">
        <f>95.052*$E$202</f>
        <v>0</v>
      </c>
      <c r="F214">
        <f>-55.897*$F$202</f>
        <v>0</v>
      </c>
      <c r="G214">
        <f>-20.646*$G$202</f>
        <v>0</v>
      </c>
      <c r="H214">
        <f>0*$H$202</f>
        <v>0</v>
      </c>
      <c r="I214">
        <f>3.84*$I$202</f>
        <v>0</v>
      </c>
      <c r="J214">
        <f>140.384*$J$202</f>
        <v>0</v>
      </c>
      <c r="K214">
        <f>-187.179*$K$202</f>
        <v>0</v>
      </c>
      <c r="L214">
        <f>-0.021*$L$202</f>
        <v>0</v>
      </c>
      <c r="M214">
        <f>0+D214+E214+G214+H214+I214+J214+K214+L214</f>
        <v>0</v>
      </c>
      <c r="N214">
        <f>0+D214+F214+G214+H214+I214+J214+K214+L214</f>
        <v>0</v>
      </c>
    </row>
    <row r="215" spans="3:14">
      <c r="C215" t="s">
        <v>26</v>
      </c>
      <c r="D215">
        <f>12.371*$D$202</f>
        <v>0</v>
      </c>
      <c r="E215">
        <f>77.962*$E$202</f>
        <v>0</v>
      </c>
      <c r="F215">
        <f>-71.364*$F$202</f>
        <v>0</v>
      </c>
      <c r="G215">
        <f>16*$G$202</f>
        <v>0</v>
      </c>
      <c r="H215">
        <f>0*$H$202</f>
        <v>0</v>
      </c>
      <c r="I215">
        <f>0.769*$I$202</f>
        <v>0</v>
      </c>
      <c r="J215">
        <f>-108.728*$J$202</f>
        <v>0</v>
      </c>
      <c r="K215">
        <f>144.971*$K$202</f>
        <v>0</v>
      </c>
      <c r="L215">
        <f>-0.021*$L$202</f>
        <v>0</v>
      </c>
      <c r="M215">
        <f>0+D215+E215+G215+H215+I215+J215+K215+L215</f>
        <v>0</v>
      </c>
      <c r="N215">
        <f>0+D215+F215+G215+H215+I215+J215+K215+L215</f>
        <v>0</v>
      </c>
    </row>
    <row r="216" spans="3:14">
      <c r="C216" t="s">
        <v>27</v>
      </c>
      <c r="D216">
        <f>32.977*$D$202</f>
        <v>0</v>
      </c>
      <c r="E216">
        <f>70.842*$E$202</f>
        <v>0</v>
      </c>
      <c r="F216">
        <f>-35.391*$F$202</f>
        <v>0</v>
      </c>
      <c r="G216">
        <f>9.027*$G$202</f>
        <v>0</v>
      </c>
      <c r="H216">
        <f>0*$H$202</f>
        <v>0</v>
      </c>
      <c r="I216">
        <f>4.26*$I$202</f>
        <v>0</v>
      </c>
      <c r="J216">
        <f>-42.154*$J$202</f>
        <v>0</v>
      </c>
      <c r="K216">
        <f>56.206*$K$202</f>
        <v>0</v>
      </c>
      <c r="L216">
        <f>-0.021*$L$202</f>
        <v>0</v>
      </c>
      <c r="M216">
        <f>0+D216+E216+G216+H216+I216+J216+K216+L216</f>
        <v>0</v>
      </c>
      <c r="N216">
        <f>0+D216+F216+G216+H216+I216+J216+K216+L216</f>
        <v>0</v>
      </c>
    </row>
    <row r="217" spans="3:14">
      <c r="C217" t="s">
        <v>28</v>
      </c>
      <c r="D217">
        <f>50.476*$D$202</f>
        <v>0</v>
      </c>
      <c r="E217">
        <f>82.975*$E$202</f>
        <v>0</v>
      </c>
      <c r="F217">
        <f>-24.145*$F$202</f>
        <v>0</v>
      </c>
      <c r="G217">
        <f>4.129*$G$202</f>
        <v>0</v>
      </c>
      <c r="H217">
        <f>0*$H$202</f>
        <v>0</v>
      </c>
      <c r="I217">
        <f>7.242*$I$202</f>
        <v>0</v>
      </c>
      <c r="J217">
        <f>2.966*$J$202</f>
        <v>0</v>
      </c>
      <c r="K217">
        <f>-3.954*$K$202</f>
        <v>0</v>
      </c>
      <c r="L217">
        <f>-0.02*$L$202</f>
        <v>0</v>
      </c>
      <c r="M217">
        <f>0+D217+E217+G217+H217+I217+J217+K217+L217</f>
        <v>0</v>
      </c>
      <c r="N217">
        <f>0+D217+F217+G217+H217+I217+J217+K217+L217</f>
        <v>0</v>
      </c>
    </row>
    <row r="218" spans="3:14">
      <c r="C218" t="s">
        <v>29</v>
      </c>
      <c r="D218">
        <f>65.575*$D$202</f>
        <v>0</v>
      </c>
      <c r="E218">
        <f>107.682*$E$202</f>
        <v>0</v>
      </c>
      <c r="F218">
        <f>-22.162*$F$202</f>
        <v>0</v>
      </c>
      <c r="G218">
        <f>-1.527*$G$202</f>
        <v>0</v>
      </c>
      <c r="H218">
        <f>0*$H$202</f>
        <v>0</v>
      </c>
      <c r="I218">
        <f>9.915*$I$202</f>
        <v>0</v>
      </c>
      <c r="J218">
        <f>58.691*$J$202</f>
        <v>0</v>
      </c>
      <c r="K218">
        <f>-78.255*$K$202</f>
        <v>0</v>
      </c>
      <c r="L218">
        <f>-0.017*$L$202</f>
        <v>0</v>
      </c>
      <c r="M218">
        <f>0+D218+E218+G218+H218+I218+J218+K218+L218</f>
        <v>0</v>
      </c>
      <c r="N218">
        <f>0+D218+F218+G218+H218+I218+J218+K218+L218</f>
        <v>0</v>
      </c>
    </row>
    <row r="219" spans="3:14">
      <c r="C219" t="s">
        <v>30</v>
      </c>
      <c r="D219">
        <f>78.982*$D$202</f>
        <v>0</v>
      </c>
      <c r="E219">
        <f>145.024*$E$202</f>
        <v>0</v>
      </c>
      <c r="F219">
        <f>-27.615*$F$202</f>
        <v>0</v>
      </c>
      <c r="G219">
        <f>-9.58*$G$202</f>
        <v>0</v>
      </c>
      <c r="H219">
        <f>0*$H$202</f>
        <v>0</v>
      </c>
      <c r="I219">
        <f>12.415*$I$202</f>
        <v>0</v>
      </c>
      <c r="J219">
        <f>148.579*$J$202</f>
        <v>0</v>
      </c>
      <c r="K219">
        <f>-198.106*$K$202</f>
        <v>0</v>
      </c>
      <c r="L219">
        <f>-0.00958*$L$202</f>
        <v>0</v>
      </c>
      <c r="M219">
        <f>0+D219+E219+G219+H219+I219+J219+K219+L219</f>
        <v>0</v>
      </c>
      <c r="N219">
        <f>0+D219+F219+G219+H219+I219+J219+K219+L219</f>
        <v>0</v>
      </c>
    </row>
    <row r="220" spans="3:14">
      <c r="C220" t="s">
        <v>31</v>
      </c>
      <c r="D220">
        <f>92.454*$D$202</f>
        <v>0</v>
      </c>
      <c r="E220">
        <f>121.316*$E$202</f>
        <v>0</v>
      </c>
      <c r="F220">
        <f>-26.883*$F$202</f>
        <v>0</v>
      </c>
      <c r="G220">
        <f>24.947*$G$202</f>
        <v>0</v>
      </c>
      <c r="H220">
        <f>0*$H$202</f>
        <v>0</v>
      </c>
      <c r="I220">
        <f>12.068*$I$202</f>
        <v>0</v>
      </c>
      <c r="J220">
        <f>-133.324*$J$202</f>
        <v>0</v>
      </c>
      <c r="K220">
        <f>177.765*$K$202</f>
        <v>0</v>
      </c>
      <c r="L220">
        <f>-0.029*$L$202</f>
        <v>0</v>
      </c>
      <c r="M220">
        <f>0+D220+E220+G220+H220+I220+J220+K220+L220</f>
        <v>0</v>
      </c>
      <c r="N220">
        <f>0+D220+F220+G220+H220+I220+J220+K220+L220</f>
        <v>0</v>
      </c>
    </row>
    <row r="221" spans="3:14">
      <c r="C221" t="s">
        <v>32</v>
      </c>
      <c r="D221">
        <f>95.158*$D$202</f>
        <v>0</v>
      </c>
      <c r="E221">
        <f>123.017*$E$202</f>
        <v>0</v>
      </c>
      <c r="F221">
        <f>-8.962*$F$202</f>
        <v>0</v>
      </c>
      <c r="G221">
        <f>18.036*$G$202</f>
        <v>0</v>
      </c>
      <c r="H221">
        <f>0*$H$202</f>
        <v>0</v>
      </c>
      <c r="I221">
        <f>12.962*$I$202</f>
        <v>0</v>
      </c>
      <c r="J221">
        <f>-51.306*$J$202</f>
        <v>0</v>
      </c>
      <c r="K221">
        <f>68.408*$K$202</f>
        <v>0</v>
      </c>
      <c r="L221">
        <f>-0.021*$L$202</f>
        <v>0</v>
      </c>
      <c r="M221">
        <f>0+D221+E221+G221+H221+I221+J221+K221+L221</f>
        <v>0</v>
      </c>
      <c r="N221">
        <f>0+D221+F221+G221+H221+I221+J221+K221+L221</f>
        <v>0</v>
      </c>
    </row>
    <row r="222" spans="3:14">
      <c r="C222" t="s">
        <v>33</v>
      </c>
      <c r="D222">
        <f>88.295*$D$202</f>
        <v>0</v>
      </c>
      <c r="E222">
        <f>122.647*$E$202</f>
        <v>0</v>
      </c>
      <c r="F222">
        <f>-11.72*$F$202</f>
        <v>0</v>
      </c>
      <c r="G222">
        <f>12.203*$G$202</f>
        <v>0</v>
      </c>
      <c r="H222">
        <f>0*$H$202</f>
        <v>0</v>
      </c>
      <c r="I222">
        <f>12.462*$I$202</f>
        <v>0</v>
      </c>
      <c r="J222">
        <f>22.493*$J$202</f>
        <v>0</v>
      </c>
      <c r="K222">
        <f>-29.99*$K$202</f>
        <v>0</v>
      </c>
      <c r="L222">
        <f>-0.012*$L$202</f>
        <v>0</v>
      </c>
      <c r="M222">
        <f>0+D222+E222+G222+H222+I222+J222+K222+L222</f>
        <v>0</v>
      </c>
      <c r="N222">
        <f>0+D222+F222+G222+H222+I222+J222+K222+L222</f>
        <v>0</v>
      </c>
    </row>
    <row r="223" spans="3:14">
      <c r="C223" t="s">
        <v>34</v>
      </c>
      <c r="D223">
        <f>64.753*$D$202</f>
        <v>0</v>
      </c>
      <c r="E223">
        <f>109.277*$E$202</f>
        <v>0</v>
      </c>
      <c r="F223">
        <f>-24.594*$F$202</f>
        <v>0</v>
      </c>
      <c r="G223">
        <f>4.662*$G$202</f>
        <v>0</v>
      </c>
      <c r="H223">
        <f>0*$H$202</f>
        <v>0</v>
      </c>
      <c r="I223">
        <f>9.636*$I$202</f>
        <v>0</v>
      </c>
      <c r="J223">
        <f>125.496*$J$202</f>
        <v>0</v>
      </c>
      <c r="K223">
        <f>-167.327*$K$202</f>
        <v>0</v>
      </c>
      <c r="L223">
        <f>0.008106*$L$202</f>
        <v>0</v>
      </c>
      <c r="M223">
        <f>0+D223+E223+G223+H223+I223+J223+K223+L223</f>
        <v>0</v>
      </c>
      <c r="N223">
        <f>0+D223+F223+G223+H223+I223+J223+K223+L223</f>
        <v>0</v>
      </c>
    </row>
    <row r="224" spans="3:14">
      <c r="C224" t="s">
        <v>35</v>
      </c>
      <c r="D224">
        <f>15.142*$D$202</f>
        <v>0</v>
      </c>
      <c r="E224">
        <f>96.927*$E$202</f>
        <v>0</v>
      </c>
      <c r="F224">
        <f>-52.508*$F$202</f>
        <v>0</v>
      </c>
      <c r="G224">
        <f>-7.493*$G$202</f>
        <v>0</v>
      </c>
      <c r="H224">
        <f>0*$H$202</f>
        <v>0</v>
      </c>
      <c r="I224">
        <f>3.235*$I$202</f>
        <v>0</v>
      </c>
      <c r="J224">
        <f>295.48*$J$202</f>
        <v>0</v>
      </c>
      <c r="K224">
        <f>-393.974*$K$202</f>
        <v>0</v>
      </c>
      <c r="L224">
        <f>0.052*$L$202</f>
        <v>0</v>
      </c>
      <c r="M224">
        <f>0+D224+E224+G224+H224+I224+J224+K224+L224</f>
        <v>0</v>
      </c>
      <c r="N224">
        <f>0+D224+F224+G224+H224+I224+J224+K224+L224</f>
        <v>0</v>
      </c>
    </row>
    <row r="225" spans="3:14">
      <c r="C225" t="s">
        <v>36</v>
      </c>
      <c r="D225">
        <f>36.425*$D$202</f>
        <v>0</v>
      </c>
      <c r="E225">
        <f>46.897*$E$202</f>
        <v>0</v>
      </c>
      <c r="F225">
        <f>-13.389*$F$202</f>
        <v>0</v>
      </c>
      <c r="G225">
        <f>6.237*$G$202</f>
        <v>0</v>
      </c>
      <c r="H225">
        <f>0*$H$202</f>
        <v>0</v>
      </c>
      <c r="I225">
        <f>5.001*$I$202</f>
        <v>0</v>
      </c>
      <c r="J225">
        <f>-62.096*$J$202</f>
        <v>0</v>
      </c>
      <c r="K225">
        <f>82.794*$K$202</f>
        <v>0</v>
      </c>
      <c r="L225">
        <f>-0.017*$L$202</f>
        <v>0</v>
      </c>
      <c r="M225">
        <f>0+D225+E225+G225+H225+I225+J225+K225+L225</f>
        <v>0</v>
      </c>
      <c r="N225">
        <f>0+D225+F225+G225+H225+I225+J225+K225+L225</f>
        <v>0</v>
      </c>
    </row>
    <row r="226" spans="3:14">
      <c r="C226" t="s">
        <v>36</v>
      </c>
      <c r="D226">
        <f>-35.099*$D$202</f>
        <v>0</v>
      </c>
      <c r="E226">
        <f>5.645*$E$202</f>
        <v>0</v>
      </c>
      <c r="F226">
        <f>-43.303*$F$202</f>
        <v>0</v>
      </c>
      <c r="G226">
        <f>-6.097*$G$202</f>
        <v>0</v>
      </c>
      <c r="H226">
        <f>0*$H$202</f>
        <v>0</v>
      </c>
      <c r="I226">
        <f>-4.816*$I$202</f>
        <v>0</v>
      </c>
      <c r="J226">
        <f>62.554*$J$202</f>
        <v>0</v>
      </c>
      <c r="K226">
        <f>-83.406*$K$202</f>
        <v>0</v>
      </c>
      <c r="L226">
        <f>0.09*$L$202</f>
        <v>0</v>
      </c>
      <c r="M226">
        <f>0+D226+E226+G226+H226+I226+J226+K226+L226</f>
        <v>0</v>
      </c>
      <c r="N226">
        <f>0+D226+F226+G226+H226+I226+J226+K226+L226</f>
        <v>0</v>
      </c>
    </row>
    <row r="227" spans="3:14">
      <c r="C227" t="s">
        <v>37</v>
      </c>
      <c r="D227">
        <f>-35.099*$D$202</f>
        <v>0</v>
      </c>
      <c r="E227">
        <f>5.645*$E$202</f>
        <v>0</v>
      </c>
      <c r="F227">
        <f>-43.303*$F$202</f>
        <v>0</v>
      </c>
      <c r="G227">
        <f>-6.097*$G$202</f>
        <v>0</v>
      </c>
      <c r="H227">
        <f>0*$H$202</f>
        <v>0</v>
      </c>
      <c r="I227">
        <f>-4.816*$I$202</f>
        <v>0</v>
      </c>
      <c r="J227">
        <f>62.554*$J$202</f>
        <v>0</v>
      </c>
      <c r="K227">
        <f>-83.406*$K$202</f>
        <v>0</v>
      </c>
      <c r="L227">
        <f>0.09*$L$202</f>
        <v>0</v>
      </c>
      <c r="M227">
        <f>0+D227+E227+G227+H227+I227+J227+K227+L227</f>
        <v>0</v>
      </c>
      <c r="N227">
        <f>0+D227+F227+G227+H227+I227+J227+K227+L227</f>
        <v>0</v>
      </c>
    </row>
    <row r="228" spans="3:14">
      <c r="C228" t="s">
        <v>38</v>
      </c>
      <c r="D228">
        <f>-37.629*$D$202</f>
        <v>0</v>
      </c>
      <c r="E228">
        <f>32.292*$E$202</f>
        <v>0</v>
      </c>
      <c r="F228">
        <f>-84.282*$F$202</f>
        <v>0</v>
      </c>
      <c r="G228">
        <f>0.427*$G$202</f>
        <v>0</v>
      </c>
      <c r="H228">
        <f>0*$H$202</f>
        <v>0</v>
      </c>
      <c r="I228">
        <f>-6.046*$I$202</f>
        <v>0</v>
      </c>
      <c r="J228">
        <f>-208.173*$J$202</f>
        <v>0</v>
      </c>
      <c r="K228">
        <f>277.564*$K$202</f>
        <v>0</v>
      </c>
      <c r="L228">
        <f>0.491*$L$202</f>
        <v>0</v>
      </c>
      <c r="M228">
        <f>0+D228+E228+G228+H228+I228+J228+K228+L228</f>
        <v>0</v>
      </c>
      <c r="N228">
        <f>0+D228+F228+G228+H228+I228+J228+K228+L228</f>
        <v>0</v>
      </c>
    </row>
    <row r="229" spans="3:14">
      <c r="C229" t="s">
        <v>39</v>
      </c>
      <c r="D229">
        <f>-72.144*$D$202</f>
        <v>0</v>
      </c>
      <c r="E229">
        <f>14.639*$E$202</f>
        <v>0</v>
      </c>
      <c r="F229">
        <f>-113.421*$F$202</f>
        <v>0</v>
      </c>
      <c r="G229">
        <f>-8.808*$G$202</f>
        <v>0</v>
      </c>
      <c r="H229">
        <f>0*$H$202</f>
        <v>0</v>
      </c>
      <c r="I229">
        <f>-10.406*$I$202</f>
        <v>0</v>
      </c>
      <c r="J229">
        <f>-73.623*$J$202</f>
        <v>0</v>
      </c>
      <c r="K229">
        <f>98.164*$K$202</f>
        <v>0</v>
      </c>
      <c r="L229">
        <f>0.573*$L$202</f>
        <v>0</v>
      </c>
      <c r="M229">
        <f>0+D229+E229+G229+H229+I229+J229+K229+L229</f>
        <v>0</v>
      </c>
      <c r="N229">
        <f>0+D229+F229+G229+H229+I229+J229+K229+L229</f>
        <v>0</v>
      </c>
    </row>
    <row r="230" spans="3:14">
      <c r="C230" t="s">
        <v>40</v>
      </c>
      <c r="D230">
        <f>-85.72*$D$202</f>
        <v>0</v>
      </c>
      <c r="E230">
        <f>9.285*$E$202</f>
        <v>0</v>
      </c>
      <c r="F230">
        <f>-119.211*$F$202</f>
        <v>0</v>
      </c>
      <c r="G230">
        <f>-14.887*$G$202</f>
        <v>0</v>
      </c>
      <c r="H230">
        <f>0*$H$202</f>
        <v>0</v>
      </c>
      <c r="I230">
        <f>-11.864*$I$202</f>
        <v>0</v>
      </c>
      <c r="J230">
        <f>10.64*$J$202</f>
        <v>0</v>
      </c>
      <c r="K230">
        <f>-14.187*$K$202</f>
        <v>0</v>
      </c>
      <c r="L230">
        <f>0.832*$L$202</f>
        <v>0</v>
      </c>
      <c r="M230">
        <f>0+D230+E230+G230+H230+I230+J230+K230+L230</f>
        <v>0</v>
      </c>
      <c r="N230">
        <f>0+D230+F230+G230+H230+I230+J230+K230+L230</f>
        <v>0</v>
      </c>
    </row>
    <row r="231" spans="3:14">
      <c r="C231" t="s">
        <v>41</v>
      </c>
      <c r="D231">
        <f>-87.309*$D$202</f>
        <v>0</v>
      </c>
      <c r="E231">
        <f>16.312*$E$202</f>
        <v>0</v>
      </c>
      <c r="F231">
        <f>-114.117*$F$202</f>
        <v>0</v>
      </c>
      <c r="G231">
        <f>-21.035*$G$202</f>
        <v>0</v>
      </c>
      <c r="H231">
        <f>0*$H$202</f>
        <v>0</v>
      </c>
      <c r="I231">
        <f>-11.594*$I$202</f>
        <v>0</v>
      </c>
      <c r="J231">
        <f>86.915*$J$202</f>
        <v>0</v>
      </c>
      <c r="K231">
        <f>-115.887*$K$202</f>
        <v>0</v>
      </c>
      <c r="L231">
        <f>1.179*$L$202</f>
        <v>0</v>
      </c>
      <c r="M231">
        <f>0+D231+E231+G231+H231+I231+J231+K231+L231</f>
        <v>0</v>
      </c>
      <c r="N231">
        <f>0+D231+F231+G231+H231+I231+J231+K231+L231</f>
        <v>0</v>
      </c>
    </row>
    <row r="232" spans="3:14">
      <c r="C232" t="s">
        <v>42</v>
      </c>
      <c r="D232">
        <f>-81.537*$D$202</f>
        <v>0</v>
      </c>
      <c r="E232">
        <f>43.107*$E$202</f>
        <v>0</v>
      </c>
      <c r="F232">
        <f>-109.006*$F$202</f>
        <v>0</v>
      </c>
      <c r="G232">
        <f>-28.706*$G$202</f>
        <v>0</v>
      </c>
      <c r="H232">
        <f>0*$H$202</f>
        <v>0</v>
      </c>
      <c r="I232">
        <f>-10.234*$I$202</f>
        <v>0</v>
      </c>
      <c r="J232">
        <f>179.988*$J$202</f>
        <v>0</v>
      </c>
      <c r="K232">
        <f>-239.984*$K$202</f>
        <v>0</v>
      </c>
      <c r="L232">
        <f>1.62*$L$202</f>
        <v>0</v>
      </c>
      <c r="M232">
        <f>0+D232+E232+G232+H232+I232+J232+K232+L232</f>
        <v>0</v>
      </c>
      <c r="N232">
        <f>0+D232+F232+G232+H232+I232+J232+K232+L232</f>
        <v>0</v>
      </c>
    </row>
    <row r="233" spans="3:14">
      <c r="C233" t="s">
        <v>43</v>
      </c>
      <c r="D233">
        <f>-63.429*$D$202</f>
        <v>0</v>
      </c>
      <c r="E233">
        <f>21.145*$E$202</f>
        <v>0</v>
      </c>
      <c r="F233">
        <f>-118.363*$F$202</f>
        <v>0</v>
      </c>
      <c r="G233">
        <f>5.185*$G$202</f>
        <v>0</v>
      </c>
      <c r="H233">
        <f>0*$H$202</f>
        <v>0</v>
      </c>
      <c r="I233">
        <f>-9.871*$I$202</f>
        <v>0</v>
      </c>
      <c r="J233">
        <f>-105.387*$J$202</f>
        <v>0</v>
      </c>
      <c r="K233">
        <f>140.516*$K$202</f>
        <v>0</v>
      </c>
      <c r="L233">
        <f>1.341*$L$202</f>
        <v>0</v>
      </c>
      <c r="M233">
        <f>0+D233+E233+G233+H233+I233+J233+K233+L233</f>
        <v>0</v>
      </c>
      <c r="N233">
        <f>0+D233+F233+G233+H233+I233+J233+K233+L233</f>
        <v>0</v>
      </c>
    </row>
    <row r="234" spans="3:14">
      <c r="C234" t="s">
        <v>44</v>
      </c>
      <c r="D234">
        <f>-49.583*$D$202</f>
        <v>0</v>
      </c>
      <c r="E234">
        <f>14.403*$E$202</f>
        <v>0</v>
      </c>
      <c r="F234">
        <f>-87.26*$F$202</f>
        <v>0</v>
      </c>
      <c r="G234">
        <f>-1.496*$G$202</f>
        <v>0</v>
      </c>
      <c r="H234">
        <f>0*$H$202</f>
        <v>0</v>
      </c>
      <c r="I234">
        <f>-7.363*$I$202</f>
        <v>0</v>
      </c>
      <c r="J234">
        <f>-32.767*$J$202</f>
        <v>0</v>
      </c>
      <c r="K234">
        <f>43.689*$K$202</f>
        <v>0</v>
      </c>
      <c r="L234">
        <f>1.87*$L$202</f>
        <v>0</v>
      </c>
      <c r="M234">
        <f>0+D234+E234+G234+H234+I234+J234+K234+L234</f>
        <v>0</v>
      </c>
      <c r="N234">
        <f>0+D234+F234+G234+H234+I234+J234+K234+L234</f>
        <v>0</v>
      </c>
    </row>
    <row r="235" spans="3:14">
      <c r="C235" t="s">
        <v>45</v>
      </c>
      <c r="D235">
        <f>-33.548*$D$202</f>
        <v>0</v>
      </c>
      <c r="E235">
        <f>13.753*$E$202</f>
        <v>0</v>
      </c>
      <c r="F235">
        <f>-58.64*$F$202</f>
        <v>0</v>
      </c>
      <c r="G235">
        <f>-6.428*$G$202</f>
        <v>0</v>
      </c>
      <c r="H235">
        <f>0*$H$202</f>
        <v>0</v>
      </c>
      <c r="I235">
        <f>-4.588*$I$202</f>
        <v>0</v>
      </c>
      <c r="J235">
        <f>12.606*$J$202</f>
        <v>0</v>
      </c>
      <c r="K235">
        <f>-16.808*$K$202</f>
        <v>0</v>
      </c>
      <c r="L235">
        <f>2.405*$L$202</f>
        <v>0</v>
      </c>
      <c r="M235">
        <f>0+D235+E235+G235+H235+I235+J235+K235+L235</f>
        <v>0</v>
      </c>
      <c r="N235">
        <f>0+D235+F235+G235+H235+I235+J235+K235+L235</f>
        <v>0</v>
      </c>
    </row>
    <row r="236" spans="3:14">
      <c r="C236" t="s">
        <v>46</v>
      </c>
      <c r="D236">
        <f>-14.774*$D$202</f>
        <v>0</v>
      </c>
      <c r="E236">
        <f>38.749*$E$202</f>
        <v>0</v>
      </c>
      <c r="F236">
        <f>-44.858*$F$202</f>
        <v>0</v>
      </c>
      <c r="G236">
        <f>-12.525*$G$202</f>
        <v>0</v>
      </c>
      <c r="H236">
        <f>0*$H$202</f>
        <v>0</v>
      </c>
      <c r="I236">
        <f>-1.362*$I$202</f>
        <v>0</v>
      </c>
      <c r="J236">
        <f>62.338*$J$202</f>
        <v>0</v>
      </c>
      <c r="K236">
        <f>-83.117*$K$202</f>
        <v>0</v>
      </c>
      <c r="L236">
        <f>2.946*$L$202</f>
        <v>0</v>
      </c>
      <c r="M236">
        <f>0+D236+E236+G236+H236+I236+J236+K236+L236</f>
        <v>0</v>
      </c>
      <c r="N236">
        <f>0+D236+F236+G236+H236+I236+J236+K236+L236</f>
        <v>0</v>
      </c>
    </row>
    <row r="237" spans="3:14">
      <c r="C237" t="s">
        <v>47</v>
      </c>
      <c r="D237">
        <f>7.213*$D$202</f>
        <v>0</v>
      </c>
      <c r="E237">
        <f>87.162*$E$202</f>
        <v>0</v>
      </c>
      <c r="F237">
        <f>-51.523*$F$202</f>
        <v>0</v>
      </c>
      <c r="G237">
        <f>-21.394*$G$202</f>
        <v>0</v>
      </c>
      <c r="H237">
        <f>0*$H$202</f>
        <v>0</v>
      </c>
      <c r="I237">
        <f>2.415*$I$202</f>
        <v>0</v>
      </c>
      <c r="J237">
        <f>139.553*$J$202</f>
        <v>0</v>
      </c>
      <c r="K237">
        <f>-186.071*$K$202</f>
        <v>0</v>
      </c>
      <c r="L237">
        <f>3.485*$L$202</f>
        <v>0</v>
      </c>
      <c r="M237">
        <f>0+D237+E237+G237+H237+I237+J237+K237+L237</f>
        <v>0</v>
      </c>
      <c r="N237">
        <f>0+D237+F237+G237+H237+I237+J237+K237+L237</f>
        <v>0</v>
      </c>
    </row>
    <row r="238" spans="3:14">
      <c r="C238" t="s">
        <v>48</v>
      </c>
      <c r="D238">
        <f>2.821*$D$202</f>
        <v>0</v>
      </c>
      <c r="E238">
        <f>46.556*$E$202</f>
        <v>0</v>
      </c>
      <c r="F238">
        <f>-61.867*$F$202</f>
        <v>0</v>
      </c>
      <c r="G238">
        <f>16.051*$G$202</f>
        <v>0</v>
      </c>
      <c r="H238">
        <f>0*$H$202</f>
        <v>0</v>
      </c>
      <c r="I238">
        <f>-0.63*$I$202</f>
        <v>0</v>
      </c>
      <c r="J238">
        <f>-101.138*$J$202</f>
        <v>0</v>
      </c>
      <c r="K238">
        <f>134.85*$K$202</f>
        <v>0</v>
      </c>
      <c r="L238">
        <f>3.994*$L$202</f>
        <v>0</v>
      </c>
      <c r="M238">
        <f>0+D238+E238+G238+H238+I238+J238+K238+L238</f>
        <v>0</v>
      </c>
      <c r="N238">
        <f>0+D238+F238+G238+H238+I238+J238+K238+L238</f>
        <v>0</v>
      </c>
    </row>
    <row r="239" spans="3:14">
      <c r="C239" t="s">
        <v>49</v>
      </c>
      <c r="D239">
        <f>24.047*$D$202</f>
        <v>0</v>
      </c>
      <c r="E239">
        <f>48.337*$E$202</f>
        <v>0</v>
      </c>
      <c r="F239">
        <f>-24.066*$F$202</f>
        <v>0</v>
      </c>
      <c r="G239">
        <f>8.652*$G$202</f>
        <v>0</v>
      </c>
      <c r="H239">
        <f>0*$H$202</f>
        <v>0</v>
      </c>
      <c r="I239">
        <f>2.983*$I$202</f>
        <v>0</v>
      </c>
      <c r="J239">
        <f>-39.15*$J$202</f>
        <v>0</v>
      </c>
      <c r="K239">
        <f>52.2*$K$202</f>
        <v>0</v>
      </c>
      <c r="L239">
        <f>3.86*$L$202</f>
        <v>0</v>
      </c>
      <c r="M239">
        <f>0+D239+E239+G239+H239+I239+J239+K239+L239</f>
        <v>0</v>
      </c>
      <c r="N239">
        <f>0+D239+F239+G239+H239+I239+J239+K239+L239</f>
        <v>0</v>
      </c>
    </row>
    <row r="240" spans="3:14">
      <c r="C240" t="s">
        <v>50</v>
      </c>
      <c r="D240">
        <f>42.704*$D$202</f>
        <v>0</v>
      </c>
      <c r="E240">
        <f>72.684*$E$202</f>
        <v>0</v>
      </c>
      <c r="F240">
        <f>-16.347*$F$202</f>
        <v>0</v>
      </c>
      <c r="G240">
        <f>3.55*$G$202</f>
        <v>0</v>
      </c>
      <c r="H240">
        <f>0*$H$202</f>
        <v>0</v>
      </c>
      <c r="I240">
        <f>6.147*$I$202</f>
        <v>0</v>
      </c>
      <c r="J240">
        <f>3.163*$J$202</f>
        <v>0</v>
      </c>
      <c r="K240">
        <f>-4.217*$K$202</f>
        <v>0</v>
      </c>
      <c r="L240">
        <f>2.873*$L$202</f>
        <v>0</v>
      </c>
      <c r="M240">
        <f>0+D240+E240+G240+H240+I240+J240+K240+L240</f>
        <v>0</v>
      </c>
      <c r="N240">
        <f>0+D240+F240+G240+H240+I240+J240+K240+L240</f>
        <v>0</v>
      </c>
    </row>
    <row r="241" spans="3:14">
      <c r="C241" t="s">
        <v>51</v>
      </c>
      <c r="D241">
        <f>59.661*$D$202</f>
        <v>0</v>
      </c>
      <c r="E241">
        <f>103.632*$E$202</f>
        <v>0</v>
      </c>
      <c r="F241">
        <f>-19.657*$F$202</f>
        <v>0</v>
      </c>
      <c r="G241">
        <f>-2.133*$G$202</f>
        <v>0</v>
      </c>
      <c r="H241">
        <f>0*$H$202</f>
        <v>0</v>
      </c>
      <c r="I241">
        <f>9.095*$I$202</f>
        <v>0</v>
      </c>
      <c r="J241">
        <f>57.226*$J$202</f>
        <v>0</v>
      </c>
      <c r="K241">
        <f>-76.301*$K$202</f>
        <v>0</v>
      </c>
      <c r="L241">
        <f>0.291*$L$202</f>
        <v>0</v>
      </c>
      <c r="M241">
        <f>0+D241+E241+G241+H241+I241+J241+K241+L241</f>
        <v>0</v>
      </c>
      <c r="N241">
        <f>0+D241+F241+G241+H241+I241+J241+K241+L241</f>
        <v>0</v>
      </c>
    </row>
    <row r="242" spans="3:14">
      <c r="C242" t="s">
        <v>52</v>
      </c>
      <c r="D242">
        <f>75.733*$D$202</f>
        <v>0</v>
      </c>
      <c r="E242">
        <f>141.106*$E$202</f>
        <v>0</v>
      </c>
      <c r="F242">
        <f>-28.494*$F$202</f>
        <v>0</v>
      </c>
      <c r="G242">
        <f>-10.073*$G$202</f>
        <v>0</v>
      </c>
      <c r="H242">
        <f>0*$H$202</f>
        <v>0</v>
      </c>
      <c r="I242">
        <f>11.978*$I$202</f>
        <v>0</v>
      </c>
      <c r="J242">
        <f>146.101*$J$202</f>
        <v>0</v>
      </c>
      <c r="K242">
        <f>-194.801*$K$202</f>
        <v>0</v>
      </c>
      <c r="L242">
        <f>-4.649*$L$202</f>
        <v>0</v>
      </c>
      <c r="M242">
        <f>0+D242+E242+G242+H242+I242+J242+K242+L242</f>
        <v>0</v>
      </c>
      <c r="N242">
        <f>0+D242+F242+G242+H242+I242+J242+K242+L242</f>
        <v>0</v>
      </c>
    </row>
    <row r="243" spans="3:14">
      <c r="C243" t="s">
        <v>53</v>
      </c>
      <c r="D243">
        <f>82.879*$D$202</f>
        <v>0</v>
      </c>
      <c r="E243">
        <f>107.619*$E$202</f>
        <v>0</v>
      </c>
      <c r="F243">
        <f>-25.005*$F$202</f>
        <v>0</v>
      </c>
      <c r="G243">
        <f>23.957*$G$202</f>
        <v>0</v>
      </c>
      <c r="H243">
        <f>0*$H$202</f>
        <v>0</v>
      </c>
      <c r="I243">
        <f>10.725*$I$202</f>
        <v>0</v>
      </c>
      <c r="J243">
        <f>-135.07*$J$202</f>
        <v>0</v>
      </c>
      <c r="K243">
        <f>180.093*$K$202</f>
        <v>0</v>
      </c>
      <c r="L243">
        <f>10.209*$L$202</f>
        <v>0</v>
      </c>
      <c r="M243">
        <f>0+D243+E243+G243+H243+I243+J243+K243+L243</f>
        <v>0</v>
      </c>
      <c r="N243">
        <f>0+D243+F243+G243+H243+I243+J243+K243+L243</f>
        <v>0</v>
      </c>
    </row>
    <row r="244" spans="3:14">
      <c r="C244" t="s">
        <v>54</v>
      </c>
      <c r="D244">
        <f>88.913*$D$202</f>
        <v>0</v>
      </c>
      <c r="E244">
        <f>116.575*$E$202</f>
        <v>0</v>
      </c>
      <c r="F244">
        <f>-8.786*$F$202</f>
        <v>0</v>
      </c>
      <c r="G244">
        <f>17.319*$G$202</f>
        <v>0</v>
      </c>
      <c r="H244">
        <f>0*$H$202</f>
        <v>0</v>
      </c>
      <c r="I244">
        <f>12.092*$I$202</f>
        <v>0</v>
      </c>
      <c r="J244">
        <f>-53.227*$J$202</f>
        <v>0</v>
      </c>
      <c r="K244">
        <f>70.969*$K$202</f>
        <v>0</v>
      </c>
      <c r="L244">
        <f>4.04*$L$202</f>
        <v>0</v>
      </c>
      <c r="M244">
        <f>0+D244+E244+G244+H244+I244+J244+K244+L244</f>
        <v>0</v>
      </c>
      <c r="N244">
        <f>0+D244+F244+G244+H244+I244+J244+K244+L244</f>
        <v>0</v>
      </c>
    </row>
    <row r="245" spans="3:14">
      <c r="C245" t="s">
        <v>55</v>
      </c>
      <c r="D245">
        <f>86.132*$D$202</f>
        <v>0</v>
      </c>
      <c r="E245">
        <f>119.139*$E$202</f>
        <v>0</v>
      </c>
      <c r="F245">
        <f>-11.185*$F$202</f>
        <v>0</v>
      </c>
      <c r="G245">
        <f>11.869*$G$202</f>
        <v>0</v>
      </c>
      <c r="H245">
        <f>0*$H$202</f>
        <v>0</v>
      </c>
      <c r="I245">
        <f>12.172*$I$202</f>
        <v>0</v>
      </c>
      <c r="J245">
        <f>20.734*$J$202</f>
        <v>0</v>
      </c>
      <c r="K245">
        <f>-27.645*$K$202</f>
        <v>0</v>
      </c>
      <c r="L245">
        <f>-3.962*$L$202</f>
        <v>0</v>
      </c>
      <c r="M245">
        <f>0+D245+E245+G245+H245+I245+J245+K245+L245</f>
        <v>0</v>
      </c>
      <c r="N245">
        <f>0+D245+F245+G245+H245+I245+J245+K245+L245</f>
        <v>0</v>
      </c>
    </row>
    <row r="246" spans="3:14">
      <c r="C246" t="s">
        <v>56</v>
      </c>
      <c r="D246">
        <f>68.615*$D$202</f>
        <v>0</v>
      </c>
      <c r="E246">
        <f>104.729*$E$202</f>
        <v>0</v>
      </c>
      <c r="F246">
        <f>-16.558*$F$202</f>
        <v>0</v>
      </c>
      <c r="G246">
        <f>4.942*$G$202</f>
        <v>0</v>
      </c>
      <c r="H246">
        <f>0*$H$202</f>
        <v>0</v>
      </c>
      <c r="I246">
        <f>10.199*$I$202</f>
        <v>0</v>
      </c>
      <c r="J246">
        <f>124.296*$J$202</f>
        <v>0</v>
      </c>
      <c r="K246">
        <f>-165.728*$K$202</f>
        <v>0</v>
      </c>
      <c r="L246">
        <f>-19.022*$L$202</f>
        <v>0</v>
      </c>
      <c r="M246">
        <f>0+D246+E246+G246+H246+I246+J246+K246+L246</f>
        <v>0</v>
      </c>
      <c r="N246">
        <f>0+D246+F246+G246+H246+I246+J246+K246+L246</f>
        <v>0</v>
      </c>
    </row>
    <row r="247" spans="3:14">
      <c r="C247" t="s">
        <v>57</v>
      </c>
      <c r="D247">
        <f>28.426*$D$202</f>
        <v>0</v>
      </c>
      <c r="E247">
        <f>70.346*$E$202</f>
        <v>0</v>
      </c>
      <c r="F247">
        <f>-33.585*$F$202</f>
        <v>0</v>
      </c>
      <c r="G247">
        <f>-6.212*$G$202</f>
        <v>0</v>
      </c>
      <c r="H247">
        <f>0*$H$202</f>
        <v>0</v>
      </c>
      <c r="I247">
        <f>5.132*$I$202</f>
        <v>0</v>
      </c>
      <c r="J247">
        <f>295.463*$J$202</f>
        <v>0</v>
      </c>
      <c r="K247">
        <f>-393.95*$K$202</f>
        <v>0</v>
      </c>
      <c r="L247">
        <f>-48.723*$L$202</f>
        <v>0</v>
      </c>
      <c r="M247">
        <f>0+D247+E247+G247+H247+I247+J247+K247+L247</f>
        <v>0</v>
      </c>
      <c r="N247">
        <f>0+D247+F247+G247+H247+I247+J247+K247+L247</f>
        <v>0</v>
      </c>
    </row>
    <row r="248" spans="3:14">
      <c r="C248" t="s">
        <v>58</v>
      </c>
      <c r="D248">
        <f>32.562*$D$202</f>
        <v>0</v>
      </c>
      <c r="E248">
        <f>43.255*$E$202</f>
        <v>0</v>
      </c>
      <c r="F248">
        <f>-8.597*$F$202</f>
        <v>0</v>
      </c>
      <c r="G248">
        <f>5.82*$G$202</f>
        <v>0</v>
      </c>
      <c r="H248">
        <f>0*$H$202</f>
        <v>0</v>
      </c>
      <c r="I248">
        <f>4.454*$I$202</f>
        <v>0</v>
      </c>
      <c r="J248">
        <f>-62.617*$J$202</f>
        <v>0</v>
      </c>
      <c r="K248">
        <f>83.489*$K$202</f>
        <v>0</v>
      </c>
      <c r="L248">
        <f>12.45*$L$202</f>
        <v>0</v>
      </c>
      <c r="M248">
        <f>0+D248+E248+G248+H248+I248+J248+K248+L248</f>
        <v>0</v>
      </c>
      <c r="N248">
        <f>0+D248+F248+G248+H248+I248+J248+K248+L248</f>
        <v>0</v>
      </c>
    </row>
    <row r="249" spans="3:14">
      <c r="C249" t="s">
        <v>58</v>
      </c>
      <c r="D249">
        <f>-16.854*$D$202</f>
        <v>0</v>
      </c>
      <c r="E249">
        <f>6.41*$E$202</f>
        <v>0</v>
      </c>
      <c r="F249">
        <f>-24.833*$F$202</f>
        <v>0</v>
      </c>
      <c r="G249">
        <f>-4.591*$G$202</f>
        <v>0</v>
      </c>
      <c r="H249">
        <f>0*$H$202</f>
        <v>0</v>
      </c>
      <c r="I249">
        <f>-2.19*$I$202</f>
        <v>0</v>
      </c>
      <c r="J249">
        <f>58.876*$J$202</f>
        <v>0</v>
      </c>
      <c r="K249">
        <f>-78.501*$K$202</f>
        <v>0</v>
      </c>
      <c r="L249">
        <f>-39.012*$L$202</f>
        <v>0</v>
      </c>
      <c r="M249">
        <f>0+D249+E249+G249+H249+I249+J249+K249+L249</f>
        <v>0</v>
      </c>
      <c r="N249">
        <f>0+D249+F249+G249+H249+I249+J249+K249+L249</f>
        <v>0</v>
      </c>
    </row>
    <row r="250" spans="3:14">
      <c r="C250" t="s">
        <v>59</v>
      </c>
      <c r="D250">
        <f>-16.854*$D$202</f>
        <v>0</v>
      </c>
      <c r="E250">
        <f>6.41*$E$202</f>
        <v>0</v>
      </c>
      <c r="F250">
        <f>-24.833*$F$202</f>
        <v>0</v>
      </c>
      <c r="G250">
        <f>-4.591*$G$202</f>
        <v>0</v>
      </c>
      <c r="H250">
        <f>0*$H$202</f>
        <v>0</v>
      </c>
      <c r="I250">
        <f>-2.19*$I$202</f>
        <v>0</v>
      </c>
      <c r="J250">
        <f>58.876*$J$202</f>
        <v>0</v>
      </c>
      <c r="K250">
        <f>-78.501*$K$202</f>
        <v>0</v>
      </c>
      <c r="L250">
        <f>-39.012*$L$202</f>
        <v>0</v>
      </c>
      <c r="M250">
        <f>0+D250+E250+G250+H250+I250+J250+K250+L250</f>
        <v>0</v>
      </c>
      <c r="N250">
        <f>0+D250+F250+G250+H250+I250+J250+K250+L250</f>
        <v>0</v>
      </c>
    </row>
    <row r="251" spans="3:14">
      <c r="C251" t="s">
        <v>60</v>
      </c>
      <c r="D251">
        <f>2.603*$D$202</f>
        <v>0</v>
      </c>
      <c r="E251">
        <f>30.915*$E$202</f>
        <v>0</v>
      </c>
      <c r="F251">
        <f>-42.303*$F$202</f>
        <v>0</v>
      </c>
      <c r="G251">
        <f>3.097*$G$202</f>
        <v>0</v>
      </c>
      <c r="H251">
        <f>0*$H$202</f>
        <v>0</v>
      </c>
      <c r="I251">
        <f>-0.198*$I$202</f>
        <v>0</v>
      </c>
      <c r="J251">
        <f>-230.788*$J$202</f>
        <v>0</v>
      </c>
      <c r="K251">
        <f>307.717*$K$202</f>
        <v>0</v>
      </c>
      <c r="L251">
        <f>-45.083*$L$202</f>
        <v>0</v>
      </c>
      <c r="M251">
        <f>0+D251+E251+G251+H251+I251+J251+K251+L251</f>
        <v>0</v>
      </c>
      <c r="N251">
        <f>0+D251+F251+G251+H251+I251+J251+K251+L251</f>
        <v>0</v>
      </c>
    </row>
    <row r="252" spans="3:14">
      <c r="C252" t="s">
        <v>61</v>
      </c>
      <c r="D252">
        <f>-13.772*$D$202</f>
        <v>0</v>
      </c>
      <c r="E252">
        <f>13.696*$E$202</f>
        <v>0</v>
      </c>
      <c r="F252">
        <f>-44.957*$F$202</f>
        <v>0</v>
      </c>
      <c r="G252">
        <f>-4.223*$G$202</f>
        <v>0</v>
      </c>
      <c r="H252">
        <f>0*$H$202</f>
        <v>0</v>
      </c>
      <c r="I252">
        <f>-1.959*$I$202</f>
        <v>0</v>
      </c>
      <c r="J252">
        <f>-102.817*$J$202</f>
        <v>0</v>
      </c>
      <c r="K252">
        <f>137.089*$K$202</f>
        <v>0</v>
      </c>
      <c r="L252">
        <f>-80.902*$L$202</f>
        <v>0</v>
      </c>
      <c r="M252">
        <f>0+D252+E252+G252+H252+I252+J252+K252+L252</f>
        <v>0</v>
      </c>
      <c r="N252">
        <f>0+D252+F252+G252+H252+I252+J252+K252+L252</f>
        <v>0</v>
      </c>
    </row>
    <row r="253" spans="3:14">
      <c r="C253" t="s">
        <v>62</v>
      </c>
      <c r="D253">
        <f>-18.585*$D$202</f>
        <v>0</v>
      </c>
      <c r="E253">
        <f>15.608*$E$202</f>
        <v>0</v>
      </c>
      <c r="F253">
        <f>-40.496*$F$202</f>
        <v>0</v>
      </c>
      <c r="G253">
        <f>-8.508*$G$202</f>
        <v>0</v>
      </c>
      <c r="H253">
        <f>0*$H$202</f>
        <v>0</v>
      </c>
      <c r="I253">
        <f>-2.211*$I$202</f>
        <v>0</v>
      </c>
      <c r="J253">
        <f>-16.574*$J$202</f>
        <v>0</v>
      </c>
      <c r="K253">
        <f>22.099*$K$202</f>
        <v>0</v>
      </c>
      <c r="L253">
        <f>-89.906*$L$202</f>
        <v>0</v>
      </c>
      <c r="M253">
        <f>0+D253+E253+G253+H253+I253+J253+K253+L253</f>
        <v>0</v>
      </c>
      <c r="N253">
        <f>0+D253+F253+G253+H253+I253+J253+K253+L253</f>
        <v>0</v>
      </c>
    </row>
    <row r="254" spans="3:14">
      <c r="C254" t="s">
        <v>63</v>
      </c>
      <c r="D254">
        <f>-16.188*$D$202</f>
        <v>0</v>
      </c>
      <c r="E254">
        <f>31.966*$E$202</f>
        <v>0</v>
      </c>
      <c r="F254">
        <f>-36.669*$F$202</f>
        <v>0</v>
      </c>
      <c r="G254">
        <f>-12.434*$G$202</f>
        <v>0</v>
      </c>
      <c r="H254">
        <f>0*$H$202</f>
        <v>0</v>
      </c>
      <c r="I254">
        <f>-1.471*$I$202</f>
        <v>0</v>
      </c>
      <c r="J254">
        <f>71.381*$J$202</f>
        <v>0</v>
      </c>
      <c r="K254">
        <f>-95.175*$K$202</f>
        <v>0</v>
      </c>
      <c r="L254">
        <f>-90.934*$L$202</f>
        <v>0</v>
      </c>
      <c r="M254">
        <f>0+D254+E254+G254+H254+I254+J254+K254+L254</f>
        <v>0</v>
      </c>
      <c r="N254">
        <f>0+D254+F254+G254+H254+I254+J254+K254+L254</f>
        <v>0</v>
      </c>
    </row>
    <row r="255" spans="3:14">
      <c r="C255" t="s">
        <v>64</v>
      </c>
      <c r="D255">
        <f>-9.274*$D$202</f>
        <v>0</v>
      </c>
      <c r="E255">
        <f>64.567*$E$202</f>
        <v>0</v>
      </c>
      <c r="F255">
        <f>-41.72*$F$202</f>
        <v>0</v>
      </c>
      <c r="G255">
        <f>-17.265*$G$202</f>
        <v>0</v>
      </c>
      <c r="H255">
        <f>0*$H$202</f>
        <v>0</v>
      </c>
      <c r="I255">
        <f>-0.103*$I$202</f>
        <v>0</v>
      </c>
      <c r="J255">
        <f>185.759*$J$202</f>
        <v>0</v>
      </c>
      <c r="K255">
        <f>-247.679*$K$202</f>
        <v>0</v>
      </c>
      <c r="L255">
        <f>-93.553*$L$202</f>
        <v>0</v>
      </c>
      <c r="M255">
        <f>0+D255+E255+G255+H255+I255+J255+K255+L255</f>
        <v>0</v>
      </c>
      <c r="N255">
        <f>0+D255+F255+G255+H255+I255+J255+K255+L255</f>
        <v>0</v>
      </c>
    </row>
    <row r="256" spans="3:14">
      <c r="C256" t="s">
        <v>65</v>
      </c>
      <c r="D256">
        <f>2.235*$D$202</f>
        <v>0</v>
      </c>
      <c r="E256">
        <f>28.186*$E$202</f>
        <v>0</v>
      </c>
      <c r="F256">
        <f>-41.613*$F$202</f>
        <v>0</v>
      </c>
      <c r="G256">
        <f>10.187*$G$202</f>
        <v>0</v>
      </c>
      <c r="H256">
        <f>0*$H$202</f>
        <v>0</v>
      </c>
      <c r="I256">
        <f>-0.326*$I$202</f>
        <v>0</v>
      </c>
      <c r="J256">
        <f>-167.713*$J$202</f>
        <v>0</v>
      </c>
      <c r="K256">
        <f>223.617*$K$202</f>
        <v>0</v>
      </c>
      <c r="L256">
        <f>56.436*$L$202</f>
        <v>0</v>
      </c>
      <c r="M256">
        <f>0+D256+E256+G256+H256+I256+J256+K256+L256</f>
        <v>0</v>
      </c>
      <c r="N256">
        <f>0+D256+F256+G256+H256+I256+J256+K256+L256</f>
        <v>0</v>
      </c>
    </row>
    <row r="257" spans="3:14">
      <c r="C257" t="s">
        <v>66</v>
      </c>
      <c r="D257">
        <f>12.036*$D$202</f>
        <v>0</v>
      </c>
      <c r="E257">
        <f>31.585*$E$202</f>
        <v>0</v>
      </c>
      <c r="F257">
        <f>-15.954*$F$202</f>
        <v>0</v>
      </c>
      <c r="G257">
        <f>7.002*$G$202</f>
        <v>0</v>
      </c>
      <c r="H257">
        <f>0*$H$202</f>
        <v>0</v>
      </c>
      <c r="I257">
        <f>1.373*$I$202</f>
        <v>0</v>
      </c>
      <c r="J257">
        <f>-58.725*$J$202</f>
        <v>0</v>
      </c>
      <c r="K257">
        <f>78.3*$K$202</f>
        <v>0</v>
      </c>
      <c r="L257">
        <f>62.115*$L$202</f>
        <v>0</v>
      </c>
      <c r="M257">
        <f>0+D257+E257+G257+H257+I257+J257+K257+L257</f>
        <v>0</v>
      </c>
      <c r="N257">
        <f>0+D257+F257+G257+H257+I257+J257+K257+L257</f>
        <v>0</v>
      </c>
    </row>
    <row r="258" spans="3:14">
      <c r="C258" t="s">
        <v>67</v>
      </c>
      <c r="D258">
        <f>20.643*$D$202</f>
        <v>0</v>
      </c>
      <c r="E258">
        <f>45.133*$E$202</f>
        <v>0</v>
      </c>
      <c r="F258">
        <f>-9.013*$F$202</f>
        <v>0</v>
      </c>
      <c r="G258">
        <f>5.609*$G$202</f>
        <v>0</v>
      </c>
      <c r="H258">
        <f>0*$H$202</f>
        <v>0</v>
      </c>
      <c r="I258">
        <f>2.818*$I$202</f>
        <v>0</v>
      </c>
      <c r="J258">
        <f>38.227*$J$202</f>
        <v>0</v>
      </c>
      <c r="K258">
        <f>-50.969*$K$202</f>
        <v>0</v>
      </c>
      <c r="L258">
        <f>71.874*$L$202</f>
        <v>0</v>
      </c>
      <c r="M258">
        <f>0+D258+E258+G258+H258+I258+J258+K258+L258</f>
        <v>0</v>
      </c>
      <c r="N258">
        <f>0+D258+F258+G258+H258+I258+J258+K258+L258</f>
        <v>0</v>
      </c>
    </row>
    <row r="259" spans="3:14">
      <c r="C259" t="s">
        <v>68</v>
      </c>
      <c r="D259">
        <f>28.346*$D$202</f>
        <v>0</v>
      </c>
      <c r="E259">
        <f>60.342*$E$202</f>
        <v>0</v>
      </c>
      <c r="F259">
        <f>-6.382*$F$202</f>
        <v>0</v>
      </c>
      <c r="G259">
        <f>3.69*$G$202</f>
        <v>0</v>
      </c>
      <c r="H259">
        <f>0*$H$202</f>
        <v>0</v>
      </c>
      <c r="I259">
        <f>4.089*$I$202</f>
        <v>0</v>
      </c>
      <c r="J259">
        <f>185.48*$J$202</f>
        <v>0</v>
      </c>
      <c r="K259">
        <f>-247.306*$K$202</f>
        <v>0</v>
      </c>
      <c r="L259">
        <f>73.36*$L$202</f>
        <v>0</v>
      </c>
      <c r="M259">
        <f>0+D259+E259+G259+H259+I259+J259+K259+L259</f>
        <v>0</v>
      </c>
      <c r="N259">
        <f>0+D259+F259+G259+H259+I259+J259+K259+L259</f>
        <v>0</v>
      </c>
    </row>
    <row r="260" spans="3:14">
      <c r="C260" t="s">
        <v>69</v>
      </c>
      <c r="D260">
        <f>21.402*$D$202</f>
        <v>0</v>
      </c>
      <c r="E260">
        <f>57.093*$E$202</f>
        <v>0</v>
      </c>
      <c r="F260">
        <f>-11.498*$F$202</f>
        <v>0</v>
      </c>
      <c r="G260">
        <f>-2.332*$G$202</f>
        <v>0</v>
      </c>
      <c r="H260">
        <f>0*$H$202</f>
        <v>0</v>
      </c>
      <c r="I260">
        <f>3.201*$I$202</f>
        <v>0</v>
      </c>
      <c r="J260">
        <f>456.771*$J$202</f>
        <v>0</v>
      </c>
      <c r="K260">
        <f>-609.027*$K$202</f>
        <v>0</v>
      </c>
      <c r="L260">
        <f>25.039*$L$202</f>
        <v>0</v>
      </c>
      <c r="M260">
        <f>0+D260+E260+G260+H260+I260+J260+K260+L260</f>
        <v>0</v>
      </c>
      <c r="N260">
        <f>0+D260+F260+G260+H260+I260+J260+K260+L260</f>
        <v>0</v>
      </c>
    </row>
    <row r="265" spans="3:14">
      <c r="C265" t="s">
        <v>73</v>
      </c>
    </row>
    <row r="267" spans="3:14">
      <c r="C267" t="s">
        <v>2</v>
      </c>
    </row>
    <row r="268" spans="3:14">
      <c r="C268" t="s">
        <v>3</v>
      </c>
      <c r="D268" t="s">
        <v>4</v>
      </c>
      <c r="E268" t="s">
        <v>5</v>
      </c>
      <c r="F268" t="s">
        <v>6</v>
      </c>
      <c r="G268" t="s">
        <v>7</v>
      </c>
      <c r="H268" t="s">
        <v>8</v>
      </c>
      <c r="I268" t="s">
        <v>9</v>
      </c>
      <c r="J268" t="s">
        <v>10</v>
      </c>
      <c r="K268" t="s">
        <v>11</v>
      </c>
      <c r="L268" t="s">
        <v>12</v>
      </c>
      <c r="M268" t="s">
        <v>13</v>
      </c>
      <c r="N268" t="s">
        <v>14</v>
      </c>
    </row>
    <row r="269" spans="3:14">
      <c r="C269" t="s">
        <v>15</v>
      </c>
      <c r="D269">
        <f>-22.05*$D$267</f>
        <v>0</v>
      </c>
      <c r="E269">
        <f>446.542*$E$267</f>
        <v>0</v>
      </c>
      <c r="F269">
        <f>-446.047*$F$267</f>
        <v>0</v>
      </c>
      <c r="G269">
        <f>-30.428*$G$267</f>
        <v>0</v>
      </c>
      <c r="H269">
        <f>0*$H$267</f>
        <v>0</v>
      </c>
      <c r="I269">
        <f>-1.178*$I$267</f>
        <v>0</v>
      </c>
      <c r="J269">
        <f>-387.869*$J$267</f>
        <v>0</v>
      </c>
      <c r="K269">
        <f>517.158*$K$267</f>
        <v>0</v>
      </c>
      <c r="L269">
        <f>-0.182*$L$267</f>
        <v>0</v>
      </c>
      <c r="M269">
        <f>0+D269+E269+G269+H269+I269+J269+K269+L269</f>
        <v>0</v>
      </c>
      <c r="N269">
        <f>0+D269+F269+G269+H269+I269+J269+K269+L269</f>
        <v>0</v>
      </c>
    </row>
    <row r="270" spans="3:14">
      <c r="C270" t="s">
        <v>16</v>
      </c>
      <c r="D270">
        <f>-19.541*$D$267</f>
        <v>0</v>
      </c>
      <c r="E270">
        <f>434.282*$E$267</f>
        <v>0</v>
      </c>
      <c r="F270">
        <f>-430.726*$F$267</f>
        <v>0</v>
      </c>
      <c r="G270">
        <f>-29.227*$G$267</f>
        <v>0</v>
      </c>
      <c r="H270">
        <f>0*$H$267</f>
        <v>0</v>
      </c>
      <c r="I270">
        <f>-0.894*$I$267</f>
        <v>0</v>
      </c>
      <c r="J270">
        <f>-334.343*$J$267</f>
        <v>0</v>
      </c>
      <c r="K270">
        <f>445.791*$K$267</f>
        <v>0</v>
      </c>
      <c r="L270">
        <f>-0.176*$L$267</f>
        <v>0</v>
      </c>
      <c r="M270">
        <f>0+D270+E270+G270+H270+I270+J270+K270+L270</f>
        <v>0</v>
      </c>
      <c r="N270">
        <f>0+D270+F270+G270+H270+I270+J270+K270+L270</f>
        <v>0</v>
      </c>
    </row>
    <row r="271" spans="3:14">
      <c r="C271" t="s">
        <v>17</v>
      </c>
      <c r="D271">
        <f>-32.126*$D$267</f>
        <v>0</v>
      </c>
      <c r="E271">
        <f>393.078*$E$267</f>
        <v>0</v>
      </c>
      <c r="F271">
        <f>-413.475*$F$267</f>
        <v>0</v>
      </c>
      <c r="G271">
        <f>-27.332*$G$267</f>
        <v>0</v>
      </c>
      <c r="H271">
        <f>0*$H$267</f>
        <v>0</v>
      </c>
      <c r="I271">
        <f>-2.962*$I$267</f>
        <v>0</v>
      </c>
      <c r="J271">
        <f>-181.798*$J$267</f>
        <v>0</v>
      </c>
      <c r="K271">
        <f>242.398*$K$267</f>
        <v>0</v>
      </c>
      <c r="L271">
        <f>-0.162*$L$267</f>
        <v>0</v>
      </c>
      <c r="M271">
        <f>0+D271+E271+G271+H271+I271+J271+K271+L271</f>
        <v>0</v>
      </c>
      <c r="N271">
        <f>0+D271+F271+G271+H271+I271+J271+K271+L271</f>
        <v>0</v>
      </c>
    </row>
    <row r="272" spans="3:14">
      <c r="C272" t="s">
        <v>18</v>
      </c>
      <c r="D272">
        <f>-42.722*$D$267</f>
        <v>0</v>
      </c>
      <c r="E272">
        <f>362.565*$E$267</f>
        <v>0</v>
      </c>
      <c r="F272">
        <f>-404.136*$F$267</f>
        <v>0</v>
      </c>
      <c r="G272">
        <f>-23.05*$G$267</f>
        <v>0</v>
      </c>
      <c r="H272">
        <f>0*$H$267</f>
        <v>0</v>
      </c>
      <c r="I272">
        <f>-4.852*$I$267</f>
        <v>0</v>
      </c>
      <c r="J272">
        <f>-109.366*$J$267</f>
        <v>0</v>
      </c>
      <c r="K272">
        <f>145.821*$K$267</f>
        <v>0</v>
      </c>
      <c r="L272">
        <f>-0.15*$L$267</f>
        <v>0</v>
      </c>
      <c r="M272">
        <f>0+D272+E272+G272+H272+I272+J272+K272+L272</f>
        <v>0</v>
      </c>
      <c r="N272">
        <f>0+D272+F272+G272+H272+I272+J272+K272+L272</f>
        <v>0</v>
      </c>
    </row>
    <row r="273" spans="3:14">
      <c r="C273" t="s">
        <v>19</v>
      </c>
      <c r="D273">
        <f>-61.684*$D$267</f>
        <v>0</v>
      </c>
      <c r="E273">
        <f>341.565*$E$267</f>
        <v>0</v>
      </c>
      <c r="F273">
        <f>-414.115*$F$267</f>
        <v>0</v>
      </c>
      <c r="G273">
        <f>-17.545*$G$267</f>
        <v>0</v>
      </c>
      <c r="H273">
        <f>0*$H$267</f>
        <v>0</v>
      </c>
      <c r="I273">
        <f>-8.028*$I$267</f>
        <v>0</v>
      </c>
      <c r="J273">
        <f>-106.642*$J$267</f>
        <v>0</v>
      </c>
      <c r="K273">
        <f>142.19*$K$267</f>
        <v>0</v>
      </c>
      <c r="L273">
        <f>-0.14*$L$267</f>
        <v>0</v>
      </c>
      <c r="M273">
        <f>0+D273+E273+G273+H273+I273+J273+K273+L273</f>
        <v>0</v>
      </c>
      <c r="N273">
        <f>0+D273+F273+G273+H273+I273+J273+K273+L273</f>
        <v>0</v>
      </c>
    </row>
    <row r="274" spans="3:14">
      <c r="C274" t="s">
        <v>20</v>
      </c>
      <c r="D274">
        <f>-81.978*$D$267</f>
        <v>0</v>
      </c>
      <c r="E274">
        <f>319.632*$E$267</f>
        <v>0</v>
      </c>
      <c r="F274">
        <f>-423.879*$F$267</f>
        <v>0</v>
      </c>
      <c r="G274">
        <f>-12.415*$G$267</f>
        <v>0</v>
      </c>
      <c r="H274">
        <f>0*$H$267</f>
        <v>0</v>
      </c>
      <c r="I274">
        <f>-11.331*$I$267</f>
        <v>0</v>
      </c>
      <c r="J274">
        <f>-121.389*$J$267</f>
        <v>0</v>
      </c>
      <c r="K274">
        <f>161.852*$K$267</f>
        <v>0</v>
      </c>
      <c r="L274">
        <f>-0.126*$L$267</f>
        <v>0</v>
      </c>
      <c r="M274">
        <f>0+D274+E274+G274+H274+I274+J274+K274+L274</f>
        <v>0</v>
      </c>
      <c r="N274">
        <f>0+D274+F274+G274+H274+I274+J274+K274+L274</f>
        <v>0</v>
      </c>
    </row>
    <row r="275" spans="3:14">
      <c r="C275" t="s">
        <v>21</v>
      </c>
      <c r="D275">
        <f>-79.908*$D$267</f>
        <v>0</v>
      </c>
      <c r="E275">
        <f>310.935*$E$267</f>
        <v>0</v>
      </c>
      <c r="F275">
        <f>-414.054*$F$267</f>
        <v>0</v>
      </c>
      <c r="G275">
        <f>-10.131*$G$267</f>
        <v>0</v>
      </c>
      <c r="H275">
        <f>0*$H$267</f>
        <v>0</v>
      </c>
      <c r="I275">
        <f>-11.153*$I$267</f>
        <v>0</v>
      </c>
      <c r="J275">
        <f>-102.531*$J$267</f>
        <v>0</v>
      </c>
      <c r="K275">
        <f>136.708*$K$267</f>
        <v>0</v>
      </c>
      <c r="L275">
        <f>-0.121*$L$267</f>
        <v>0</v>
      </c>
      <c r="M275">
        <f>0+D275+E275+G275+H275+I275+J275+K275+L275</f>
        <v>0</v>
      </c>
      <c r="N275">
        <f>0+D275+F275+G275+H275+I275+J275+K275+L275</f>
        <v>0</v>
      </c>
    </row>
    <row r="276" spans="3:14">
      <c r="C276" t="s">
        <v>22</v>
      </c>
      <c r="D276">
        <f>-81.06*$D$267</f>
        <v>0</v>
      </c>
      <c r="E276">
        <f>293.002*$E$267</f>
        <v>0</v>
      </c>
      <c r="F276">
        <f>-396.954*$F$267</f>
        <v>0</v>
      </c>
      <c r="G276">
        <f>-10.741*$G$267</f>
        <v>0</v>
      </c>
      <c r="H276">
        <f>0*$H$267</f>
        <v>0</v>
      </c>
      <c r="I276">
        <f>-11.296*$I$267</f>
        <v>0</v>
      </c>
      <c r="J276">
        <f>-53.323*$J$267</f>
        <v>0</v>
      </c>
      <c r="K276">
        <f>71.097*$K$267</f>
        <v>0</v>
      </c>
      <c r="L276">
        <f>-0.11*$L$267</f>
        <v>0</v>
      </c>
      <c r="M276">
        <f>0+D276+E276+G276+H276+I276+J276+K276+L276</f>
        <v>0</v>
      </c>
      <c r="N276">
        <f>0+D276+F276+G276+H276+I276+J276+K276+L276</f>
        <v>0</v>
      </c>
    </row>
    <row r="277" spans="3:14">
      <c r="C277" t="s">
        <v>23</v>
      </c>
      <c r="D277">
        <f>-90.184*$D$267</f>
        <v>0</v>
      </c>
      <c r="E277">
        <f>277.846*$E$267</f>
        <v>0</v>
      </c>
      <c r="F277">
        <f>-391.115*$F$267</f>
        <v>0</v>
      </c>
      <c r="G277">
        <f>-10.015*$G$267</f>
        <v>0</v>
      </c>
      <c r="H277">
        <f>0*$H$267</f>
        <v>0</v>
      </c>
      <c r="I277">
        <f>-12.708*$I$267</f>
        <v>0</v>
      </c>
      <c r="J277">
        <f>-32.809*$J$267</f>
        <v>0</v>
      </c>
      <c r="K277">
        <f>43.745*$K$267</f>
        <v>0</v>
      </c>
      <c r="L277">
        <f>-0.102*$L$267</f>
        <v>0</v>
      </c>
      <c r="M277">
        <f>0+D277+E277+G277+H277+I277+J277+K277+L277</f>
        <v>0</v>
      </c>
      <c r="N277">
        <f>0+D277+F277+G277+H277+I277+J277+K277+L277</f>
        <v>0</v>
      </c>
    </row>
    <row r="278" spans="3:14">
      <c r="C278" t="s">
        <v>24</v>
      </c>
      <c r="D278">
        <f>-93.964*$D$267</f>
        <v>0</v>
      </c>
      <c r="E278">
        <f>258.533*$E$267</f>
        <v>0</v>
      </c>
      <c r="F278">
        <f>-381.633*$F$267</f>
        <v>0</v>
      </c>
      <c r="G278">
        <f>-4.971*$G$267</f>
        <v>0</v>
      </c>
      <c r="H278">
        <f>0*$H$267</f>
        <v>0</v>
      </c>
      <c r="I278">
        <f>-13.56*$I$267</f>
        <v>0</v>
      </c>
      <c r="J278">
        <f>-43.581*$J$267</f>
        <v>0</v>
      </c>
      <c r="K278">
        <f>58.108*$K$267</f>
        <v>0</v>
      </c>
      <c r="L278">
        <f>-0.091*$L$267</f>
        <v>0</v>
      </c>
      <c r="M278">
        <f>0+D278+E278+G278+H278+I278+J278+K278+L278</f>
        <v>0</v>
      </c>
      <c r="N278">
        <f>0+D278+F278+G278+H278+I278+J278+K278+L278</f>
        <v>0</v>
      </c>
    </row>
    <row r="279" spans="3:14">
      <c r="C279" t="s">
        <v>25</v>
      </c>
      <c r="D279">
        <f>-102.096*$D$267</f>
        <v>0</v>
      </c>
      <c r="E279">
        <f>238.132*$E$267</f>
        <v>0</v>
      </c>
      <c r="F279">
        <f>-376.606*$F$267</f>
        <v>0</v>
      </c>
      <c r="G279">
        <f>-0.863*$G$267</f>
        <v>0</v>
      </c>
      <c r="H279">
        <f>0*$H$267</f>
        <v>0</v>
      </c>
      <c r="I279">
        <f>-14.983*$I$267</f>
        <v>0</v>
      </c>
      <c r="J279">
        <f>-58.58*$J$267</f>
        <v>0</v>
      </c>
      <c r="K279">
        <f>78.107*$K$267</f>
        <v>0</v>
      </c>
      <c r="L279">
        <f>-0.076*$L$267</f>
        <v>0</v>
      </c>
      <c r="M279">
        <f>0+D279+E279+G279+H279+I279+J279+K279+L279</f>
        <v>0</v>
      </c>
      <c r="N279">
        <f>0+D279+F279+G279+H279+I279+J279+K279+L279</f>
        <v>0</v>
      </c>
    </row>
    <row r="280" spans="3:14">
      <c r="C280" t="s">
        <v>26</v>
      </c>
      <c r="D280">
        <f>-105.08*$D$267</f>
        <v>0</v>
      </c>
      <c r="E280">
        <f>217.247*$E$267</f>
        <v>0</v>
      </c>
      <c r="F280">
        <f>-355.285*$F$267</f>
        <v>0</v>
      </c>
      <c r="G280">
        <f>-2.013*$G$267</f>
        <v>0</v>
      </c>
      <c r="H280">
        <f>0*$H$267</f>
        <v>0</v>
      </c>
      <c r="I280">
        <f>-15.315*$I$267</f>
        <v>0</v>
      </c>
      <c r="J280">
        <f>-47.52*$J$267</f>
        <v>0</v>
      </c>
      <c r="K280">
        <f>63.359*$K$267</f>
        <v>0</v>
      </c>
      <c r="L280">
        <f>-0.069*$L$267</f>
        <v>0</v>
      </c>
      <c r="M280">
        <f>0+D280+E280+G280+H280+I280+J280+K280+L280</f>
        <v>0</v>
      </c>
      <c r="N280">
        <f>0+D280+F280+G280+H280+I280+J280+K280+L280</f>
        <v>0</v>
      </c>
    </row>
    <row r="281" spans="3:14">
      <c r="C281" t="s">
        <v>27</v>
      </c>
      <c r="D281">
        <f>-105.226*$D$267</f>
        <v>0</v>
      </c>
      <c r="E281">
        <f>190.143*$E$267</f>
        <v>0</v>
      </c>
      <c r="F281">
        <f>-321.673*$F$267</f>
        <v>0</v>
      </c>
      <c r="G281">
        <f>-6.675*$G$267</f>
        <v>0</v>
      </c>
      <c r="H281">
        <f>0*$H$267</f>
        <v>0</v>
      </c>
      <c r="I281">
        <f>-15.04*$I$267</f>
        <v>0</v>
      </c>
      <c r="J281">
        <f>-16.468*$J$267</f>
        <v>0</v>
      </c>
      <c r="K281">
        <f>21.958*$K$267</f>
        <v>0</v>
      </c>
      <c r="L281">
        <f>-0.055*$L$267</f>
        <v>0</v>
      </c>
      <c r="M281">
        <f>0+D281+E281+G281+H281+I281+J281+K281+L281</f>
        <v>0</v>
      </c>
      <c r="N281">
        <f>0+D281+F281+G281+H281+I281+J281+K281+L281</f>
        <v>0</v>
      </c>
    </row>
    <row r="282" spans="3:14">
      <c r="C282" t="s">
        <v>28</v>
      </c>
      <c r="D282">
        <f>-110.81*$D$267</f>
        <v>0</v>
      </c>
      <c r="E282">
        <f>162.884*$E$267</f>
        <v>0</v>
      </c>
      <c r="F282">
        <f>-301.925*$F$267</f>
        <v>0</v>
      </c>
      <c r="G282">
        <f>-8.802*$G$267</f>
        <v>0</v>
      </c>
      <c r="H282">
        <f>0*$H$267</f>
        <v>0</v>
      </c>
      <c r="I282">
        <f>-15.744*$I$267</f>
        <v>0</v>
      </c>
      <c r="J282">
        <f>-5.784*$J$267</f>
        <v>0</v>
      </c>
      <c r="K282">
        <f>7.712*$K$267</f>
        <v>0</v>
      </c>
      <c r="L282">
        <f>-0.044*$L$267</f>
        <v>0</v>
      </c>
      <c r="M282">
        <f>0+D282+E282+G282+H282+I282+J282+K282+L282</f>
        <v>0</v>
      </c>
      <c r="N282">
        <f>0+D282+F282+G282+H282+I282+J282+K282+L282</f>
        <v>0</v>
      </c>
    </row>
    <row r="283" spans="3:14">
      <c r="C283" t="s">
        <v>29</v>
      </c>
      <c r="D283">
        <f>-106.615*$D$267</f>
        <v>0</v>
      </c>
      <c r="E283">
        <f>142.069*$E$267</f>
        <v>0</v>
      </c>
      <c r="F283">
        <f>-279.274*$F$267</f>
        <v>0</v>
      </c>
      <c r="G283">
        <f>-5.784*$G$267</f>
        <v>0</v>
      </c>
      <c r="H283">
        <f>0*$H$267</f>
        <v>0</v>
      </c>
      <c r="I283">
        <f>-15.304*$I$267</f>
        <v>0</v>
      </c>
      <c r="J283">
        <f>-21.963*$J$267</f>
        <v>0</v>
      </c>
      <c r="K283">
        <f>29.283*$K$267</f>
        <v>0</v>
      </c>
      <c r="L283">
        <f>-0.036*$L$267</f>
        <v>0</v>
      </c>
      <c r="M283">
        <f>0+D283+E283+G283+H283+I283+J283+K283+L283</f>
        <v>0</v>
      </c>
      <c r="N283">
        <f>0+D283+F283+G283+H283+I283+J283+K283+L283</f>
        <v>0</v>
      </c>
    </row>
    <row r="284" spans="3:14">
      <c r="C284" t="s">
        <v>30</v>
      </c>
      <c r="D284">
        <f>-108.639*$D$267</f>
        <v>0</v>
      </c>
      <c r="E284">
        <f>125.801*$E$267</f>
        <v>0</v>
      </c>
      <c r="F284">
        <f>-266.108*$F$267</f>
        <v>0</v>
      </c>
      <c r="G284">
        <f>-3.583*$G$267</f>
        <v>0</v>
      </c>
      <c r="H284">
        <f>0*$H$267</f>
        <v>0</v>
      </c>
      <c r="I284">
        <f>-15.732*$I$267</f>
        <v>0</v>
      </c>
      <c r="J284">
        <f>-40.153*$J$267</f>
        <v>0</v>
      </c>
      <c r="K284">
        <f>53.537*$K$267</f>
        <v>0</v>
      </c>
      <c r="L284">
        <f>-0.02*$L$267</f>
        <v>0</v>
      </c>
      <c r="M284">
        <f>0+D284+E284+G284+H284+I284+J284+K284+L284</f>
        <v>0</v>
      </c>
      <c r="N284">
        <f>0+D284+F284+G284+H284+I284+J284+K284+L284</f>
        <v>0</v>
      </c>
    </row>
    <row r="285" spans="3:14">
      <c r="C285" t="s">
        <v>31</v>
      </c>
      <c r="D285">
        <f>-116.25*$D$267</f>
        <v>0</v>
      </c>
      <c r="E285">
        <f>96.709*$E$267</f>
        <v>0</v>
      </c>
      <c r="F285">
        <f>-242.335*$F$267</f>
        <v>0</v>
      </c>
      <c r="G285">
        <f>-5.673*$G$267</f>
        <v>0</v>
      </c>
      <c r="H285">
        <f>0*$H$267</f>
        <v>0</v>
      </c>
      <c r="I285">
        <f>-16.683*$I$267</f>
        <v>0</v>
      </c>
      <c r="J285">
        <f>-27.192*$J$267</f>
        <v>0</v>
      </c>
      <c r="K285">
        <f>36.255*$K$267</f>
        <v>0</v>
      </c>
      <c r="L285">
        <f>-0.014*$L$267</f>
        <v>0</v>
      </c>
      <c r="M285">
        <f>0+D285+E285+G285+H285+I285+J285+K285+L285</f>
        <v>0</v>
      </c>
      <c r="N285">
        <f>0+D285+F285+G285+H285+I285+J285+K285+L285</f>
        <v>0</v>
      </c>
    </row>
    <row r="286" spans="3:14">
      <c r="C286" t="s">
        <v>32</v>
      </c>
      <c r="D286">
        <f>-99.756*$D$267</f>
        <v>0</v>
      </c>
      <c r="E286">
        <f>72.533*$E$267</f>
        <v>0</v>
      </c>
      <c r="F286">
        <f>-187.784*$F$267</f>
        <v>0</v>
      </c>
      <c r="G286">
        <f>-9.15*$G$267</f>
        <v>0</v>
      </c>
      <c r="H286">
        <f>0*$H$267</f>
        <v>0</v>
      </c>
      <c r="I286">
        <f>-14.015*$I$267</f>
        <v>0</v>
      </c>
      <c r="J286">
        <f>2.99*$J$267</f>
        <v>0</v>
      </c>
      <c r="K286">
        <f>-3.987*$K$267</f>
        <v>0</v>
      </c>
      <c r="L286">
        <f>-0.002033*$L$267</f>
        <v>0</v>
      </c>
      <c r="M286">
        <f>0+D286+E286+G286+H286+I286+J286+K286+L286</f>
        <v>0</v>
      </c>
      <c r="N286">
        <f>0+D286+F286+G286+H286+I286+J286+K286+L286</f>
        <v>0</v>
      </c>
    </row>
    <row r="287" spans="3:14">
      <c r="C287" t="s">
        <v>33</v>
      </c>
      <c r="D287">
        <f>-87.88*$D$267</f>
        <v>0</v>
      </c>
      <c r="E287">
        <f>45.579*$E$267</f>
        <v>0</v>
      </c>
      <c r="F287">
        <f>-142.466*$F$267</f>
        <v>0</v>
      </c>
      <c r="G287">
        <f>-10.865*$G$267</f>
        <v>0</v>
      </c>
      <c r="H287">
        <f>0*$H$267</f>
        <v>0</v>
      </c>
      <c r="I287">
        <f>-12.168*$I$267</f>
        <v>0</v>
      </c>
      <c r="J287">
        <f>1.324*$J$267</f>
        <v>0</v>
      </c>
      <c r="K287">
        <f>-1.766*$K$267</f>
        <v>0</v>
      </c>
      <c r="L287">
        <f>0.003857*$L$267</f>
        <v>0</v>
      </c>
      <c r="M287">
        <f>0+D287+E287+G287+H287+I287+J287+K287+L287</f>
        <v>0</v>
      </c>
      <c r="N287">
        <f>0+D287+F287+G287+H287+I287+J287+K287+L287</f>
        <v>0</v>
      </c>
    </row>
    <row r="288" spans="3:14">
      <c r="C288" t="s">
        <v>34</v>
      </c>
      <c r="D288">
        <f>-69.382*$D$267</f>
        <v>0</v>
      </c>
      <c r="E288">
        <f>20.197*$E$267</f>
        <v>0</v>
      </c>
      <c r="F288">
        <f>-103.611*$F$267</f>
        <v>0</v>
      </c>
      <c r="G288">
        <f>-9.465*$G$267</f>
        <v>0</v>
      </c>
      <c r="H288">
        <f>0*$H$267</f>
        <v>0</v>
      </c>
      <c r="I288">
        <f>-9.608*$I$267</f>
        <v>0</v>
      </c>
      <c r="J288">
        <f>-44.475*$J$267</f>
        <v>0</v>
      </c>
      <c r="K288">
        <f>59.3*$K$267</f>
        <v>0</v>
      </c>
      <c r="L288">
        <f>0.004027*$L$267</f>
        <v>0</v>
      </c>
      <c r="M288">
        <f>0+D288+E288+G288+H288+I288+J288+K288+L288</f>
        <v>0</v>
      </c>
      <c r="N288">
        <f>0+D288+F288+G288+H288+I288+J288+K288+L288</f>
        <v>0</v>
      </c>
    </row>
    <row r="289" spans="3:14">
      <c r="C289" t="s">
        <v>35</v>
      </c>
      <c r="D289">
        <f>-20.208*$D$267</f>
        <v>0</v>
      </c>
      <c r="E289">
        <f>11.94*$E$267</f>
        <v>0</v>
      </c>
      <c r="F289">
        <f>-32.809*$F$267</f>
        <v>0</v>
      </c>
      <c r="G289">
        <f>-3.397*$G$267</f>
        <v>0</v>
      </c>
      <c r="H289">
        <f>0*$H$267</f>
        <v>0</v>
      </c>
      <c r="I289">
        <f>-2.752*$I$267</f>
        <v>0</v>
      </c>
      <c r="J289">
        <f>-108.574*$J$267</f>
        <v>0</v>
      </c>
      <c r="K289">
        <f>144.765*$K$267</f>
        <v>0</v>
      </c>
      <c r="L289">
        <f>0.004396*$L$267</f>
        <v>0</v>
      </c>
      <c r="M289">
        <f>0+D289+E289+G289+H289+I289+J289+K289+L289</f>
        <v>0</v>
      </c>
      <c r="N289">
        <f>0+D289+F289+G289+H289+I289+J289+K289+L289</f>
        <v>0</v>
      </c>
    </row>
    <row r="290" spans="3:14">
      <c r="C290" t="s">
        <v>36</v>
      </c>
      <c r="D290">
        <f>-18.113*$D$267</f>
        <v>0</v>
      </c>
      <c r="E290">
        <f>5.457*$E$267</f>
        <v>0</v>
      </c>
      <c r="F290">
        <f>-25.322*$F$267</f>
        <v>0</v>
      </c>
      <c r="G290">
        <f>-2.167*$G$267</f>
        <v>0</v>
      </c>
      <c r="H290">
        <f>0*$H$267</f>
        <v>0</v>
      </c>
      <c r="I290">
        <f>-2.562*$I$267</f>
        <v>0</v>
      </c>
      <c r="J290">
        <f>-131.329*$J$267</f>
        <v>0</v>
      </c>
      <c r="K290">
        <f>175.106*$K$267</f>
        <v>0</v>
      </c>
      <c r="L290">
        <f>-0.002685*$L$267</f>
        <v>0</v>
      </c>
      <c r="M290">
        <f>0+D290+E290+G290+H290+I290+J290+K290+L290</f>
        <v>0</v>
      </c>
      <c r="N290">
        <f>0+D290+F290+G290+H290+I290+J290+K290+L290</f>
        <v>0</v>
      </c>
    </row>
    <row r="291" spans="3:14">
      <c r="C291" t="s">
        <v>36</v>
      </c>
      <c r="D291">
        <f>-19.743*$D$267</f>
        <v>0</v>
      </c>
      <c r="E291">
        <f>1.966*$E$267</f>
        <v>0</v>
      </c>
      <c r="F291">
        <f>-29.202*$F$267</f>
        <v>0</v>
      </c>
      <c r="G291">
        <f>-1.851*$G$267</f>
        <v>0</v>
      </c>
      <c r="H291">
        <f>0*$H$267</f>
        <v>0</v>
      </c>
      <c r="I291">
        <f>-2.814*$I$267</f>
        <v>0</v>
      </c>
      <c r="J291">
        <f>-127.956*$J$267</f>
        <v>0</v>
      </c>
      <c r="K291">
        <f>170.608*$K$267</f>
        <v>0</v>
      </c>
      <c r="L291">
        <f>0.522*$L$267</f>
        <v>0</v>
      </c>
      <c r="M291">
        <f>0+D291+E291+G291+H291+I291+J291+K291+L291</f>
        <v>0</v>
      </c>
      <c r="N291">
        <f>0+D291+F291+G291+H291+I291+J291+K291+L291</f>
        <v>0</v>
      </c>
    </row>
    <row r="292" spans="3:14">
      <c r="C292" t="s">
        <v>37</v>
      </c>
      <c r="D292">
        <f>-19.743*$D$267</f>
        <v>0</v>
      </c>
      <c r="E292">
        <f>1.966*$E$267</f>
        <v>0</v>
      </c>
      <c r="F292">
        <f>-29.202*$F$267</f>
        <v>0</v>
      </c>
      <c r="G292">
        <f>-1.851*$G$267</f>
        <v>0</v>
      </c>
      <c r="H292">
        <f>0*$H$267</f>
        <v>0</v>
      </c>
      <c r="I292">
        <f>-2.814*$I$267</f>
        <v>0</v>
      </c>
      <c r="J292">
        <f>-127.956*$J$267</f>
        <v>0</v>
      </c>
      <c r="K292">
        <f>170.608*$K$267</f>
        <v>0</v>
      </c>
      <c r="L292">
        <f>0.522*$L$267</f>
        <v>0</v>
      </c>
      <c r="M292">
        <f>0+D292+E292+G292+H292+I292+J292+K292+L292</f>
        <v>0</v>
      </c>
      <c r="N292">
        <f>0+D292+F292+G292+H292+I292+J292+K292+L292</f>
        <v>0</v>
      </c>
    </row>
    <row r="293" spans="3:14">
      <c r="C293" t="s">
        <v>38</v>
      </c>
      <c r="D293">
        <f>-5.712*$D$267</f>
        <v>0</v>
      </c>
      <c r="E293">
        <f>48.971*$E$267</f>
        <v>0</v>
      </c>
      <c r="F293">
        <f>-51.703*$F$267</f>
        <v>0</v>
      </c>
      <c r="G293">
        <f>-6.301*$G$267</f>
        <v>0</v>
      </c>
      <c r="H293">
        <f>0*$H$267</f>
        <v>0</v>
      </c>
      <c r="I293">
        <f>-0.433*$I$267</f>
        <v>0</v>
      </c>
      <c r="J293">
        <f>-108.517*$J$267</f>
        <v>0</v>
      </c>
      <c r="K293">
        <f>144.69*$K$267</f>
        <v>0</v>
      </c>
      <c r="L293">
        <f>-3.719*$L$267</f>
        <v>0</v>
      </c>
      <c r="M293">
        <f>0+D293+E293+G293+H293+I293+J293+K293+L293</f>
        <v>0</v>
      </c>
      <c r="N293">
        <f>0+D293+F293+G293+H293+I293+J293+K293+L293</f>
        <v>0</v>
      </c>
    </row>
    <row r="294" spans="3:14">
      <c r="C294" t="s">
        <v>39</v>
      </c>
      <c r="D294">
        <f>-52.634*$D$267</f>
        <v>0</v>
      </c>
      <c r="E294">
        <f>31.387*$E$267</f>
        <v>0</v>
      </c>
      <c r="F294">
        <f>-100.286*$F$267</f>
        <v>0</v>
      </c>
      <c r="G294">
        <f>-11.446*$G$267</f>
        <v>0</v>
      </c>
      <c r="H294">
        <f>0*$H$267</f>
        <v>0</v>
      </c>
      <c r="I294">
        <f>-6.993*$I$267</f>
        <v>0</v>
      </c>
      <c r="J294">
        <f>-40.127*$J$267</f>
        <v>0</v>
      </c>
      <c r="K294">
        <f>53.503*$K$267</f>
        <v>0</v>
      </c>
      <c r="L294">
        <f>-3.776*$L$267</f>
        <v>0</v>
      </c>
      <c r="M294">
        <f>0+D294+E294+G294+H294+I294+J294+K294+L294</f>
        <v>0</v>
      </c>
      <c r="N294">
        <f>0+D294+F294+G294+H294+I294+J294+K294+L294</f>
        <v>0</v>
      </c>
    </row>
    <row r="295" spans="3:14">
      <c r="C295" t="s">
        <v>40</v>
      </c>
      <c r="D295">
        <f>-67.13*$D$267</f>
        <v>0</v>
      </c>
      <c r="E295">
        <f>37.486*$E$267</f>
        <v>0</v>
      </c>
      <c r="F295">
        <f>-124.412*$F$267</f>
        <v>0</v>
      </c>
      <c r="G295">
        <f>-10.654*$G$267</f>
        <v>0</v>
      </c>
      <c r="H295">
        <f>0*$H$267</f>
        <v>0</v>
      </c>
      <c r="I295">
        <f>-9.128*$I$267</f>
        <v>0</v>
      </c>
      <c r="J295">
        <f>-15.602*$J$267</f>
        <v>0</v>
      </c>
      <c r="K295">
        <f>20.803*$K$267</f>
        <v>0</v>
      </c>
      <c r="L295">
        <f>-4.238*$L$267</f>
        <v>0</v>
      </c>
      <c r="M295">
        <f>0+D295+E295+G295+H295+I295+J295+K295+L295</f>
        <v>0</v>
      </c>
      <c r="N295">
        <f>0+D295+F295+G295+H295+I295+J295+K295+L295</f>
        <v>0</v>
      </c>
    </row>
    <row r="296" spans="3:14">
      <c r="C296" t="s">
        <v>41</v>
      </c>
      <c r="D296">
        <f>-77.825*$D$267</f>
        <v>0</v>
      </c>
      <c r="E296">
        <f>48.094*$E$267</f>
        <v>0</v>
      </c>
      <c r="F296">
        <f>-153.655*$F$267</f>
        <v>0</v>
      </c>
      <c r="G296">
        <f>-7.076*$G$267</f>
        <v>0</v>
      </c>
      <c r="H296">
        <f>0*$H$267</f>
        <v>0</v>
      </c>
      <c r="I296">
        <f>-10.939*$I$267</f>
        <v>0</v>
      </c>
      <c r="J296">
        <f>-31.12*$J$267</f>
        <v>0</v>
      </c>
      <c r="K296">
        <f>41.493*$K$267</f>
        <v>0</v>
      </c>
      <c r="L296">
        <f>-4.89*$L$267</f>
        <v>0</v>
      </c>
      <c r="M296">
        <f>0+D296+E296+G296+H296+I296+J296+K296+L296</f>
        <v>0</v>
      </c>
      <c r="N296">
        <f>0+D296+F296+G296+H296+I296+J296+K296+L296</f>
        <v>0</v>
      </c>
    </row>
    <row r="297" spans="3:14">
      <c r="C297" t="s">
        <v>42</v>
      </c>
      <c r="D297">
        <f>-95.922*$D$267</f>
        <v>0</v>
      </c>
      <c r="E297">
        <f>51.932*$E$267</f>
        <v>0</v>
      </c>
      <c r="F297">
        <f>-184.156*$F$267</f>
        <v>0</v>
      </c>
      <c r="G297">
        <f>-4.559*$G$267</f>
        <v>0</v>
      </c>
      <c r="H297">
        <f>0*$H$267</f>
        <v>0</v>
      </c>
      <c r="I297">
        <f>-13.761*$I$267</f>
        <v>0</v>
      </c>
      <c r="J297">
        <f>-53.647*$J$267</f>
        <v>0</v>
      </c>
      <c r="K297">
        <f>71.529*$K$267</f>
        <v>0</v>
      </c>
      <c r="L297">
        <f>-5.451*$L$267</f>
        <v>0</v>
      </c>
      <c r="M297">
        <f>0+D297+E297+G297+H297+I297+J297+K297+L297</f>
        <v>0</v>
      </c>
      <c r="N297">
        <f>0+D297+F297+G297+H297+I297+J297+K297+L297</f>
        <v>0</v>
      </c>
    </row>
    <row r="298" spans="3:14">
      <c r="C298" t="s">
        <v>43</v>
      </c>
      <c r="D298">
        <f>-91.703*$D$267</f>
        <v>0</v>
      </c>
      <c r="E298">
        <f>60.097*$E$267</f>
        <v>0</v>
      </c>
      <c r="F298">
        <f>-186.821*$F$267</f>
        <v>0</v>
      </c>
      <c r="G298">
        <f>-4.551*$G$267</f>
        <v>0</v>
      </c>
      <c r="H298">
        <f>0*$H$267</f>
        <v>0</v>
      </c>
      <c r="I298">
        <f>-13.122*$I$267</f>
        <v>0</v>
      </c>
      <c r="J298">
        <f>-51.049*$J$267</f>
        <v>0</v>
      </c>
      <c r="K298">
        <f>68.065*$K$267</f>
        <v>0</v>
      </c>
      <c r="L298">
        <f>-6.551*$L$267</f>
        <v>0</v>
      </c>
      <c r="M298">
        <f>0+D298+E298+G298+H298+I298+J298+K298+L298</f>
        <v>0</v>
      </c>
      <c r="N298">
        <f>0+D298+F298+G298+H298+I298+J298+K298+L298</f>
        <v>0</v>
      </c>
    </row>
    <row r="299" spans="3:14">
      <c r="C299" t="s">
        <v>44</v>
      </c>
      <c r="D299">
        <f>-94.368*$D$267</f>
        <v>0</v>
      </c>
      <c r="E299">
        <f>55.722*$E$267</f>
        <v>0</v>
      </c>
      <c r="F299">
        <f>-182.26*$F$267</f>
        <v>0</v>
      </c>
      <c r="G299">
        <f>-7.709*$G$267</f>
        <v>0</v>
      </c>
      <c r="H299">
        <f>0*$H$267</f>
        <v>0</v>
      </c>
      <c r="I299">
        <f>-13.302*$I$267</f>
        <v>0</v>
      </c>
      <c r="J299">
        <f>-23.441*$J$267</f>
        <v>0</v>
      </c>
      <c r="K299">
        <f>31.254*$K$267</f>
        <v>0</v>
      </c>
      <c r="L299">
        <f>-7.535*$L$267</f>
        <v>0</v>
      </c>
      <c r="M299">
        <f>0+D299+E299+G299+H299+I299+J299+K299+L299</f>
        <v>0</v>
      </c>
      <c r="N299">
        <f>0+D299+F299+G299+H299+I299+J299+K299+L299</f>
        <v>0</v>
      </c>
    </row>
    <row r="300" spans="3:14">
      <c r="C300" t="s">
        <v>45</v>
      </c>
      <c r="D300">
        <f>-103.345*$D$267</f>
        <v>0</v>
      </c>
      <c r="E300">
        <f>56.314*$E$267</f>
        <v>0</v>
      </c>
      <c r="F300">
        <f>-191.595*$F$267</f>
        <v>0</v>
      </c>
      <c r="G300">
        <f>-8.581*$G$267</f>
        <v>0</v>
      </c>
      <c r="H300">
        <f>0*$H$267</f>
        <v>0</v>
      </c>
      <c r="I300">
        <f>-14.588*$I$267</f>
        <v>0</v>
      </c>
      <c r="J300">
        <f>-17.18*$J$267</f>
        <v>0</v>
      </c>
      <c r="K300">
        <f>22.907*$K$267</f>
        <v>0</v>
      </c>
      <c r="L300">
        <f>-8.855*$L$267</f>
        <v>0</v>
      </c>
      <c r="M300">
        <f>0+D300+E300+G300+H300+I300+J300+K300+L300</f>
        <v>0</v>
      </c>
      <c r="N300">
        <f>0+D300+F300+G300+H300+I300+J300+K300+L300</f>
        <v>0</v>
      </c>
    </row>
    <row r="301" spans="3:14">
      <c r="C301" t="s">
        <v>46</v>
      </c>
      <c r="D301">
        <f>-104.109*$D$267</f>
        <v>0</v>
      </c>
      <c r="E301">
        <f>61.263*$E$267</f>
        <v>0</v>
      </c>
      <c r="F301">
        <f>-197.06*$F$267</f>
        <v>0</v>
      </c>
      <c r="G301">
        <f>-4.253*$G$267</f>
        <v>0</v>
      </c>
      <c r="H301">
        <f>0*$H$267</f>
        <v>0</v>
      </c>
      <c r="I301">
        <f>-14.961*$I$267</f>
        <v>0</v>
      </c>
      <c r="J301">
        <f>-35.918*$J$267</f>
        <v>0</v>
      </c>
      <c r="K301">
        <f>47.891*$K$267</f>
        <v>0</v>
      </c>
      <c r="L301">
        <f>-10.511*$L$267</f>
        <v>0</v>
      </c>
      <c r="M301">
        <f>0+D301+E301+G301+H301+I301+J301+K301+L301</f>
        <v>0</v>
      </c>
      <c r="N301">
        <f>0+D301+F301+G301+H301+I301+J301+K301+L301</f>
        <v>0</v>
      </c>
    </row>
    <row r="302" spans="3:14">
      <c r="C302" t="s">
        <v>47</v>
      </c>
      <c r="D302">
        <f>-108.672*$D$267</f>
        <v>0</v>
      </c>
      <c r="E302">
        <f>65.186*$E$267</f>
        <v>0</v>
      </c>
      <c r="F302">
        <f>-211.812*$F$267</f>
        <v>0</v>
      </c>
      <c r="G302">
        <f>-0.428*$G$267</f>
        <v>0</v>
      </c>
      <c r="H302">
        <f>0*$H$267</f>
        <v>0</v>
      </c>
      <c r="I302">
        <f>-15.857*$I$267</f>
        <v>0</v>
      </c>
      <c r="J302">
        <f>-55.355*$J$267</f>
        <v>0</v>
      </c>
      <c r="K302">
        <f>73.807*$K$267</f>
        <v>0</v>
      </c>
      <c r="L302">
        <f>-12.231*$L$267</f>
        <v>0</v>
      </c>
      <c r="M302">
        <f>0+D302+E302+G302+H302+I302+J302+K302+L302</f>
        <v>0</v>
      </c>
      <c r="N302">
        <f>0+D302+F302+G302+H302+I302+J302+K302+L302</f>
        <v>0</v>
      </c>
    </row>
    <row r="303" spans="3:14">
      <c r="C303" t="s">
        <v>48</v>
      </c>
      <c r="D303">
        <f>-108.867*$D$267</f>
        <v>0</v>
      </c>
      <c r="E303">
        <f>62.427*$E$267</f>
        <v>0</v>
      </c>
      <c r="F303">
        <f>-206.798*$F$267</f>
        <v>0</v>
      </c>
      <c r="G303">
        <f>-1.773*$G$267</f>
        <v>0</v>
      </c>
      <c r="H303">
        <f>0*$H$267</f>
        <v>0</v>
      </c>
      <c r="I303">
        <f>-15.784*$I$267</f>
        <v>0</v>
      </c>
      <c r="J303">
        <f>-47.363*$J$267</f>
        <v>0</v>
      </c>
      <c r="K303">
        <f>63.15*$K$267</f>
        <v>0</v>
      </c>
      <c r="L303">
        <f>-14.492*$L$267</f>
        <v>0</v>
      </c>
      <c r="M303">
        <f>0+D303+E303+G303+H303+I303+J303+K303+L303</f>
        <v>0</v>
      </c>
      <c r="N303">
        <f>0+D303+F303+G303+H303+I303+J303+K303+L303</f>
        <v>0</v>
      </c>
    </row>
    <row r="304" spans="3:14">
      <c r="C304" t="s">
        <v>49</v>
      </c>
      <c r="D304">
        <f>-105.525*$D$267</f>
        <v>0</v>
      </c>
      <c r="E304">
        <f>53.97*$E$267</f>
        <v>0</v>
      </c>
      <c r="F304">
        <f>-188.241*$F$267</f>
        <v>0</v>
      </c>
      <c r="G304">
        <f>-6.57*$G$267</f>
        <v>0</v>
      </c>
      <c r="H304">
        <f>0*$H$267</f>
        <v>0</v>
      </c>
      <c r="I304">
        <f>-14.999*$I$267</f>
        <v>0</v>
      </c>
      <c r="J304">
        <f>-19.747*$J$267</f>
        <v>0</v>
      </c>
      <c r="K304">
        <f>26.329*$K$267</f>
        <v>0</v>
      </c>
      <c r="L304">
        <f>-16.687*$L$267</f>
        <v>0</v>
      </c>
      <c r="M304">
        <f>0+D304+E304+G304+H304+I304+J304+K304+L304</f>
        <v>0</v>
      </c>
      <c r="N304">
        <f>0+D304+F304+G304+H304+I304+J304+K304+L304</f>
        <v>0</v>
      </c>
    </row>
    <row r="305" spans="3:14">
      <c r="C305" t="s">
        <v>50</v>
      </c>
      <c r="D305">
        <f>-108.137*$D$267</f>
        <v>0</v>
      </c>
      <c r="E305">
        <f>48.185*$E$267</f>
        <v>0</v>
      </c>
      <c r="F305">
        <f>-187.206*$F$267</f>
        <v>0</v>
      </c>
      <c r="G305">
        <f>-8.653*$G$267</f>
        <v>0</v>
      </c>
      <c r="H305">
        <f>0*$H$267</f>
        <v>0</v>
      </c>
      <c r="I305">
        <f>-15.281*$I$267</f>
        <v>0</v>
      </c>
      <c r="J305">
        <f>-10.427*$J$267</f>
        <v>0</v>
      </c>
      <c r="K305">
        <f>13.902*$K$267</f>
        <v>0</v>
      </c>
      <c r="L305">
        <f>-18.561*$L$267</f>
        <v>0</v>
      </c>
      <c r="M305">
        <f>0+D305+E305+G305+H305+I305+J305+K305+L305</f>
        <v>0</v>
      </c>
      <c r="N305">
        <f>0+D305+F305+G305+H305+I305+J305+K305+L305</f>
        <v>0</v>
      </c>
    </row>
    <row r="306" spans="3:14">
      <c r="C306" t="s">
        <v>51</v>
      </c>
      <c r="D306">
        <f>-102.871*$D$267</f>
        <v>0</v>
      </c>
      <c r="E306">
        <f>48.242*$E$267</f>
        <v>0</v>
      </c>
      <c r="F306">
        <f>-185.715*$F$267</f>
        <v>0</v>
      </c>
      <c r="G306">
        <f>-5.612*$G$267</f>
        <v>0</v>
      </c>
      <c r="H306">
        <f>0*$H$267</f>
        <v>0</v>
      </c>
      <c r="I306">
        <f>-14.698*$I$267</f>
        <v>0</v>
      </c>
      <c r="J306">
        <f>-26.639*$J$267</f>
        <v>0</v>
      </c>
      <c r="K306">
        <f>35.519*$K$267</f>
        <v>0</v>
      </c>
      <c r="L306">
        <f>-19.138*$L$267</f>
        <v>0</v>
      </c>
      <c r="M306">
        <f>0+D306+E306+G306+H306+I306+J306+K306+L306</f>
        <v>0</v>
      </c>
      <c r="N306">
        <f>0+D306+F306+G306+H306+I306+J306+K306+L306</f>
        <v>0</v>
      </c>
    </row>
    <row r="307" spans="3:14">
      <c r="C307" t="s">
        <v>52</v>
      </c>
      <c r="D307">
        <f>-103.508*$D$267</f>
        <v>0</v>
      </c>
      <c r="E307">
        <f>53.346*$E$267</f>
        <v>0</v>
      </c>
      <c r="F307">
        <f>-193.076*$F$267</f>
        <v>0</v>
      </c>
      <c r="G307">
        <f>-3.281*$G$267</f>
        <v>0</v>
      </c>
      <c r="H307">
        <f>0*$H$267</f>
        <v>0</v>
      </c>
      <c r="I307">
        <f>-14.941*$I$267</f>
        <v>0</v>
      </c>
      <c r="J307">
        <f>-44.195*$J$267</f>
        <v>0</v>
      </c>
      <c r="K307">
        <f>58.926*$K$267</f>
        <v>0</v>
      </c>
      <c r="L307">
        <f>-19.143*$L$267</f>
        <v>0</v>
      </c>
      <c r="M307">
        <f>0+D307+E307+G307+H307+I307+J307+K307+L307</f>
        <v>0</v>
      </c>
      <c r="N307">
        <f>0+D307+F307+G307+H307+I307+J307+K307+L307</f>
        <v>0</v>
      </c>
    </row>
    <row r="308" spans="3:14">
      <c r="C308" t="s">
        <v>53</v>
      </c>
      <c r="D308">
        <f>-108.703*$D$267</f>
        <v>0</v>
      </c>
      <c r="E308">
        <f>41.602*$E$267</f>
        <v>0</v>
      </c>
      <c r="F308">
        <f>-185.026*$F$267</f>
        <v>0</v>
      </c>
      <c r="G308">
        <f>-5.083*$G$267</f>
        <v>0</v>
      </c>
      <c r="H308">
        <f>0*$H$267</f>
        <v>0</v>
      </c>
      <c r="I308">
        <f>-15.564*$I$267</f>
        <v>0</v>
      </c>
      <c r="J308">
        <f>-30.071*$J$267</f>
        <v>0</v>
      </c>
      <c r="K308">
        <f>40.095*$K$267</f>
        <v>0</v>
      </c>
      <c r="L308">
        <f>-21.926*$L$267</f>
        <v>0</v>
      </c>
      <c r="M308">
        <f>0+D308+E308+G308+H308+I308+J308+K308+L308</f>
        <v>0</v>
      </c>
      <c r="N308">
        <f>0+D308+F308+G308+H308+I308+J308+K308+L308</f>
        <v>0</v>
      </c>
    </row>
    <row r="309" spans="3:14">
      <c r="C309" t="s">
        <v>54</v>
      </c>
      <c r="D309">
        <f>-90.748*$D$267</f>
        <v>0</v>
      </c>
      <c r="E309">
        <f>30.932*$E$267</f>
        <v>0</v>
      </c>
      <c r="F309">
        <f>-145.686*$F$267</f>
        <v>0</v>
      </c>
      <c r="G309">
        <f>-8.397*$G$267</f>
        <v>0</v>
      </c>
      <c r="H309">
        <f>0*$H$267</f>
        <v>0</v>
      </c>
      <c r="I309">
        <f>-12.7*$I$267</f>
        <v>0</v>
      </c>
      <c r="J309">
        <f>0.879*$J$267</f>
        <v>0</v>
      </c>
      <c r="K309">
        <f>-1.172*$K$267</f>
        <v>0</v>
      </c>
      <c r="L309">
        <f>-23.744*$L$267</f>
        <v>0</v>
      </c>
      <c r="M309">
        <f>0+D309+E309+G309+H309+I309+J309+K309+L309</f>
        <v>0</v>
      </c>
      <c r="N309">
        <f>0+D309+F309+G309+H309+I309+J309+K309+L309</f>
        <v>0</v>
      </c>
    </row>
    <row r="310" spans="3:14">
      <c r="C310" t="s">
        <v>55</v>
      </c>
      <c r="D310">
        <f>-78.748*$D$267</f>
        <v>0</v>
      </c>
      <c r="E310">
        <f>19.782*$E$267</f>
        <v>0</v>
      </c>
      <c r="F310">
        <f>-114.421*$F$267</f>
        <v>0</v>
      </c>
      <c r="G310">
        <f>-10.054*$G$267</f>
        <v>0</v>
      </c>
      <c r="H310">
        <f>0*$H$267</f>
        <v>0</v>
      </c>
      <c r="I310">
        <f>-10.847*$I$267</f>
        <v>0</v>
      </c>
      <c r="J310">
        <f>0.091*$J$267</f>
        <v>0</v>
      </c>
      <c r="K310">
        <f>-0.122*$K$267</f>
        <v>0</v>
      </c>
      <c r="L310">
        <f>-21.974*$L$267</f>
        <v>0</v>
      </c>
      <c r="M310">
        <f>0+D310+E310+G310+H310+I310+J310+K310+L310</f>
        <v>0</v>
      </c>
      <c r="N310">
        <f>0+D310+F310+G310+H310+I310+J310+K310+L310</f>
        <v>0</v>
      </c>
    </row>
    <row r="311" spans="3:14">
      <c r="C311" t="s">
        <v>56</v>
      </c>
      <c r="D311">
        <f>-62.808*$D$267</f>
        <v>0</v>
      </c>
      <c r="E311">
        <f>12.3*$E$267</f>
        <v>0</v>
      </c>
      <c r="F311">
        <f>-90.68*$F$267</f>
        <v>0</v>
      </c>
      <c r="G311">
        <f>-8.857*$G$267</f>
        <v>0</v>
      </c>
      <c r="H311">
        <f>0*$H$267</f>
        <v>0</v>
      </c>
      <c r="I311">
        <f>-8.662*$I$267</f>
        <v>0</v>
      </c>
      <c r="J311">
        <f>-44.989*$J$267</f>
        <v>0</v>
      </c>
      <c r="K311">
        <f>59.986*$K$267</f>
        <v>0</v>
      </c>
      <c r="L311">
        <f>-14.363*$L$267</f>
        <v>0</v>
      </c>
      <c r="M311">
        <f>0+D311+E311+G311+H311+I311+J311+K311+L311</f>
        <v>0</v>
      </c>
      <c r="N311">
        <f>0+D311+F311+G311+H311+I311+J311+K311+L311</f>
        <v>0</v>
      </c>
    </row>
    <row r="312" spans="3:14">
      <c r="C312" t="s">
        <v>57</v>
      </c>
      <c r="D312">
        <f>-18.049*$D$267</f>
        <v>0</v>
      </c>
      <c r="E312">
        <f>8.211*$E$267</f>
        <v>0</v>
      </c>
      <c r="F312">
        <f>-29.032*$F$267</f>
        <v>0</v>
      </c>
      <c r="G312">
        <f>-3.197*$G$267</f>
        <v>0</v>
      </c>
      <c r="H312">
        <f>0*$H$267</f>
        <v>0</v>
      </c>
      <c r="I312">
        <f>-2.442*$I$267</f>
        <v>0</v>
      </c>
      <c r="J312">
        <f>-108.715*$J$267</f>
        <v>0</v>
      </c>
      <c r="K312">
        <f>144.954*$K$267</f>
        <v>0</v>
      </c>
      <c r="L312">
        <f>-4.369*$L$267</f>
        <v>0</v>
      </c>
      <c r="M312">
        <f>0+D312+E312+G312+H312+I312+J312+K312+L312</f>
        <v>0</v>
      </c>
      <c r="N312">
        <f>0+D312+F312+G312+H312+I312+J312+K312+L312</f>
        <v>0</v>
      </c>
    </row>
    <row r="313" spans="3:14">
      <c r="C313" t="s">
        <v>58</v>
      </c>
      <c r="D313">
        <f>-17.004*$D$267</f>
        <v>0</v>
      </c>
      <c r="E313">
        <f>5.539*$E$267</f>
        <v>0</v>
      </c>
      <c r="F313">
        <f>-25.116*$F$267</f>
        <v>0</v>
      </c>
      <c r="G313">
        <f>-2.049*$G$267</f>
        <v>0</v>
      </c>
      <c r="H313">
        <f>0*$H$267</f>
        <v>0</v>
      </c>
      <c r="I313">
        <f>-2.404*$I$267</f>
        <v>0</v>
      </c>
      <c r="J313">
        <f>-131.236*$J$267</f>
        <v>0</v>
      </c>
      <c r="K313">
        <f>174.982*$K$267</f>
        <v>0</v>
      </c>
      <c r="L313">
        <f>-1.761*$L$267</f>
        <v>0</v>
      </c>
      <c r="M313">
        <f>0+D313+E313+G313+H313+I313+J313+K313+L313</f>
        <v>0</v>
      </c>
      <c r="N313">
        <f>0+D313+F313+G313+H313+I313+J313+K313+L313</f>
        <v>0</v>
      </c>
    </row>
    <row r="314" spans="3:14">
      <c r="C314" t="s">
        <v>58</v>
      </c>
      <c r="D314">
        <f>-11.367*$D$267</f>
        <v>0</v>
      </c>
      <c r="E314">
        <f>1.053*$E$267</f>
        <v>0</v>
      </c>
      <c r="F314">
        <f>-20.899*$F$267</f>
        <v>0</v>
      </c>
      <c r="G314">
        <f>-1.459*$G$267</f>
        <v>0</v>
      </c>
      <c r="H314">
        <f>0*$H$267</f>
        <v>0</v>
      </c>
      <c r="I314">
        <f>-1.596*$I$267</f>
        <v>0</v>
      </c>
      <c r="J314">
        <f>-124.471*$J$267</f>
        <v>0</v>
      </c>
      <c r="K314">
        <f>165.961*$K$267</f>
        <v>0</v>
      </c>
      <c r="L314">
        <f>-17.96*$L$267</f>
        <v>0</v>
      </c>
      <c r="M314">
        <f>0+D314+E314+G314+H314+I314+J314+K314+L314</f>
        <v>0</v>
      </c>
      <c r="N314">
        <f>0+D314+F314+G314+H314+I314+J314+K314+L314</f>
        <v>0</v>
      </c>
    </row>
    <row r="315" spans="3:14">
      <c r="C315" t="s">
        <v>59</v>
      </c>
      <c r="D315">
        <f>-11.367*$D$267</f>
        <v>0</v>
      </c>
      <c r="E315">
        <f>1.053*$E$267</f>
        <v>0</v>
      </c>
      <c r="F315">
        <f>-20.899*$F$267</f>
        <v>0</v>
      </c>
      <c r="G315">
        <f>-1.459*$G$267</f>
        <v>0</v>
      </c>
      <c r="H315">
        <f>0*$H$267</f>
        <v>0</v>
      </c>
      <c r="I315">
        <f>-1.596*$I$267</f>
        <v>0</v>
      </c>
      <c r="J315">
        <f>-124.471*$J$267</f>
        <v>0</v>
      </c>
      <c r="K315">
        <f>165.961*$K$267</f>
        <v>0</v>
      </c>
      <c r="L315">
        <f>-17.96*$L$267</f>
        <v>0</v>
      </c>
      <c r="M315">
        <f>0+D315+E315+G315+H315+I315+J315+K315+L315</f>
        <v>0</v>
      </c>
      <c r="N315">
        <f>0+D315+F315+G315+H315+I315+J315+K315+L315</f>
        <v>0</v>
      </c>
    </row>
    <row r="316" spans="3:14">
      <c r="C316" t="s">
        <v>60</v>
      </c>
      <c r="D316">
        <f>-2.657*$D$267</f>
        <v>0</v>
      </c>
      <c r="E316">
        <f>27.351*$E$267</f>
        <v>0</v>
      </c>
      <c r="F316">
        <f>-33.133*$F$267</f>
        <v>0</v>
      </c>
      <c r="G316">
        <f>-4.135*$G$267</f>
        <v>0</v>
      </c>
      <c r="H316">
        <f>0*$H$267</f>
        <v>0</v>
      </c>
      <c r="I316">
        <f>-0.147*$I$267</f>
        <v>0</v>
      </c>
      <c r="J316">
        <f>-72.906*$J$267</f>
        <v>0</v>
      </c>
      <c r="K316">
        <f>97.208*$K$267</f>
        <v>0</v>
      </c>
      <c r="L316">
        <f>-61.867*$L$267</f>
        <v>0</v>
      </c>
      <c r="M316">
        <f>0+D316+E316+G316+H316+I316+J316+K316+L316</f>
        <v>0</v>
      </c>
      <c r="N316">
        <f>0+D316+F316+G316+H316+I316+J316+K316+L316</f>
        <v>0</v>
      </c>
    </row>
    <row r="317" spans="3:14">
      <c r="C317" t="s">
        <v>61</v>
      </c>
      <c r="D317">
        <f>-29.333*$D$267</f>
        <v>0</v>
      </c>
      <c r="E317">
        <f>14.957*$E$267</f>
        <v>0</v>
      </c>
      <c r="F317">
        <f>-66.539*$F$267</f>
        <v>0</v>
      </c>
      <c r="G317">
        <f>-6.861*$G$267</f>
        <v>0</v>
      </c>
      <c r="H317">
        <f>0*$H$267</f>
        <v>0</v>
      </c>
      <c r="I317">
        <f>-3.872*$I$267</f>
        <v>0</v>
      </c>
      <c r="J317">
        <f>6.856*$J$267</f>
        <v>0</v>
      </c>
      <c r="K317">
        <f>-9.142*$K$267</f>
        <v>0</v>
      </c>
      <c r="L317">
        <f>-96.807*$L$267</f>
        <v>0</v>
      </c>
      <c r="M317">
        <f>0+D317+E317+G317+H317+I317+J317+K317+L317</f>
        <v>0</v>
      </c>
      <c r="N317">
        <f>0+D317+F317+G317+H317+I317+J317+K317+L317</f>
        <v>0</v>
      </c>
    </row>
    <row r="318" spans="3:14">
      <c r="C318" t="s">
        <v>62</v>
      </c>
      <c r="D318">
        <f>-40.884*$D$267</f>
        <v>0</v>
      </c>
      <c r="E318">
        <f>16.377*$E$267</f>
        <v>0</v>
      </c>
      <c r="F318">
        <f>-87.281*$F$267</f>
        <v>0</v>
      </c>
      <c r="G318">
        <f>-5.585*$G$267</f>
        <v>0</v>
      </c>
      <c r="H318">
        <f>0*$H$267</f>
        <v>0</v>
      </c>
      <c r="I318">
        <f>-5.64*$I$267</f>
        <v>0</v>
      </c>
      <c r="J318">
        <f>41.126*$J$267</f>
        <v>0</v>
      </c>
      <c r="K318">
        <f>-54.835*$K$267</f>
        <v>0</v>
      </c>
      <c r="L318">
        <f>-94.781*$L$267</f>
        <v>0</v>
      </c>
      <c r="M318">
        <f>0+D318+E318+G318+H318+I318+J318+K318+L318</f>
        <v>0</v>
      </c>
      <c r="N318">
        <f>0+D318+F318+G318+H318+I318+J318+K318+L318</f>
        <v>0</v>
      </c>
    </row>
    <row r="319" spans="3:14">
      <c r="C319" t="s">
        <v>63</v>
      </c>
      <c r="D319">
        <f>-48.293*$D$267</f>
        <v>0</v>
      </c>
      <c r="E319">
        <f>23.16*$E$267</f>
        <v>0</v>
      </c>
      <c r="F319">
        <f>-111.007*$F$267</f>
        <v>0</v>
      </c>
      <c r="G319">
        <f>-2.178*$G$267</f>
        <v>0</v>
      </c>
      <c r="H319">
        <f>0*$H$267</f>
        <v>0</v>
      </c>
      <c r="I319">
        <f>-6.988*$I$267</f>
        <v>0</v>
      </c>
      <c r="J319">
        <f>32.953*$J$267</f>
        <v>0</v>
      </c>
      <c r="K319">
        <f>-43.938*$K$267</f>
        <v>0</v>
      </c>
      <c r="L319">
        <f>-87.522*$L$267</f>
        <v>0</v>
      </c>
      <c r="M319">
        <f>0+D319+E319+G319+H319+I319+J319+K319+L319</f>
        <v>0</v>
      </c>
      <c r="N319">
        <f>0+D319+F319+G319+H319+I319+J319+K319+L319</f>
        <v>0</v>
      </c>
    </row>
    <row r="320" spans="3:14">
      <c r="C320" t="s">
        <v>64</v>
      </c>
      <c r="D320">
        <f>-51.197*$D$267</f>
        <v>0</v>
      </c>
      <c r="E320">
        <f>27.669*$E$267</f>
        <v>0</v>
      </c>
      <c r="F320">
        <f>-125.138*$F$267</f>
        <v>0</v>
      </c>
      <c r="G320">
        <f>0.817*$G$267</f>
        <v>0</v>
      </c>
      <c r="H320">
        <f>0*$H$267</f>
        <v>0</v>
      </c>
      <c r="I320">
        <f>-7.635*$I$267</f>
        <v>0</v>
      </c>
      <c r="J320">
        <f>20.161*$J$267</f>
        <v>0</v>
      </c>
      <c r="K320">
        <f>-26.881*$K$267</f>
        <v>0</v>
      </c>
      <c r="L320">
        <f>-76.236*$L$267</f>
        <v>0</v>
      </c>
      <c r="M320">
        <f>0+D320+E320+G320+H320+I320+J320+K320+L320</f>
        <v>0</v>
      </c>
      <c r="N320">
        <f>0+D320+F320+G320+H320+I320+J320+K320+L320</f>
        <v>0</v>
      </c>
    </row>
    <row r="321" spans="3:14">
      <c r="C321" t="s">
        <v>65</v>
      </c>
      <c r="D321">
        <f>-49.457*$D$267</f>
        <v>0</v>
      </c>
      <c r="E321">
        <f>26.522*$E$267</f>
        <v>0</v>
      </c>
      <c r="F321">
        <f>-123.051*$F$267</f>
        <v>0</v>
      </c>
      <c r="G321">
        <f>0.632*$G$267</f>
        <v>0</v>
      </c>
      <c r="H321">
        <f>0*$H$267</f>
        <v>0</v>
      </c>
      <c r="I321">
        <f>-7.401*$I$267</f>
        <v>0</v>
      </c>
      <c r="J321">
        <f>45.163*$J$267</f>
        <v>0</v>
      </c>
      <c r="K321">
        <f>-60.217*$K$267</f>
        <v>0</v>
      </c>
      <c r="L321">
        <f>-77.785*$L$267</f>
        <v>0</v>
      </c>
      <c r="M321">
        <f>0+D321+E321+G321+H321+I321+J321+K321+L321</f>
        <v>0</v>
      </c>
      <c r="N321">
        <f>0+D321+F321+G321+H321+I321+J321+K321+L321</f>
        <v>0</v>
      </c>
    </row>
    <row r="322" spans="3:14">
      <c r="C322" t="s">
        <v>66</v>
      </c>
      <c r="D322">
        <f>-45.681*$D$267</f>
        <v>0</v>
      </c>
      <c r="E322">
        <f>19.567*$E$267</f>
        <v>0</v>
      </c>
      <c r="F322">
        <f>-106.834*$F$267</f>
        <v>0</v>
      </c>
      <c r="G322">
        <f>-2.509*$G$267</f>
        <v>0</v>
      </c>
      <c r="H322">
        <f>0*$H$267</f>
        <v>0</v>
      </c>
      <c r="I322">
        <f>-6.677*$I$267</f>
        <v>0</v>
      </c>
      <c r="J322">
        <f>89.634*$J$267</f>
        <v>0</v>
      </c>
      <c r="K322">
        <f>-119.512*$K$267</f>
        <v>0</v>
      </c>
      <c r="L322">
        <f>-91.246*$L$267</f>
        <v>0</v>
      </c>
      <c r="M322">
        <f>0+D322+E322+G322+H322+I322+J322+K322+L322</f>
        <v>0</v>
      </c>
      <c r="N322">
        <f>0+D322+F322+G322+H322+I322+J322+K322+L322</f>
        <v>0</v>
      </c>
    </row>
    <row r="323" spans="3:14">
      <c r="C323" t="s">
        <v>67</v>
      </c>
      <c r="D323">
        <f>-37.69*$D$267</f>
        <v>0</v>
      </c>
      <c r="E323">
        <f>12.519*$E$267</f>
        <v>0</v>
      </c>
      <c r="F323">
        <f>-85.537*$F$267</f>
        <v>0</v>
      </c>
      <c r="G323">
        <f>-4.363*$G$267</f>
        <v>0</v>
      </c>
      <c r="H323">
        <f>0*$H$267</f>
        <v>0</v>
      </c>
      <c r="I323">
        <f>-5.411*$I$267</f>
        <v>0</v>
      </c>
      <c r="J323">
        <f>78.495*$J$267</f>
        <v>0</v>
      </c>
      <c r="K323">
        <f>-104.66*$K$267</f>
        <v>0</v>
      </c>
      <c r="L323">
        <f>-91.135*$L$267</f>
        <v>0</v>
      </c>
      <c r="M323">
        <f>0+D323+E323+G323+H323+I323+J323+K323+L323</f>
        <v>0</v>
      </c>
      <c r="N323">
        <f>0+D323+F323+G323+H323+I323+J323+K323+L323</f>
        <v>0</v>
      </c>
    </row>
    <row r="324" spans="3:14">
      <c r="C324" t="s">
        <v>68</v>
      </c>
      <c r="D324">
        <f>-25.777*$D$267</f>
        <v>0</v>
      </c>
      <c r="E324">
        <f>5.784*$E$267</f>
        <v>0</v>
      </c>
      <c r="F324">
        <f>-57.736*$F$267</f>
        <v>0</v>
      </c>
      <c r="G324">
        <f>-4.285*$G$267</f>
        <v>0</v>
      </c>
      <c r="H324">
        <f>0*$H$267</f>
        <v>0</v>
      </c>
      <c r="I324">
        <f>-3.64*$I$267</f>
        <v>0</v>
      </c>
      <c r="J324">
        <f>-14.229*$J$267</f>
        <v>0</v>
      </c>
      <c r="K324">
        <f>18.972*$K$267</f>
        <v>0</v>
      </c>
      <c r="L324">
        <f>-74.83*$L$267</f>
        <v>0</v>
      </c>
      <c r="M324">
        <f>0+D324+E324+G324+H324+I324+J324+K324+L324</f>
        <v>0</v>
      </c>
      <c r="N324">
        <f>0+D324+F324+G324+H324+I324+J324+K324+L324</f>
        <v>0</v>
      </c>
    </row>
    <row r="325" spans="3:14">
      <c r="C325" t="s">
        <v>69</v>
      </c>
      <c r="D325">
        <f>-13.796*$D$267</f>
        <v>0</v>
      </c>
      <c r="E325">
        <f>2.326*$E$267</f>
        <v>0</v>
      </c>
      <c r="F325">
        <f>-29.671*$F$267</f>
        <v>0</v>
      </c>
      <c r="G325">
        <f>-3.326*$G$267</f>
        <v>0</v>
      </c>
      <c r="H325">
        <f>0*$H$267</f>
        <v>0</v>
      </c>
      <c r="I325">
        <f>-1.87*$I$267</f>
        <v>0</v>
      </c>
      <c r="J325">
        <f>-138.502*$J$267</f>
        <v>0</v>
      </c>
      <c r="K325">
        <f>184.67*$K$267</f>
        <v>0</v>
      </c>
      <c r="L325">
        <f>-52.707*$L$267</f>
        <v>0</v>
      </c>
      <c r="M325">
        <f>0+D325+E325+G325+H325+I325+J325+K325+L325</f>
        <v>0</v>
      </c>
      <c r="N325">
        <f>0+D325+F325+G325+H325+I325+J325+K325+L325</f>
        <v>0</v>
      </c>
    </row>
    <row r="330" spans="3:14">
      <c r="C330" t="s">
        <v>74</v>
      </c>
    </row>
    <row r="332" spans="3:14">
      <c r="C332" t="s">
        <v>2</v>
      </c>
    </row>
    <row r="333" spans="3:14">
      <c r="C333" t="s">
        <v>3</v>
      </c>
      <c r="D333" t="s">
        <v>4</v>
      </c>
      <c r="E333" t="s">
        <v>5</v>
      </c>
      <c r="F333" t="s">
        <v>6</v>
      </c>
      <c r="G333" t="s">
        <v>7</v>
      </c>
      <c r="H333" t="s">
        <v>8</v>
      </c>
      <c r="I333" t="s">
        <v>9</v>
      </c>
      <c r="J333" t="s">
        <v>10</v>
      </c>
      <c r="K333" t="s">
        <v>11</v>
      </c>
      <c r="L333" t="s">
        <v>12</v>
      </c>
      <c r="M333" t="s">
        <v>13</v>
      </c>
      <c r="N333" t="s">
        <v>14</v>
      </c>
    </row>
    <row r="334" spans="3:14">
      <c r="C334" t="s">
        <v>15</v>
      </c>
      <c r="D334">
        <f>2.3825*$D$332</f>
        <v>0</v>
      </c>
      <c r="E334">
        <f>81.2744*$E$332</f>
        <v>0</v>
      </c>
      <c r="F334">
        <f>-60.4272*$F$332</f>
        <v>0</v>
      </c>
      <c r="G334">
        <f>-7.4743*$G$332</f>
        <v>0</v>
      </c>
      <c r="H334">
        <f>0*$H$332</f>
        <v>0</v>
      </c>
      <c r="I334">
        <f>0.778*$I$332</f>
        <v>0</v>
      </c>
      <c r="J334">
        <f>-17.9146*$J$332</f>
        <v>0</v>
      </c>
      <c r="K334">
        <f>23.8861*$K$332</f>
        <v>0</v>
      </c>
      <c r="L334">
        <f>-0.0197*$L$332</f>
        <v>0</v>
      </c>
      <c r="M334">
        <f>0+D334+E334+G334+H334+I334+J334+K334+L334</f>
        <v>0</v>
      </c>
      <c r="N334">
        <f>0+D334+F334+G334+H334+I334+J334+K334+L334</f>
        <v>0</v>
      </c>
    </row>
    <row r="335" spans="3:14">
      <c r="C335" t="s">
        <v>16</v>
      </c>
      <c r="D335">
        <f>-4.6229*$D$332</f>
        <v>0</v>
      </c>
      <c r="E335">
        <f>80.451*$E$332</f>
        <v>0</v>
      </c>
      <c r="F335">
        <f>-58.3458*$F$332</f>
        <v>0</v>
      </c>
      <c r="G335">
        <f>-6.9528*$G$332</f>
        <v>0</v>
      </c>
      <c r="H335">
        <f>0*$H$332</f>
        <v>0</v>
      </c>
      <c r="I335">
        <f>0.1041*$I$332</f>
        <v>0</v>
      </c>
      <c r="J335">
        <f>-18.6158*$J$332</f>
        <v>0</v>
      </c>
      <c r="K335">
        <f>24.8211*$K$332</f>
        <v>0</v>
      </c>
      <c r="L335">
        <f>-0.02*$L$332</f>
        <v>0</v>
      </c>
      <c r="M335">
        <f>0+D335+E335+G335+H335+I335+J335+K335+L335</f>
        <v>0</v>
      </c>
      <c r="N335">
        <f>0+D335+F335+G335+H335+I335+J335+K335+L335</f>
        <v>0</v>
      </c>
    </row>
    <row r="336" spans="3:14">
      <c r="C336" t="s">
        <v>17</v>
      </c>
      <c r="D336">
        <f>-5.9685*$D$332</f>
        <v>0</v>
      </c>
      <c r="E336">
        <f>82.8349*$E$332</f>
        <v>0</v>
      </c>
      <c r="F336">
        <f>-65.9812*$F$332</f>
        <v>0</v>
      </c>
      <c r="G336">
        <f>-6.4536*$G$332</f>
        <v>0</v>
      </c>
      <c r="H336">
        <f>0*$H$332</f>
        <v>0</v>
      </c>
      <c r="I336">
        <f>-0.2086*$I$332</f>
        <v>0</v>
      </c>
      <c r="J336">
        <f>-32.641*$J$332</f>
        <v>0</v>
      </c>
      <c r="K336">
        <f>43.5213*$K$332</f>
        <v>0</v>
      </c>
      <c r="L336">
        <f>-0.0245*$L$332</f>
        <v>0</v>
      </c>
      <c r="M336">
        <f>0+D336+E336+G336+H336+I336+J336+K336+L336</f>
        <v>0</v>
      </c>
      <c r="N336">
        <f>0+D336+F336+G336+H336+I336+J336+K336+L336</f>
        <v>0</v>
      </c>
    </row>
    <row r="337" spans="3:14">
      <c r="C337" t="s">
        <v>18</v>
      </c>
      <c r="D337">
        <f>-6.4198*$D$332</f>
        <v>0</v>
      </c>
      <c r="E337">
        <f>81.1166*$E$332</f>
        <v>0</v>
      </c>
      <c r="F337">
        <f>-72.6225*$F$332</f>
        <v>0</v>
      </c>
      <c r="G337">
        <f>-5.1527*$G$332</f>
        <v>0</v>
      </c>
      <c r="H337">
        <f>0*$H$332</f>
        <v>0</v>
      </c>
      <c r="I337">
        <f>-0.4269*$I$332</f>
        <v>0</v>
      </c>
      <c r="J337">
        <f>-45.0358*$J$332</f>
        <v>0</v>
      </c>
      <c r="K337">
        <f>60.0477*$K$332</f>
        <v>0</v>
      </c>
      <c r="L337">
        <f>-0.0283*$L$332</f>
        <v>0</v>
      </c>
      <c r="M337">
        <f>0+D337+E337+G337+H337+I337+J337+K337+L337</f>
        <v>0</v>
      </c>
      <c r="N337">
        <f>0+D337+F337+G337+H337+I337+J337+K337+L337</f>
        <v>0</v>
      </c>
    </row>
    <row r="338" spans="3:14">
      <c r="C338" t="s">
        <v>19</v>
      </c>
      <c r="D338">
        <f>-5.9265*$D$332</f>
        <v>0</v>
      </c>
      <c r="E338">
        <f>77.7223*$E$332</f>
        <v>0</v>
      </c>
      <c r="F338">
        <f>-77.6409*$F$332</f>
        <v>0</v>
      </c>
      <c r="G338">
        <f>-3.0157*$G$332</f>
        <v>0</v>
      </c>
      <c r="H338">
        <f>0*$H$332</f>
        <v>0</v>
      </c>
      <c r="I338">
        <f>-0.5619*$I$332</f>
        <v>0</v>
      </c>
      <c r="J338">
        <f>-54.5235*$J$332</f>
        <v>0</v>
      </c>
      <c r="K338">
        <f>72.698*$K$332</f>
        <v>0</v>
      </c>
      <c r="L338">
        <f>-0.032*$L$332</f>
        <v>0</v>
      </c>
      <c r="M338">
        <f>0+D338+E338+G338+H338+I338+J338+K338+L338</f>
        <v>0</v>
      </c>
      <c r="N338">
        <f>0+D338+F338+G338+H338+I338+J338+K338+L338</f>
        <v>0</v>
      </c>
    </row>
    <row r="339" spans="3:14">
      <c r="C339" t="s">
        <v>20</v>
      </c>
      <c r="D339">
        <f>-4.7017*$D$332</f>
        <v>0</v>
      </c>
      <c r="E339">
        <f>72.9201*$E$332</f>
        <v>0</v>
      </c>
      <c r="F339">
        <f>-96.6885*$F$332</f>
        <v>0</v>
      </c>
      <c r="G339">
        <f>-0.1447*$G$332</f>
        <v>0</v>
      </c>
      <c r="H339">
        <f>0*$H$332</f>
        <v>0</v>
      </c>
      <c r="I339">
        <f>-0.6197*$I$332</f>
        <v>0</v>
      </c>
      <c r="J339">
        <f>-61.5707*$J$332</f>
        <v>0</v>
      </c>
      <c r="K339">
        <f>82.0943*$K$332</f>
        <v>0</v>
      </c>
      <c r="L339">
        <f>-0.0351*$L$332</f>
        <v>0</v>
      </c>
      <c r="M339">
        <f>0+D339+E339+G339+H339+I339+J339+K339+L339</f>
        <v>0</v>
      </c>
      <c r="N339">
        <f>0+D339+F339+G339+H339+I339+J339+K339+L339</f>
        <v>0</v>
      </c>
    </row>
    <row r="340" spans="3:14">
      <c r="C340" t="s">
        <v>21</v>
      </c>
      <c r="D340">
        <f>-6.2373*$D$332</f>
        <v>0</v>
      </c>
      <c r="E340">
        <f>78.043*$E$332</f>
        <v>0</v>
      </c>
      <c r="F340">
        <f>-65.0764*$F$332</f>
        <v>0</v>
      </c>
      <c r="G340">
        <f>-7.0903*$G$332</f>
        <v>0</v>
      </c>
      <c r="H340">
        <f>0*$H$332</f>
        <v>0</v>
      </c>
      <c r="I340">
        <f>-0.1204*$I$332</f>
        <v>0</v>
      </c>
      <c r="J340">
        <f>-12.5607*$J$332</f>
        <v>0</v>
      </c>
      <c r="K340">
        <f>16.7476*$K$332</f>
        <v>0</v>
      </c>
      <c r="L340">
        <f>-0.0377*$L$332</f>
        <v>0</v>
      </c>
      <c r="M340">
        <f>0+D340+E340+G340+H340+I340+J340+K340+L340</f>
        <v>0</v>
      </c>
      <c r="N340">
        <f>0+D340+F340+G340+H340+I340+J340+K340+L340</f>
        <v>0</v>
      </c>
    </row>
    <row r="341" spans="3:14">
      <c r="C341" t="s">
        <v>22</v>
      </c>
      <c r="D341">
        <f>-4.7894*$D$332</f>
        <v>0</v>
      </c>
      <c r="E341">
        <f>71.5957*$E$332</f>
        <v>0</v>
      </c>
      <c r="F341">
        <f>-62.7752*$F$332</f>
        <v>0</v>
      </c>
      <c r="G341">
        <f>-4.1943*$G$332</f>
        <v>0</v>
      </c>
      <c r="H341">
        <f>0*$H$332</f>
        <v>0</v>
      </c>
      <c r="I341">
        <f>-0.1619*$I$332</f>
        <v>0</v>
      </c>
      <c r="J341">
        <f>-15.9202*$J$332</f>
        <v>0</v>
      </c>
      <c r="K341">
        <f>21.2269*$K$332</f>
        <v>0</v>
      </c>
      <c r="L341">
        <f>-0.0391*$L$332</f>
        <v>0</v>
      </c>
      <c r="M341">
        <f>0+D341+E341+G341+H341+I341+J341+K341+L341</f>
        <v>0</v>
      </c>
      <c r="N341">
        <f>0+D341+F341+G341+H341+I341+J341+K341+L341</f>
        <v>0</v>
      </c>
    </row>
    <row r="342" spans="3:14">
      <c r="C342" t="s">
        <v>23</v>
      </c>
      <c r="D342">
        <f>-3.3501*$D$332</f>
        <v>0</v>
      </c>
      <c r="E342">
        <f>67.137*$E$332</f>
        <v>0</v>
      </c>
      <c r="F342">
        <f>-60.4384*$F$332</f>
        <v>0</v>
      </c>
      <c r="G342">
        <f>-1.5036*$G$332</f>
        <v>0</v>
      </c>
      <c r="H342">
        <f>0*$H$332</f>
        <v>0</v>
      </c>
      <c r="I342">
        <f>-0.1914*$I$332</f>
        <v>0</v>
      </c>
      <c r="J342">
        <f>-19.0378*$J$332</f>
        <v>0</v>
      </c>
      <c r="K342">
        <f>25.3838*$K$332</f>
        <v>0</v>
      </c>
      <c r="L342">
        <f>-0.0407*$L$332</f>
        <v>0</v>
      </c>
      <c r="M342">
        <f>0+D342+E342+G342+H342+I342+J342+K342+L342</f>
        <v>0</v>
      </c>
      <c r="N342">
        <f>0+D342+F342+G342+H342+I342+J342+K342+L342</f>
        <v>0</v>
      </c>
    </row>
    <row r="343" spans="3:14">
      <c r="C343" t="s">
        <v>24</v>
      </c>
      <c r="D343">
        <f>-1.8126*$D$332</f>
        <v>0</v>
      </c>
      <c r="E343">
        <f>60.5326*$E$332</f>
        <v>0</v>
      </c>
      <c r="F343">
        <f>-57.6951*$F$332</f>
        <v>0</v>
      </c>
      <c r="G343">
        <f>1.3333*$G$332</f>
        <v>0</v>
      </c>
      <c r="H343">
        <f>0*$H$332</f>
        <v>0</v>
      </c>
      <c r="I343">
        <f>-0.2171*$I$332</f>
        <v>0</v>
      </c>
      <c r="J343">
        <f>-22.6788*$J$332</f>
        <v>0</v>
      </c>
      <c r="K343">
        <f>30.2383*$K$332</f>
        <v>0</v>
      </c>
      <c r="L343">
        <f>-0.0427*$L$332</f>
        <v>0</v>
      </c>
      <c r="M343">
        <f>0+D343+E343+G343+H343+I343+J343+K343+L343</f>
        <v>0</v>
      </c>
      <c r="N343">
        <f>0+D343+F343+G343+H343+I343+J343+K343+L343</f>
        <v>0</v>
      </c>
    </row>
    <row r="344" spans="3:14">
      <c r="C344" t="s">
        <v>25</v>
      </c>
      <c r="D344">
        <f>0.0497*$D$332</f>
        <v>0</v>
      </c>
      <c r="E344">
        <f>54.9137*$E$332</f>
        <v>0</v>
      </c>
      <c r="F344">
        <f>-52.9155*$F$332</f>
        <v>0</v>
      </c>
      <c r="G344">
        <f>4.4753*$G$332</f>
        <v>0</v>
      </c>
      <c r="H344">
        <f>0*$H$332</f>
        <v>0</v>
      </c>
      <c r="I344">
        <f>-0.1958*$I$332</f>
        <v>0</v>
      </c>
      <c r="J344">
        <f>-27.032*$J$332</f>
        <v>0</v>
      </c>
      <c r="K344">
        <f>36.0427*$K$332</f>
        <v>0</v>
      </c>
      <c r="L344">
        <f>-0.0444*$L$332</f>
        <v>0</v>
      </c>
      <c r="M344">
        <f>0+D344+E344+G344+H344+I344+J344+K344+L344</f>
        <v>0</v>
      </c>
      <c r="N344">
        <f>0+D344+F344+G344+H344+I344+J344+K344+L344</f>
        <v>0</v>
      </c>
    </row>
    <row r="345" spans="3:14">
      <c r="C345" t="s">
        <v>26</v>
      </c>
      <c r="D345">
        <f>-3.3625*$D$332</f>
        <v>0</v>
      </c>
      <c r="E345">
        <f>46.1275*$E$332</f>
        <v>0</v>
      </c>
      <c r="F345">
        <f>-51.6419*$F$332</f>
        <v>0</v>
      </c>
      <c r="G345">
        <f>-3.9015*$G$332</f>
        <v>0</v>
      </c>
      <c r="H345">
        <f>0*$H$332</f>
        <v>0</v>
      </c>
      <c r="I345">
        <f>0.1252*$I$332</f>
        <v>0</v>
      </c>
      <c r="J345">
        <f>10.1298*$J$332</f>
        <v>0</v>
      </c>
      <c r="K345">
        <f>-13.5065*$K$332</f>
        <v>0</v>
      </c>
      <c r="L345">
        <f>-0.0448*$L$332</f>
        <v>0</v>
      </c>
      <c r="M345">
        <f>0+D345+E345+G345+H345+I345+J345+K345+L345</f>
        <v>0</v>
      </c>
      <c r="N345">
        <f>0+D345+F345+G345+H345+I345+J345+K345+L345</f>
        <v>0</v>
      </c>
    </row>
    <row r="346" spans="3:14">
      <c r="C346" t="s">
        <v>27</v>
      </c>
      <c r="D346">
        <f>-2.1216*$D$332</f>
        <v>0</v>
      </c>
      <c r="E346">
        <f>48.8201*$E$332</f>
        <v>0</v>
      </c>
      <c r="F346">
        <f>-58.7211*$F$332</f>
        <v>0</v>
      </c>
      <c r="G346">
        <f>-1.0844*$G$332</f>
        <v>0</v>
      </c>
      <c r="H346">
        <f>0*$H$332</f>
        <v>0</v>
      </c>
      <c r="I346">
        <f>0.0632*$I$332</f>
        <v>0</v>
      </c>
      <c r="J346">
        <f>6.4495*$J$332</f>
        <v>0</v>
      </c>
      <c r="K346">
        <f>-8.5994*$K$332</f>
        <v>0</v>
      </c>
      <c r="L346">
        <f>-0.0442*$L$332</f>
        <v>0</v>
      </c>
      <c r="M346">
        <f>0+D346+E346+G346+H346+I346+J346+K346+L346</f>
        <v>0</v>
      </c>
      <c r="N346">
        <f>0+D346+F346+G346+H346+I346+J346+K346+L346</f>
        <v>0</v>
      </c>
    </row>
    <row r="347" spans="3:14">
      <c r="C347" t="s">
        <v>28</v>
      </c>
      <c r="D347">
        <f>-1.5024*$D$332</f>
        <v>0</v>
      </c>
      <c r="E347">
        <f>51.9113*$E$332</f>
        <v>0</v>
      </c>
      <c r="F347">
        <f>-62.8465*$F$332</f>
        <v>0</v>
      </c>
      <c r="G347">
        <f>1.4861*$G$332</f>
        <v>0</v>
      </c>
      <c r="H347">
        <f>0*$H$332</f>
        <v>0</v>
      </c>
      <c r="I347">
        <f>-0.0741*$I$332</f>
        <v>0</v>
      </c>
      <c r="J347">
        <f>2.7044*$J$332</f>
        <v>0</v>
      </c>
      <c r="K347">
        <f>-3.6059*$K$332</f>
        <v>0</v>
      </c>
      <c r="L347">
        <f>-0.0438*$L$332</f>
        <v>0</v>
      </c>
      <c r="M347">
        <f>0+D347+E347+G347+H347+I347+J347+K347+L347</f>
        <v>0</v>
      </c>
      <c r="N347">
        <f>0+D347+F347+G347+H347+I347+J347+K347+L347</f>
        <v>0</v>
      </c>
    </row>
    <row r="348" spans="3:14">
      <c r="C348" t="s">
        <v>29</v>
      </c>
      <c r="D348">
        <f>-1.3225*$D$332</f>
        <v>0</v>
      </c>
      <c r="E348">
        <f>56.2919*$E$332</f>
        <v>0</v>
      </c>
      <c r="F348">
        <f>-69.5625*$F$332</f>
        <v>0</v>
      </c>
      <c r="G348">
        <f>4.2031*$G$332</f>
        <v>0</v>
      </c>
      <c r="H348">
        <f>0*$H$332</f>
        <v>0</v>
      </c>
      <c r="I348">
        <f>-0.2872*$I$332</f>
        <v>0</v>
      </c>
      <c r="J348">
        <f>-1.496*$J$332</f>
        <v>0</v>
      </c>
      <c r="K348">
        <f>1.9947*$K$332</f>
        <v>0</v>
      </c>
      <c r="L348">
        <f>-0.0438*$L$332</f>
        <v>0</v>
      </c>
      <c r="M348">
        <f>0+D348+E348+G348+H348+I348+J348+K348+L348</f>
        <v>0</v>
      </c>
      <c r="N348">
        <f>0+D348+F348+G348+H348+I348+J348+K348+L348</f>
        <v>0</v>
      </c>
    </row>
    <row r="349" spans="3:14">
      <c r="C349" t="s">
        <v>30</v>
      </c>
      <c r="D349">
        <f>-1.3411*$D$332</f>
        <v>0</v>
      </c>
      <c r="E349">
        <f>61.1197*$E$332</f>
        <v>0</v>
      </c>
      <c r="F349">
        <f>-80.1884*$F$332</f>
        <v>0</v>
      </c>
      <c r="G349">
        <f>7.2276*$G$332</f>
        <v>0</v>
      </c>
      <c r="H349">
        <f>0*$H$332</f>
        <v>0</v>
      </c>
      <c r="I349">
        <f>-0.5324*$I$332</f>
        <v>0</v>
      </c>
      <c r="J349">
        <f>-6.0893*$J$332</f>
        <v>0</v>
      </c>
      <c r="K349">
        <f>8.119*$K$332</f>
        <v>0</v>
      </c>
      <c r="L349">
        <f>-0.0427*$L$332</f>
        <v>0</v>
      </c>
      <c r="M349">
        <f>0+D349+E349+G349+H349+I349+J349+K349+L349</f>
        <v>0</v>
      </c>
      <c r="N349">
        <f>0+D349+F349+G349+H349+I349+J349+K349+L349</f>
        <v>0</v>
      </c>
    </row>
    <row r="350" spans="3:14">
      <c r="C350" t="s">
        <v>31</v>
      </c>
      <c r="D350">
        <f>-7.6332*$D$332</f>
        <v>0</v>
      </c>
      <c r="E350">
        <f>75.8633*$E$332</f>
        <v>0</v>
      </c>
      <c r="F350">
        <f>-81.9369*$F$332</f>
        <v>0</v>
      </c>
      <c r="G350">
        <f>-0.788*$G$332</f>
        <v>0</v>
      </c>
      <c r="H350">
        <f>0*$H$332</f>
        <v>0</v>
      </c>
      <c r="I350">
        <f>-0.6495*$I$332</f>
        <v>0</v>
      </c>
      <c r="J350">
        <f>34.5506*$J$332</f>
        <v>0</v>
      </c>
      <c r="K350">
        <f>-46.0675*$K$332</f>
        <v>0</v>
      </c>
      <c r="L350">
        <f>-0.0352*$L$332</f>
        <v>0</v>
      </c>
      <c r="M350">
        <f>0+D350+E350+G350+H350+I350+J350+K350+L350</f>
        <v>0</v>
      </c>
      <c r="N350">
        <f>0+D350+F350+G350+H350+I350+J350+K350+L350</f>
        <v>0</v>
      </c>
    </row>
    <row r="351" spans="3:14">
      <c r="C351" t="s">
        <v>32</v>
      </c>
      <c r="D351">
        <f>-8.5649*$D$332</f>
        <v>0</v>
      </c>
      <c r="E351">
        <f>75.4449*$E$332</f>
        <v>0</v>
      </c>
      <c r="F351">
        <f>-90.5912*$F$332</f>
        <v>0</v>
      </c>
      <c r="G351">
        <f>1.7046*$G$332</f>
        <v>0</v>
      </c>
      <c r="H351">
        <f>0*$H$332</f>
        <v>0</v>
      </c>
      <c r="I351">
        <f>-1.0069*$I$332</f>
        <v>0</v>
      </c>
      <c r="J351">
        <f>30.4873*$J$332</f>
        <v>0</v>
      </c>
      <c r="K351">
        <f>-40.6498*$K$332</f>
        <v>0</v>
      </c>
      <c r="L351">
        <f>-0.033*$L$332</f>
        <v>0</v>
      </c>
      <c r="M351">
        <f>0+D351+E351+G351+H351+I351+J351+K351+L351</f>
        <v>0</v>
      </c>
      <c r="N351">
        <f>0+D351+F351+G351+H351+I351+J351+K351+L351</f>
        <v>0</v>
      </c>
    </row>
    <row r="352" spans="3:14">
      <c r="C352" t="s">
        <v>33</v>
      </c>
      <c r="D352">
        <f>-10.5093*$D$332</f>
        <v>0</v>
      </c>
      <c r="E352">
        <f>72.166*$E$332</f>
        <v>0</v>
      </c>
      <c r="F352">
        <f>-100.7422*$F$332</f>
        <v>0</v>
      </c>
      <c r="G352">
        <f>3.863*$G$332</f>
        <v>0</v>
      </c>
      <c r="H352">
        <f>0*$H$332</f>
        <v>0</v>
      </c>
      <c r="I352">
        <f>-1.4992*$I$332</f>
        <v>0</v>
      </c>
      <c r="J352">
        <f>26.3217*$J$332</f>
        <v>0</v>
      </c>
      <c r="K352">
        <f>-35.0956*$K$332</f>
        <v>0</v>
      </c>
      <c r="L352">
        <f>-0.032*$L$332</f>
        <v>0</v>
      </c>
      <c r="M352">
        <f>0+D352+E352+G352+H352+I352+J352+K352+L352</f>
        <v>0</v>
      </c>
      <c r="N352">
        <f>0+D352+F352+G352+H352+I352+J352+K352+L352</f>
        <v>0</v>
      </c>
    </row>
    <row r="353" spans="3:14">
      <c r="C353" t="s">
        <v>34</v>
      </c>
      <c r="D353">
        <f>-13.0422*$D$332</f>
        <v>0</v>
      </c>
      <c r="E353">
        <f>69.0089*$E$332</f>
        <v>0</v>
      </c>
      <c r="F353">
        <f>-113.4123*$F$332</f>
        <v>0</v>
      </c>
      <c r="G353">
        <f>5.8505*$G$332</f>
        <v>0</v>
      </c>
      <c r="H353">
        <f>0*$H$332</f>
        <v>0</v>
      </c>
      <c r="I353">
        <f>-2.0821*$I$332</f>
        <v>0</v>
      </c>
      <c r="J353">
        <f>21.0087*$J$332</f>
        <v>0</v>
      </c>
      <c r="K353">
        <f>-28.0116*$K$332</f>
        <v>0</v>
      </c>
      <c r="L353">
        <f>-0.0328*$L$332</f>
        <v>0</v>
      </c>
      <c r="M353">
        <f>0+D353+E353+G353+H353+I353+J353+K353+L353</f>
        <v>0</v>
      </c>
      <c r="N353">
        <f>0+D353+F353+G353+H353+I353+J353+K353+L353</f>
        <v>0</v>
      </c>
    </row>
    <row r="354" spans="3:14">
      <c r="C354" t="s">
        <v>35</v>
      </c>
      <c r="D354">
        <f>-13.5925*$D$332</f>
        <v>0</v>
      </c>
      <c r="E354">
        <f>67.0831*$E$332</f>
        <v>0</v>
      </c>
      <c r="F354">
        <f>-120.1429*$F$332</f>
        <v>0</v>
      </c>
      <c r="G354">
        <f>7.5791*$G$332</f>
        <v>0</v>
      </c>
      <c r="H354">
        <f>0*$H$332</f>
        <v>0</v>
      </c>
      <c r="I354">
        <f>-2.3877*$I$332</f>
        <v>0</v>
      </c>
      <c r="J354">
        <f>10.21*$J$332</f>
        <v>0</v>
      </c>
      <c r="K354">
        <f>-13.6133*$K$332</f>
        <v>0</v>
      </c>
      <c r="L354">
        <f>-0.0342*$L$332</f>
        <v>0</v>
      </c>
      <c r="M354">
        <f>0+D354+E354+G354+H354+I354+J354+K354+L354</f>
        <v>0</v>
      </c>
      <c r="N354">
        <f>0+D354+F354+G354+H354+I354+J354+K354+L354</f>
        <v>0</v>
      </c>
    </row>
    <row r="355" spans="3:14">
      <c r="C355" t="s">
        <v>36</v>
      </c>
      <c r="D355">
        <f>-13.8768*$D$332</f>
        <v>0</v>
      </c>
      <c r="E355">
        <f>94.7198*$E$332</f>
        <v>0</v>
      </c>
      <c r="F355">
        <f>-67.9792*$F$332</f>
        <v>0</v>
      </c>
      <c r="G355">
        <f>1.0775*$G$332</f>
        <v>0</v>
      </c>
      <c r="H355">
        <f>0*$H$332</f>
        <v>0</v>
      </c>
      <c r="I355">
        <f>-1.7843*$I$332</f>
        <v>0</v>
      </c>
      <c r="J355">
        <f>31.3851*$J$332</f>
        <v>0</v>
      </c>
      <c r="K355">
        <f>-41.8468*$K$332</f>
        <v>0</v>
      </c>
      <c r="L355">
        <f>-0.0187*$L$332</f>
        <v>0</v>
      </c>
      <c r="M355">
        <f>0+D355+E355+G355+H355+I355+J355+K355+L355</f>
        <v>0</v>
      </c>
      <c r="N355">
        <f>0+D355+F355+G355+H355+I355+J355+K355+L355</f>
        <v>0</v>
      </c>
    </row>
    <row r="356" spans="3:14">
      <c r="C356" t="s">
        <v>36</v>
      </c>
      <c r="D356">
        <f>12.4492*$D$332</f>
        <v>0</v>
      </c>
      <c r="E356">
        <f>70.0341*$E$332</f>
        <v>0</v>
      </c>
      <c r="F356">
        <f>-52.1809*$F$332</f>
        <v>0</v>
      </c>
      <c r="G356">
        <f>-0.9874*$G$332</f>
        <v>0</v>
      </c>
      <c r="H356">
        <f>0*$H$332</f>
        <v>0</v>
      </c>
      <c r="I356">
        <f>1.5733*$I$332</f>
        <v>0</v>
      </c>
      <c r="J356">
        <f>-30.057*$J$332</f>
        <v>0</v>
      </c>
      <c r="K356">
        <f>40.0759*$K$332</f>
        <v>0</v>
      </c>
      <c r="L356">
        <f>-0.7141*$L$332</f>
        <v>0</v>
      </c>
      <c r="M356">
        <f>0+D356+E356+G356+H356+I356+J356+K356+L356</f>
        <v>0</v>
      </c>
      <c r="N356">
        <f>0+D356+F356+G356+H356+I356+J356+K356+L356</f>
        <v>0</v>
      </c>
    </row>
    <row r="357" spans="3:14">
      <c r="C357" t="s">
        <v>37</v>
      </c>
      <c r="D357">
        <f>9.6659*$D$332</f>
        <v>0</v>
      </c>
      <c r="E357">
        <f>70.0341*$E$332</f>
        <v>0</v>
      </c>
      <c r="F357">
        <f>-52.1809*$F$332</f>
        <v>0</v>
      </c>
      <c r="G357">
        <f>-0.9874*$G$332</f>
        <v>0</v>
      </c>
      <c r="H357">
        <f>0*$H$332</f>
        <v>0</v>
      </c>
      <c r="I357">
        <f>1.5733*$I$332</f>
        <v>0</v>
      </c>
      <c r="J357">
        <f>-30.057*$J$332</f>
        <v>0</v>
      </c>
      <c r="K357">
        <f>40.0759*$K$332</f>
        <v>0</v>
      </c>
      <c r="L357">
        <f>-0.7141*$L$332</f>
        <v>0</v>
      </c>
      <c r="M357">
        <f>0+D357+E357+G357+H357+I357+J357+K357+L357</f>
        <v>0</v>
      </c>
      <c r="N357">
        <f>0+D357+F357+G357+H357+I357+J357+K357+L357</f>
        <v>0</v>
      </c>
    </row>
    <row r="358" spans="3:14">
      <c r="C358" t="s">
        <v>38</v>
      </c>
      <c r="D358">
        <f>9.7683*$D$332</f>
        <v>0</v>
      </c>
      <c r="E358">
        <f>124.7655*$E$332</f>
        <v>0</v>
      </c>
      <c r="F358">
        <f>-77.1639*$F$332</f>
        <v>0</v>
      </c>
      <c r="G358">
        <f>-6.4186*$G$332</f>
        <v>0</v>
      </c>
      <c r="H358">
        <f>0*$H$332</f>
        <v>0</v>
      </c>
      <c r="I358">
        <f>2.0992*$I$332</f>
        <v>0</v>
      </c>
      <c r="J358">
        <f>-17.3566*$J$332</f>
        <v>0</v>
      </c>
      <c r="K358">
        <f>23.1421*$K$332</f>
        <v>0</v>
      </c>
      <c r="L358">
        <f>-1.0048*$L$332</f>
        <v>0</v>
      </c>
      <c r="M358">
        <f>0+D358+E358+G358+H358+I358+J358+K358+L358</f>
        <v>0</v>
      </c>
      <c r="N358">
        <f>0+D358+F358+G358+H358+I358+J358+K358+L358</f>
        <v>0</v>
      </c>
    </row>
    <row r="359" spans="3:14">
      <c r="C359" t="s">
        <v>39</v>
      </c>
      <c r="D359">
        <f>8.7934*$D$332</f>
        <v>0</v>
      </c>
      <c r="E359">
        <f>114.3764*$E$332</f>
        <v>0</v>
      </c>
      <c r="F359">
        <f>-77.6011*$F$332</f>
        <v>0</v>
      </c>
      <c r="G359">
        <f>-4.7003*$G$332</f>
        <v>0</v>
      </c>
      <c r="H359">
        <f>0*$H$332</f>
        <v>0</v>
      </c>
      <c r="I359">
        <f>1.748*$I$332</f>
        <v>0</v>
      </c>
      <c r="J359">
        <f>-24.9431*$J$332</f>
        <v>0</v>
      </c>
      <c r="K359">
        <f>33.2574*$K$332</f>
        <v>0</v>
      </c>
      <c r="L359">
        <f>-1.0175*$L$332</f>
        <v>0</v>
      </c>
      <c r="M359">
        <f>0+D359+E359+G359+H359+I359+J359+K359+L359</f>
        <v>0</v>
      </c>
      <c r="N359">
        <f>0+D359+F359+G359+H359+I359+J359+K359+L359</f>
        <v>0</v>
      </c>
    </row>
    <row r="360" spans="3:14">
      <c r="C360" t="s">
        <v>40</v>
      </c>
      <c r="D360">
        <f>7.1497*$D$332</f>
        <v>0</v>
      </c>
      <c r="E360">
        <f>104.3046*$E$332</f>
        <v>0</v>
      </c>
      <c r="F360">
        <f>-80.3242*$F$332</f>
        <v>0</v>
      </c>
      <c r="G360">
        <f>-2.7578*$G$332</f>
        <v>0</v>
      </c>
      <c r="H360">
        <f>0*$H$332</f>
        <v>0</v>
      </c>
      <c r="I360">
        <f>1.307*$I$332</f>
        <v>0</v>
      </c>
      <c r="J360">
        <f>-30.4026*$J$332</f>
        <v>0</v>
      </c>
      <c r="K360">
        <f>40.5368*$K$332</f>
        <v>0</v>
      </c>
      <c r="L360">
        <f>-1.0524*$L$332</f>
        <v>0</v>
      </c>
      <c r="M360">
        <f>0+D360+E360+G360+H360+I360+J360+K360+L360</f>
        <v>0</v>
      </c>
      <c r="N360">
        <f>0+D360+F360+G360+H360+I360+J360+K360+L360</f>
        <v>0</v>
      </c>
    </row>
    <row r="361" spans="3:14">
      <c r="C361" t="s">
        <v>41</v>
      </c>
      <c r="D361">
        <f>6.2399*$D$332</f>
        <v>0</v>
      </c>
      <c r="E361">
        <f>96.3935*$E$332</f>
        <v>0</v>
      </c>
      <c r="F361">
        <f>-83.0809*$F$332</f>
        <v>0</v>
      </c>
      <c r="G361">
        <f>-0.4372*$G$332</f>
        <v>0</v>
      </c>
      <c r="H361">
        <f>0*$H$332</f>
        <v>0</v>
      </c>
      <c r="I361">
        <f>0.9556*$I$332</f>
        <v>0</v>
      </c>
      <c r="J361">
        <f>-35.963*$J$332</f>
        <v>0</v>
      </c>
      <c r="K361">
        <f>47.9507*$K$332</f>
        <v>0</v>
      </c>
      <c r="L361">
        <f>-1.1317*$L$332</f>
        <v>0</v>
      </c>
      <c r="M361">
        <f>0+D361+E361+G361+H361+I361+J361+K361+L361</f>
        <v>0</v>
      </c>
      <c r="N361">
        <f>0+D361+F361+G361+H361+I361+J361+K361+L361</f>
        <v>0</v>
      </c>
    </row>
    <row r="362" spans="3:14">
      <c r="C362" t="s">
        <v>42</v>
      </c>
      <c r="D362">
        <f>5.9882*$D$332</f>
        <v>0</v>
      </c>
      <c r="E362">
        <f>83.0892*$E$332</f>
        <v>0</v>
      </c>
      <c r="F362">
        <f>-81.9539*$F$332</f>
        <v>0</v>
      </c>
      <c r="G362">
        <f>2.2658*$G$332</f>
        <v>0</v>
      </c>
      <c r="H362">
        <f>0*$H$332</f>
        <v>0</v>
      </c>
      <c r="I362">
        <f>0.6991*$I$332</f>
        <v>0</v>
      </c>
      <c r="J362">
        <f>-41.5221*$J$332</f>
        <v>0</v>
      </c>
      <c r="K362">
        <f>55.3628*$K$332</f>
        <v>0</v>
      </c>
      <c r="L362">
        <f>-1.211*$L$332</f>
        <v>0</v>
      </c>
      <c r="M362">
        <f>0+D362+E362+G362+H362+I362+J362+K362+L362</f>
        <v>0</v>
      </c>
      <c r="N362">
        <f>0+D362+F362+G362+H362+I362+J362+K362+L362</f>
        <v>0</v>
      </c>
    </row>
    <row r="363" spans="3:14">
      <c r="C363" t="s">
        <v>43</v>
      </c>
      <c r="D363">
        <f>-0.543*$D$332</f>
        <v>0</v>
      </c>
      <c r="E363">
        <f>84.98*$E$332</f>
        <v>0</v>
      </c>
      <c r="F363">
        <f>-67.2682*$F$332</f>
        <v>0</v>
      </c>
      <c r="G363">
        <f>-5.6186*$G$332</f>
        <v>0</v>
      </c>
      <c r="H363">
        <f>0*$H$332</f>
        <v>0</v>
      </c>
      <c r="I363">
        <f>0.5802*$I$332</f>
        <v>0</v>
      </c>
      <c r="J363">
        <f>-0.6608*$J$332</f>
        <v>0</v>
      </c>
      <c r="K363">
        <f>0.8811*$K$332</f>
        <v>0</v>
      </c>
      <c r="L363">
        <f>-1.2176*$L$332</f>
        <v>0</v>
      </c>
      <c r="M363">
        <f>0+D363+E363+G363+H363+I363+J363+K363+L363</f>
        <v>0</v>
      </c>
      <c r="N363">
        <f>0+D363+F363+G363+H363+I363+J363+K363+L363</f>
        <v>0</v>
      </c>
    </row>
    <row r="364" spans="3:14">
      <c r="C364" t="s">
        <v>44</v>
      </c>
      <c r="D364">
        <f>-0.5554*$D$332</f>
        <v>0</v>
      </c>
      <c r="E364">
        <f>74.7075*$E$332</f>
        <v>0</v>
      </c>
      <c r="F364">
        <f>-62.9695*$F$332</f>
        <v>0</v>
      </c>
      <c r="G364">
        <f>-2.9141*$G$332</f>
        <v>0</v>
      </c>
      <c r="H364">
        <f>0*$H$332</f>
        <v>0</v>
      </c>
      <c r="I364">
        <f>0.3433*$I$332</f>
        <v>0</v>
      </c>
      <c r="J364">
        <f>-4.9784*$J$332</f>
        <v>0</v>
      </c>
      <c r="K364">
        <f>6.6379*$K$332</f>
        <v>0</v>
      </c>
      <c r="L364">
        <f>-1.3063*$L$332</f>
        <v>0</v>
      </c>
      <c r="M364">
        <f>0+D364+E364+G364+H364+I364+J364+K364+L364</f>
        <v>0</v>
      </c>
      <c r="N364">
        <f>0+D364+F364+G364+H364+I364+J364+K364+L364</f>
        <v>0</v>
      </c>
    </row>
    <row r="365" spans="3:14">
      <c r="C365" t="s">
        <v>45</v>
      </c>
      <c r="D365">
        <f>-0.3708*$D$332</f>
        <v>0</v>
      </c>
      <c r="E365">
        <f>68.4728*$E$332</f>
        <v>0</v>
      </c>
      <c r="F365">
        <f>-58.9036*$F$332</f>
        <v>0</v>
      </c>
      <c r="G365">
        <f>-0.4282*$G$332</f>
        <v>0</v>
      </c>
      <c r="H365">
        <f>0*$H$332</f>
        <v>0</v>
      </c>
      <c r="I365">
        <f>0.1497*$I$332</f>
        <v>0</v>
      </c>
      <c r="J365">
        <f>-9.4121*$J$332</f>
        <v>0</v>
      </c>
      <c r="K365">
        <f>12.5495*$K$332</f>
        <v>0</v>
      </c>
      <c r="L365">
        <f>-1.4605*$L$332</f>
        <v>0</v>
      </c>
      <c r="M365">
        <f>0+D365+E365+G365+H365+I365+J365+K365+L365</f>
        <v>0</v>
      </c>
      <c r="N365">
        <f>0+D365+F365+G365+H365+I365+J365+K365+L365</f>
        <v>0</v>
      </c>
    </row>
    <row r="366" spans="3:14">
      <c r="C366" t="s">
        <v>46</v>
      </c>
      <c r="D366">
        <f>0.2062*$D$332</f>
        <v>0</v>
      </c>
      <c r="E366">
        <f>60.5414*$E$332</f>
        <v>0</v>
      </c>
      <c r="F366">
        <f>-75.2897*$F$332</f>
        <v>0</v>
      </c>
      <c r="G366">
        <f>2.2286*$G$332</f>
        <v>0</v>
      </c>
      <c r="H366">
        <f>0*$H$332</f>
        <v>0</v>
      </c>
      <c r="I366">
        <f>0.0005069*$I$332</f>
        <v>0</v>
      </c>
      <c r="J366">
        <f>-14.3464*$J$332</f>
        <v>0</v>
      </c>
      <c r="K366">
        <f>19.1286*$K$332</f>
        <v>0</v>
      </c>
      <c r="L366">
        <f>-1.6969*$L$332</f>
        <v>0</v>
      </c>
      <c r="M366">
        <f>0+D366+E366+G366+H366+I366+J366+K366+L366</f>
        <v>0</v>
      </c>
      <c r="N366">
        <f>0+D366+F366+G366+H366+I366+J366+K366+L366</f>
        <v>0</v>
      </c>
    </row>
    <row r="367" spans="3:14">
      <c r="C367" t="s">
        <v>47</v>
      </c>
      <c r="D367">
        <f>1.3843*$D$332</f>
        <v>0</v>
      </c>
      <c r="E367">
        <f>53.5999*$E$332</f>
        <v>0</v>
      </c>
      <c r="F367">
        <f>-50.7921*$F$332</f>
        <v>0</v>
      </c>
      <c r="G367">
        <f>5.2202*$G$332</f>
        <v>0</v>
      </c>
      <c r="H367">
        <f>0*$H$332</f>
        <v>0</v>
      </c>
      <c r="I367">
        <f>-0.0646*$I$332</f>
        <v>0</v>
      </c>
      <c r="J367">
        <f>-19.8651*$J$332</f>
        <v>0</v>
      </c>
      <c r="K367">
        <f>26.4868*$K$332</f>
        <v>0</v>
      </c>
      <c r="L367">
        <f>-1.9602*$L$332</f>
        <v>0</v>
      </c>
      <c r="M367">
        <f>0+D367+E367+G367+H367+I367+J367+K367+L367</f>
        <v>0</v>
      </c>
      <c r="N367">
        <f>0+D367+F367+G367+H367+I367+J367+K367+L367</f>
        <v>0</v>
      </c>
    </row>
    <row r="368" spans="3:14">
      <c r="C368" t="s">
        <v>48</v>
      </c>
      <c r="D368">
        <f>-2.3723*$D$332</f>
        <v>0</v>
      </c>
      <c r="E368">
        <f>52.577*$E$332</f>
        <v>0</v>
      </c>
      <c r="F368">
        <f>-57.264*$F$332</f>
        <v>0</v>
      </c>
      <c r="G368">
        <f>-3.4529*$G$332</f>
        <v>0</v>
      </c>
      <c r="H368">
        <f>0*$H$332</f>
        <v>0</v>
      </c>
      <c r="I368">
        <f>0.2354*$I$332</f>
        <v>0</v>
      </c>
      <c r="J368">
        <f>14.1049*$J$332</f>
        <v>0</v>
      </c>
      <c r="K368">
        <f>-18.8065*$K$332</f>
        <v>0</v>
      </c>
      <c r="L368">
        <f>-2.4658*$L$332</f>
        <v>0</v>
      </c>
      <c r="M368">
        <f>0+D368+E368+G368+H368+I368+J368+K368+L368</f>
        <v>0</v>
      </c>
      <c r="N368">
        <f>0+D368+F368+G368+H368+I368+J368+K368+L368</f>
        <v>0</v>
      </c>
    </row>
    <row r="369" spans="3:14">
      <c r="C369" t="s">
        <v>49</v>
      </c>
      <c r="D369">
        <f>-1.4104*$D$332</f>
        <v>0</v>
      </c>
      <c r="E369">
        <f>57.1098*$E$332</f>
        <v>0</v>
      </c>
      <c r="F369">
        <f>-64.1405*$F$332</f>
        <v>0</v>
      </c>
      <c r="G369">
        <f>-0.7328*$G$332</f>
        <v>0</v>
      </c>
      <c r="H369">
        <f>0*$H$332</f>
        <v>0</v>
      </c>
      <c r="I369">
        <f>0.1417*$I$332</f>
        <v>0</v>
      </c>
      <c r="J369">
        <f>9.5161*$J$332</f>
        <v>0</v>
      </c>
      <c r="K369">
        <f>-12.6881*$K$332</f>
        <v>0</v>
      </c>
      <c r="L369">
        <f>-2.9727*$L$332</f>
        <v>0</v>
      </c>
      <c r="M369">
        <f>0+D369+E369+G369+H369+I369+J369+K369+L369</f>
        <v>0</v>
      </c>
      <c r="N369">
        <f>0+D369+F369+G369+H369+I369+J369+K369+L369</f>
        <v>0</v>
      </c>
    </row>
    <row r="370" spans="3:14">
      <c r="C370" t="s">
        <v>50</v>
      </c>
      <c r="D370">
        <f>-0.8746*$D$332</f>
        <v>0</v>
      </c>
      <c r="E370">
        <f>61.436*$E$332</f>
        <v>0</v>
      </c>
      <c r="F370">
        <f>-69.6004*$F$332</f>
        <v>0</v>
      </c>
      <c r="G370">
        <f>1.7707*$G$332</f>
        <v>0</v>
      </c>
      <c r="H370">
        <f>0*$H$332</f>
        <v>0</v>
      </c>
      <c r="I370">
        <f>-0.001*$I$332</f>
        <v>0</v>
      </c>
      <c r="J370">
        <f>5.026*$J$332</f>
        <v>0</v>
      </c>
      <c r="K370">
        <f>-6.7013*$K$332</f>
        <v>0</v>
      </c>
      <c r="L370">
        <f>-3.718*$L$332</f>
        <v>0</v>
      </c>
      <c r="M370">
        <f>0+D370+E370+G370+H370+I370+J370+K370+L370</f>
        <v>0</v>
      </c>
      <c r="N370">
        <f>0+D370+F370+G370+H370+I370+J370+K370+L370</f>
        <v>0</v>
      </c>
    </row>
    <row r="371" spans="3:14">
      <c r="C371" t="s">
        <v>51</v>
      </c>
      <c r="D371">
        <f>-0.6371*$D$332</f>
        <v>0</v>
      </c>
      <c r="E371">
        <f>66.3113*$E$332</f>
        <v>0</v>
      </c>
      <c r="F371">
        <f>-78.393*$F$332</f>
        <v>0</v>
      </c>
      <c r="G371">
        <f>4.4478*$G$332</f>
        <v>0</v>
      </c>
      <c r="H371">
        <f>0*$H$332</f>
        <v>0</v>
      </c>
      <c r="I371">
        <f>-0.2011*$I$332</f>
        <v>0</v>
      </c>
      <c r="J371">
        <f>0.2661*$J$332</f>
        <v>0</v>
      </c>
      <c r="K371">
        <f>-0.3548*$K$332</f>
        <v>0</v>
      </c>
      <c r="L371">
        <f>-4.683*$L$332</f>
        <v>0</v>
      </c>
      <c r="M371">
        <f>0+D371+E371+G371+H371+I371+J371+K371+L371</f>
        <v>0</v>
      </c>
      <c r="N371">
        <f>0+D371+F371+G371+H371+I371+J371+K371+L371</f>
        <v>0</v>
      </c>
    </row>
    <row r="372" spans="3:14">
      <c r="C372" t="s">
        <v>52</v>
      </c>
      <c r="D372">
        <f>-0.4881*$D$332</f>
        <v>0</v>
      </c>
      <c r="E372">
        <f>71.5302*$E$332</f>
        <v>0</v>
      </c>
      <c r="F372">
        <f>-90.3524*$F$332</f>
        <v>0</v>
      </c>
      <c r="G372">
        <f>7.4546*$G$332</f>
        <v>0</v>
      </c>
      <c r="H372">
        <f>0*$H$332</f>
        <v>0</v>
      </c>
      <c r="I372">
        <f>-0.4191*$I$332</f>
        <v>0</v>
      </c>
      <c r="J372">
        <f>-4.7246*$J$332</f>
        <v>0</v>
      </c>
      <c r="K372">
        <f>6.2995*$K$332</f>
        <v>0</v>
      </c>
      <c r="L372">
        <f>-5.9934*$L$332</f>
        <v>0</v>
      </c>
      <c r="M372">
        <f>0+D372+E372+G372+H372+I372+J372+K372+L372</f>
        <v>0</v>
      </c>
      <c r="N372">
        <f>0+D372+F372+G372+H372+I372+J372+K372+L372</f>
        <v>0</v>
      </c>
    </row>
    <row r="373" spans="3:14">
      <c r="C373" t="s">
        <v>53</v>
      </c>
      <c r="D373">
        <f>-5.2608*$D$332</f>
        <v>0</v>
      </c>
      <c r="E373">
        <f>86.2659*$E$332</f>
        <v>0</v>
      </c>
      <c r="F373">
        <f>-91.1886*$F$332</f>
        <v>0</v>
      </c>
      <c r="G373">
        <f>-0.4753*$G$332</f>
        <v>0</v>
      </c>
      <c r="H373">
        <f>0*$H$332</f>
        <v>0</v>
      </c>
      <c r="I373">
        <f>-0.3149*$I$332</f>
        <v>0</v>
      </c>
      <c r="J373">
        <f>35.3109*$J$332</f>
        <v>0</v>
      </c>
      <c r="K373">
        <f>-47.0812*$K$332</f>
        <v>0</v>
      </c>
      <c r="L373">
        <f>-10.6101*$L$332</f>
        <v>0</v>
      </c>
      <c r="M373">
        <f>0+D373+E373+G373+H373+I373+J373+K373+L373</f>
        <v>0</v>
      </c>
      <c r="N373">
        <f>0+D373+F373+G373+H373+I373+J373+K373+L373</f>
        <v>0</v>
      </c>
    </row>
    <row r="374" spans="3:14">
      <c r="C374" t="s">
        <v>54</v>
      </c>
      <c r="D374">
        <f>-5.9537*$D$332</f>
        <v>0</v>
      </c>
      <c r="E374">
        <f>95.6218*$E$332</f>
        <v>0</v>
      </c>
      <c r="F374">
        <f>-99.328*$F$332</f>
        <v>0</v>
      </c>
      <c r="G374">
        <f>2.0225*$G$332</f>
        <v>0</v>
      </c>
      <c r="H374">
        <f>0*$H$332</f>
        <v>0</v>
      </c>
      <c r="I374">
        <f>-0.6369*$I$332</f>
        <v>0</v>
      </c>
      <c r="J374">
        <f>31.0503*$J$332</f>
        <v>0</v>
      </c>
      <c r="K374">
        <f>-41.4005*$K$332</f>
        <v>0</v>
      </c>
      <c r="L374">
        <f>-11.5908*$L$332</f>
        <v>0</v>
      </c>
      <c r="M374">
        <f>0+D374+E374+G374+H374+I374+J374+K374+L374</f>
        <v>0</v>
      </c>
      <c r="N374">
        <f>0+D374+F374+G374+H374+I374+J374+K374+L374</f>
        <v>0</v>
      </c>
    </row>
    <row r="375" spans="3:14">
      <c r="C375" t="s">
        <v>55</v>
      </c>
      <c r="D375">
        <f>-7.6123*$D$332</f>
        <v>0</v>
      </c>
      <c r="E375">
        <f>81.5327*$E$332</f>
        <v>0</v>
      </c>
      <c r="F375">
        <f>-109.7551*$F$332</f>
        <v>0</v>
      </c>
      <c r="G375">
        <f>4.1978*$G$332</f>
        <v>0</v>
      </c>
      <c r="H375">
        <f>0*$H$332</f>
        <v>0</v>
      </c>
      <c r="I375">
        <f>-1.0875*$I$332</f>
        <v>0</v>
      </c>
      <c r="J375">
        <f>26.7748*$J$332</f>
        <v>0</v>
      </c>
      <c r="K375">
        <f>-35.6997*$K$332</f>
        <v>0</v>
      </c>
      <c r="L375">
        <f>-12.2563*$L$332</f>
        <v>0</v>
      </c>
      <c r="M375">
        <f>0+D375+E375+G375+H375+I375+J375+K375+L375</f>
        <v>0</v>
      </c>
      <c r="N375">
        <f>0+D375+F375+G375+H375+I375+J375+K375+L375</f>
        <v>0</v>
      </c>
    </row>
    <row r="376" spans="3:14">
      <c r="C376" t="s">
        <v>56</v>
      </c>
      <c r="D376">
        <f>-9.9691*$D$332</f>
        <v>0</v>
      </c>
      <c r="E376">
        <f>80.4239*$E$332</f>
        <v>0</v>
      </c>
      <c r="F376">
        <f>-122.4303*$F$332</f>
        <v>0</v>
      </c>
      <c r="G376">
        <f>6.1998*$G$332</f>
        <v>0</v>
      </c>
      <c r="H376">
        <f>0*$H$332</f>
        <v>0</v>
      </c>
      <c r="I376">
        <f>-1.6454*$I$332</f>
        <v>0</v>
      </c>
      <c r="J376">
        <f>21.4548*$J$332</f>
        <v>0</v>
      </c>
      <c r="K376">
        <f>-28.6064*$K$332</f>
        <v>0</v>
      </c>
      <c r="L376">
        <f>-12.1942*$L$332</f>
        <v>0</v>
      </c>
      <c r="M376">
        <f>0+D376+E376+G376+H376+I376+J376+K376+L376</f>
        <v>0</v>
      </c>
      <c r="N376">
        <f>0+D376+F376+G376+H376+I376+J376+K376+L376</f>
        <v>0</v>
      </c>
    </row>
    <row r="377" spans="3:14">
      <c r="C377" t="s">
        <v>57</v>
      </c>
      <c r="D377">
        <f>-10.9414*$D$332</f>
        <v>0</v>
      </c>
      <c r="E377">
        <f>77.3576*$E$332</f>
        <v>0</v>
      </c>
      <c r="F377">
        <f>-129.3459*$F$332</f>
        <v>0</v>
      </c>
      <c r="G377">
        <f>7.8923*$G$332</f>
        <v>0</v>
      </c>
      <c r="H377">
        <f>0*$H$332</f>
        <v>0</v>
      </c>
      <c r="I377">
        <f>-2.0123*$I$332</f>
        <v>0</v>
      </c>
      <c r="J377">
        <f>10.7498*$J$332</f>
        <v>0</v>
      </c>
      <c r="K377">
        <f>-14.3331*$K$332</f>
        <v>0</v>
      </c>
      <c r="L377">
        <f>-9.8849*$L$332</f>
        <v>0</v>
      </c>
      <c r="M377">
        <f>0+D377+E377+G377+H377+I377+J377+K377+L377</f>
        <v>0</v>
      </c>
      <c r="N377">
        <f>0+D377+F377+G377+H377+I377+J377+K377+L377</f>
        <v>0</v>
      </c>
    </row>
    <row r="378" spans="3:14">
      <c r="C378" t="s">
        <v>58</v>
      </c>
      <c r="D378">
        <f>-10.5839*$D$332</f>
        <v>0</v>
      </c>
      <c r="E378">
        <f>101.2748*$E$332</f>
        <v>0</v>
      </c>
      <c r="F378">
        <f>-75.275*$F$332</f>
        <v>0</v>
      </c>
      <c r="G378">
        <f>1.442*$G$332</f>
        <v>0</v>
      </c>
      <c r="H378">
        <f>0*$H$332</f>
        <v>0</v>
      </c>
      <c r="I378">
        <f>-1.3171*$I$332</f>
        <v>0</v>
      </c>
      <c r="J378">
        <f>31.8459*$J$332</f>
        <v>0</v>
      </c>
      <c r="K378">
        <f>-42.4611*$K$332</f>
        <v>0</v>
      </c>
      <c r="L378">
        <f>-12.0416*$L$332</f>
        <v>0</v>
      </c>
      <c r="M378">
        <f>0+D378+E378+G378+H378+I378+J378+K378+L378</f>
        <v>0</v>
      </c>
      <c r="N378">
        <f>0+D378+F378+G378+H378+I378+J378+K378+L378</f>
        <v>0</v>
      </c>
    </row>
    <row r="379" spans="3:14">
      <c r="C379" t="s">
        <v>58</v>
      </c>
      <c r="D379">
        <f>11.1642*$D$332</f>
        <v>0</v>
      </c>
      <c r="E379">
        <f>31.4492*$E$332</f>
        <v>0</v>
      </c>
      <c r="F379">
        <f>-14.0963*$F$332</f>
        <v>0</v>
      </c>
      <c r="G379">
        <f>-0.5331*$G$332</f>
        <v>0</v>
      </c>
      <c r="H379">
        <f>0*$H$332</f>
        <v>0</v>
      </c>
      <c r="I379">
        <f>1.358*$I$332</f>
        <v>0</v>
      </c>
      <c r="J379">
        <f>-24.0813*$J$332</f>
        <v>0</v>
      </c>
      <c r="K379">
        <f>32.1084*$K$332</f>
        <v>0</v>
      </c>
      <c r="L379">
        <f>-36.3925*$L$332</f>
        <v>0</v>
      </c>
      <c r="M379">
        <f>0+D379+E379+G379+H379+I379+J379+K379+L379</f>
        <v>0</v>
      </c>
      <c r="N379">
        <f>0+D379+F379+G379+H379+I379+J379+K379+L379</f>
        <v>0</v>
      </c>
    </row>
    <row r="380" spans="3:14">
      <c r="C380" t="s">
        <v>59</v>
      </c>
      <c r="D380">
        <f>8.3809*$D$332</f>
        <v>0</v>
      </c>
      <c r="E380">
        <f>31.4492*$E$332</f>
        <v>0</v>
      </c>
      <c r="F380">
        <f>-14.0961*$F$332</f>
        <v>0</v>
      </c>
      <c r="G380">
        <f>-0.5331*$G$332</f>
        <v>0</v>
      </c>
      <c r="H380">
        <f>0*$H$332</f>
        <v>0</v>
      </c>
      <c r="I380">
        <f>1.358*$I$332</f>
        <v>0</v>
      </c>
      <c r="J380">
        <f>-24.0813*$J$332</f>
        <v>0</v>
      </c>
      <c r="K380">
        <f>32.1084*$K$332</f>
        <v>0</v>
      </c>
      <c r="L380">
        <f>-36.3925*$L$332</f>
        <v>0</v>
      </c>
      <c r="M380">
        <f>0+D380+E380+G380+H380+I380+J380+K380+L380</f>
        <v>0</v>
      </c>
      <c r="N380">
        <f>0+D380+F380+G380+H380+I380+J380+K380+L380</f>
        <v>0</v>
      </c>
    </row>
    <row r="381" spans="3:14">
      <c r="C381" t="s">
        <v>60</v>
      </c>
      <c r="D381">
        <f>10.7061*$D$332</f>
        <v>0</v>
      </c>
      <c r="E381">
        <f>74.0921*$E$332</f>
        <v>0</v>
      </c>
      <c r="F381">
        <f>-30.6978*$F$332</f>
        <v>0</v>
      </c>
      <c r="G381">
        <f>-5.4097*$G$332</f>
        <v>0</v>
      </c>
      <c r="H381">
        <f>0*$H$332</f>
        <v>0</v>
      </c>
      <c r="I381">
        <f>2.1847*$I$332</f>
        <v>0</v>
      </c>
      <c r="J381">
        <f>-8.5205*$J$332</f>
        <v>0</v>
      </c>
      <c r="K381">
        <f>11.3606*$K$332</f>
        <v>0</v>
      </c>
      <c r="L381">
        <f>-57.6697*$L$332</f>
        <v>0</v>
      </c>
      <c r="M381">
        <f>0+D381+E381+G381+H381+I381+J381+K381+L381</f>
        <v>0</v>
      </c>
      <c r="N381">
        <f>0+D381+F381+G381+H381+I381+J381+K381+L381</f>
        <v>0</v>
      </c>
    </row>
    <row r="382" spans="3:14">
      <c r="C382" t="s">
        <v>61</v>
      </c>
      <c r="D382">
        <f>10.4972*$D$332</f>
        <v>0</v>
      </c>
      <c r="E382">
        <f>67.353*$E$332</f>
        <v>0</v>
      </c>
      <c r="F382">
        <f>-31.3582*$F$332</f>
        <v>0</v>
      </c>
      <c r="G382">
        <f>-3.4321*$G$332</f>
        <v>0</v>
      </c>
      <c r="H382">
        <f>0*$H$332</f>
        <v>0</v>
      </c>
      <c r="I382">
        <f>1.9332*$I$332</f>
        <v>0</v>
      </c>
      <c r="J382">
        <f>-15.1734*$J$332</f>
        <v>0</v>
      </c>
      <c r="K382">
        <f>20.2311*$K$332</f>
        <v>0</v>
      </c>
      <c r="L382">
        <f>-50.685*$L$332</f>
        <v>0</v>
      </c>
      <c r="M382">
        <f>0+D382+E382+G382+H382+I382+J382+K382+L382</f>
        <v>0</v>
      </c>
      <c r="N382">
        <f>0+D382+F382+G382+H382+I382+J382+K382+L382</f>
        <v>0</v>
      </c>
    </row>
    <row r="383" spans="3:14">
      <c r="C383" t="s">
        <v>62</v>
      </c>
      <c r="D383">
        <f>9.1722*$D$332</f>
        <v>0</v>
      </c>
      <c r="E383">
        <f>59.9753*$E$332</f>
        <v>0</v>
      </c>
      <c r="F383">
        <f>-32.4776*$F$332</f>
        <v>0</v>
      </c>
      <c r="G383">
        <f>-1.1571*$G$332</f>
        <v>0</v>
      </c>
      <c r="H383">
        <f>0*$H$332</f>
        <v>0</v>
      </c>
      <c r="I383">
        <f>1.5189*$I$332</f>
        <v>0</v>
      </c>
      <c r="J383">
        <f>-18.5494*$J$332</f>
        <v>0</v>
      </c>
      <c r="K383">
        <f>24.7325*$K$332</f>
        <v>0</v>
      </c>
      <c r="L383">
        <f>-35.1878*$L$332</f>
        <v>0</v>
      </c>
      <c r="M383">
        <f>0+D383+E383+G383+H383+I383+J383+K383+L383</f>
        <v>0</v>
      </c>
      <c r="N383">
        <f>0+D383+F383+G383+H383+I383+J383+K383+L383</f>
        <v>0</v>
      </c>
    </row>
    <row r="384" spans="3:14">
      <c r="C384" t="s">
        <v>63</v>
      </c>
      <c r="D384">
        <f>7.819*$D$332</f>
        <v>0</v>
      </c>
      <c r="E384">
        <f>50.631*$E$332</f>
        <v>0</v>
      </c>
      <c r="F384">
        <f>-33.4408*$F$332</f>
        <v>0</v>
      </c>
      <c r="G384">
        <f>1.5101*$G$332</f>
        <v>0</v>
      </c>
      <c r="H384">
        <f>0*$H$332</f>
        <v>0</v>
      </c>
      <c r="I384">
        <f>1.079*$I$332</f>
        <v>0</v>
      </c>
      <c r="J384">
        <f>-21.331*$J$332</f>
        <v>0</v>
      </c>
      <c r="K384">
        <f>28.4413*$K$332</f>
        <v>0</v>
      </c>
      <c r="L384">
        <f>-15.7265*$L$332</f>
        <v>0</v>
      </c>
      <c r="M384">
        <f>0+D384+E384+G384+H384+I384+J384+K384+L384</f>
        <v>0</v>
      </c>
      <c r="N384">
        <f>0+D384+F384+G384+H384+I384+J384+K384+L384</f>
        <v>0</v>
      </c>
    </row>
    <row r="385" spans="3:14">
      <c r="C385" t="s">
        <v>64</v>
      </c>
      <c r="D385">
        <f>6.3376*$D$332</f>
        <v>0</v>
      </c>
      <c r="E385">
        <f>39.7849*$E$332</f>
        <v>0</v>
      </c>
      <c r="F385">
        <f>-37.1732*$F$332</f>
        <v>0</v>
      </c>
      <c r="G385">
        <f>4.564*$G$332</f>
        <v>0</v>
      </c>
      <c r="H385">
        <f>0*$H$332</f>
        <v>0</v>
      </c>
      <c r="I385">
        <f>0.6161*$I$332</f>
        <v>0</v>
      </c>
      <c r="J385">
        <f>-23.5032*$J$332</f>
        <v>0</v>
      </c>
      <c r="K385">
        <f>31.3376*$K$332</f>
        <v>0</v>
      </c>
      <c r="L385">
        <f>3.4987*$L$332</f>
        <v>0</v>
      </c>
      <c r="M385">
        <f>0+D385+E385+G385+H385+I385+J385+K385+L385</f>
        <v>0</v>
      </c>
      <c r="N385">
        <f>0+D385+F385+G385+H385+I385+J385+K385+L385</f>
        <v>0</v>
      </c>
    </row>
    <row r="386" spans="3:14">
      <c r="C386" t="s">
        <v>65</v>
      </c>
      <c r="D386">
        <f>3.1944*$D$332</f>
        <v>0</v>
      </c>
      <c r="E386">
        <f>41.2821*$E$332</f>
        <v>0</v>
      </c>
      <c r="F386">
        <f>-39.3059*$F$332</f>
        <v>0</v>
      </c>
      <c r="G386">
        <f>-1.2254*$G$332</f>
        <v>0</v>
      </c>
      <c r="H386">
        <f>0*$H$332</f>
        <v>0</v>
      </c>
      <c r="I386">
        <f>0.8685*$I$332</f>
        <v>0</v>
      </c>
      <c r="J386">
        <f>33.4617*$J$332</f>
        <v>0</v>
      </c>
      <c r="K386">
        <f>-44.6157*$K$332</f>
        <v>0</v>
      </c>
      <c r="L386">
        <f>15.6484*$L$332</f>
        <v>0</v>
      </c>
      <c r="M386">
        <f>0+D386+E386+G386+H386+I386+J386+K386+L386</f>
        <v>0</v>
      </c>
      <c r="N386">
        <f>0+D386+F386+G386+H386+I386+J386+K386+L386</f>
        <v>0</v>
      </c>
    </row>
    <row r="387" spans="3:14">
      <c r="C387" t="s">
        <v>66</v>
      </c>
      <c r="D387">
        <f>1.5727*$D$332</f>
        <v>0</v>
      </c>
      <c r="E387">
        <f>40.1551*$E$332</f>
        <v>0</v>
      </c>
      <c r="F387">
        <f>-47.878*$F$332</f>
        <v>0</v>
      </c>
      <c r="G387">
        <f>1.8516*$G$332</f>
        <v>0</v>
      </c>
      <c r="H387">
        <f>0*$H$332</f>
        <v>0</v>
      </c>
      <c r="I387">
        <f>0.365*$I$332</f>
        <v>0</v>
      </c>
      <c r="J387">
        <f>32.7449*$J$332</f>
        <v>0</v>
      </c>
      <c r="K387">
        <f>-43.6598*$K$332</f>
        <v>0</v>
      </c>
      <c r="L387">
        <f>39.2651*$L$332</f>
        <v>0</v>
      </c>
      <c r="M387">
        <f>0+D387+E387+G387+H387+I387+J387+K387+L387</f>
        <v>0</v>
      </c>
      <c r="N387">
        <f>0+D387+F387+G387+H387+I387+J387+K387+L387</f>
        <v>0</v>
      </c>
    </row>
    <row r="388" spans="3:14">
      <c r="C388" t="s">
        <v>67</v>
      </c>
      <c r="D388">
        <f>-0.0403*$D$332</f>
        <v>0</v>
      </c>
      <c r="E388">
        <f>39.7809*$E$332</f>
        <v>0</v>
      </c>
      <c r="F388">
        <f>-55.0396*$F$332</f>
        <v>0</v>
      </c>
      <c r="G388">
        <f>4.551*$G$332</f>
        <v>0</v>
      </c>
      <c r="H388">
        <f>0*$H$332</f>
        <v>0</v>
      </c>
      <c r="I388">
        <f>-0.1145*$I$332</f>
        <v>0</v>
      </c>
      <c r="J388">
        <f>31.485*$J$332</f>
        <v>0</v>
      </c>
      <c r="K388">
        <f>-41.9801*$K$332</f>
        <v>0</v>
      </c>
      <c r="L388">
        <f>61.0847*$L$332</f>
        <v>0</v>
      </c>
      <c r="M388">
        <f>0+D388+E388+G388+H388+I388+J388+K388+L388</f>
        <v>0</v>
      </c>
      <c r="N388">
        <f>0+D388+F388+G388+H388+I388+J388+K388+L388</f>
        <v>0</v>
      </c>
    </row>
    <row r="389" spans="3:14">
      <c r="C389" t="s">
        <v>68</v>
      </c>
      <c r="D389">
        <f>-1.5721*$D$332</f>
        <v>0</v>
      </c>
      <c r="E389">
        <f>40.0391*$E$332</f>
        <v>0</v>
      </c>
      <c r="F389">
        <f>-62.6214*$F$332</f>
        <v>0</v>
      </c>
      <c r="G389">
        <f>6.902*$G$332</f>
        <v>0</v>
      </c>
      <c r="H389">
        <f>0*$H$332</f>
        <v>0</v>
      </c>
      <c r="I389">
        <f>-0.5688*$I$332</f>
        <v>0</v>
      </c>
      <c r="J389">
        <f>28.0742*$J$332</f>
        <v>0</v>
      </c>
      <c r="K389">
        <f>-37.4323*$K$332</f>
        <v>0</v>
      </c>
      <c r="L389">
        <f>76.9632*$L$332</f>
        <v>0</v>
      </c>
      <c r="M389">
        <f>0+D389+E389+G389+H389+I389+J389+K389+L389</f>
        <v>0</v>
      </c>
      <c r="N389">
        <f>0+D389+F389+G389+H389+I389+J389+K389+L389</f>
        <v>0</v>
      </c>
    </row>
    <row r="390" spans="3:14">
      <c r="C390" t="s">
        <v>69</v>
      </c>
      <c r="D390">
        <f>-3.7422*$D$332</f>
        <v>0</v>
      </c>
      <c r="E390">
        <f>44.0337*$E$332</f>
        <v>0</v>
      </c>
      <c r="F390">
        <f>-63.6556*$F$332</f>
        <v>0</v>
      </c>
      <c r="G390">
        <f>8.6341*$G$332</f>
        <v>0</v>
      </c>
      <c r="H390">
        <f>0*$H$332</f>
        <v>0</v>
      </c>
      <c r="I390">
        <f>-1.1017*$I$332</f>
        <v>0</v>
      </c>
      <c r="J390">
        <f>31.1364*$J$332</f>
        <v>0</v>
      </c>
      <c r="K390">
        <f>-41.5152*$K$332</f>
        <v>0</v>
      </c>
      <c r="L390">
        <f>78.0131*$L$332</f>
        <v>0</v>
      </c>
      <c r="M390">
        <f>0+D390+E390+G390+H390+I390+J390+K390+L390</f>
        <v>0</v>
      </c>
      <c r="N390">
        <f>0+D390+F390+G390+H390+I390+J390+K390+L390</f>
        <v>0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C3:N390"/>
  <sheetViews>
    <sheetView workbookViewId="0"/>
  </sheetViews>
  <sheetFormatPr defaultRowHeight="15"/>
  <sheetData>
    <row r="3" spans="3:14">
      <c r="C3" t="s">
        <v>75</v>
      </c>
    </row>
    <row r="5" spans="3:14">
      <c r="C5" t="s">
        <v>1</v>
      </c>
    </row>
    <row r="7" spans="3:14">
      <c r="C7" t="s">
        <v>2</v>
      </c>
    </row>
    <row r="8" spans="3:14"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  <c r="N8" t="s">
        <v>14</v>
      </c>
    </row>
    <row r="9" spans="3:14">
      <c r="C9" t="s">
        <v>76</v>
      </c>
      <c r="D9">
        <f>-37.2308*$D$7</f>
        <v>0</v>
      </c>
      <c r="E9">
        <f>174.7993*$E$7</f>
        <v>0</v>
      </c>
      <c r="F9">
        <f>-247.0091*$F$7</f>
        <v>0</v>
      </c>
      <c r="G9">
        <f>22.5127*$G$7</f>
        <v>0</v>
      </c>
      <c r="H9">
        <f>0*$H$7</f>
        <v>0</v>
      </c>
      <c r="I9">
        <f>-7.4928*$I$7</f>
        <v>0</v>
      </c>
      <c r="J9">
        <f>149.2803*$J$7</f>
        <v>0</v>
      </c>
      <c r="K9">
        <f>-199.0404*$K$7</f>
        <v>0</v>
      </c>
      <c r="L9">
        <f>-0.0594*$L$7</f>
        <v>0</v>
      </c>
      <c r="M9">
        <f>0+D9+E9+G9+H9+I9+J9+K9+L9</f>
        <v>0</v>
      </c>
      <c r="N9">
        <f>0+D9+F9+G9+H9+I9+J9+K9+L9</f>
        <v>0</v>
      </c>
    </row>
    <row r="10" spans="3:14">
      <c r="C10" t="s">
        <v>16</v>
      </c>
      <c r="D10">
        <f>208.9494*$D$7</f>
        <v>0</v>
      </c>
      <c r="E10">
        <f>372.0947*$E$7</f>
        <v>0</v>
      </c>
      <c r="F10">
        <f>-31.7546*$F$7</f>
        <v>0</v>
      </c>
      <c r="G10">
        <f>33.3869*$G$7</f>
        <v>0</v>
      </c>
      <c r="H10">
        <f>0*$H$7</f>
        <v>0</v>
      </c>
      <c r="I10">
        <f>29.4011*$I$7</f>
        <v>0</v>
      </c>
      <c r="J10">
        <f>53.8811*$J$7</f>
        <v>0</v>
      </c>
      <c r="K10">
        <f>-71.8415*$K$7</f>
        <v>0</v>
      </c>
      <c r="L10">
        <f>-0.0536*$L$7</f>
        <v>0</v>
      </c>
      <c r="M10">
        <f>0+D10+E10+G10+H10+I10+J10+K10+L10</f>
        <v>0</v>
      </c>
      <c r="N10">
        <f>0+D10+F10+G10+H10+I10+J10+K10+L10</f>
        <v>0</v>
      </c>
    </row>
    <row r="11" spans="3:14">
      <c r="C11" t="s">
        <v>17</v>
      </c>
      <c r="D11">
        <f>411.2355*$D$7</f>
        <v>0</v>
      </c>
      <c r="E11">
        <f>623.4696*$E$7</f>
        <v>0</v>
      </c>
      <c r="F11">
        <f>-13.6907*$F$7</f>
        <v>0</v>
      </c>
      <c r="G11">
        <f>44.5054*$G$7</f>
        <v>0</v>
      </c>
      <c r="H11">
        <f>0*$H$7</f>
        <v>0</v>
      </c>
      <c r="I11">
        <f>59.2292*$I$7</f>
        <v>0</v>
      </c>
      <c r="J11">
        <f>-9.179*$J$7</f>
        <v>0</v>
      </c>
      <c r="K11">
        <f>12.2386*$K$7</f>
        <v>0</v>
      </c>
      <c r="L11">
        <f>-0.0477*$L$7</f>
        <v>0</v>
      </c>
      <c r="M11">
        <f>0+D11+E11+G11+H11+I11+J11+K11+L11</f>
        <v>0</v>
      </c>
      <c r="N11">
        <f>0+D11+F11+G11+H11+I11+J11+K11+L11</f>
        <v>0</v>
      </c>
    </row>
    <row r="12" spans="3:14">
      <c r="C12" t="s">
        <v>18</v>
      </c>
      <c r="D12">
        <f>583.2861*$D$7</f>
        <v>0</v>
      </c>
      <c r="E12">
        <f>841.75*$E$7</f>
        <v>0</v>
      </c>
      <c r="F12">
        <f>-15.256*$F$7</f>
        <v>0</v>
      </c>
      <c r="G12">
        <f>56.4693*$G$7</f>
        <v>0</v>
      </c>
      <c r="H12">
        <f>0*$H$7</f>
        <v>0</v>
      </c>
      <c r="I12">
        <f>84.036*$I$7</f>
        <v>0</v>
      </c>
      <c r="J12">
        <f>-68.7873*$J$7</f>
        <v>0</v>
      </c>
      <c r="K12">
        <f>91.7165*$K$7</f>
        <v>0</v>
      </c>
      <c r="L12">
        <f>-0.0417*$L$7</f>
        <v>0</v>
      </c>
      <c r="M12">
        <f>0+D12+E12+G12+H12+I12+J12+K12+L12</f>
        <v>0</v>
      </c>
      <c r="N12">
        <f>0+D12+F12+G12+H12+I12+J12+K12+L12</f>
        <v>0</v>
      </c>
    </row>
    <row r="13" spans="3:14">
      <c r="C13" t="s">
        <v>19</v>
      </c>
      <c r="D13">
        <f>719.1837*$D$7</f>
        <v>0</v>
      </c>
      <c r="E13">
        <f>1005.8245*$E$7</f>
        <v>0</v>
      </c>
      <c r="F13">
        <f>-17.0158*$F$7</f>
        <v>0</v>
      </c>
      <c r="G13">
        <f>68.1612*$G$7</f>
        <v>0</v>
      </c>
      <c r="H13">
        <f>0*$H$7</f>
        <v>0</v>
      </c>
      <c r="I13">
        <f>103.0469*$I$7</f>
        <v>0</v>
      </c>
      <c r="J13">
        <f>-127.2594*$J$7</f>
        <v>0</v>
      </c>
      <c r="K13">
        <f>169.6792*$K$7</f>
        <v>0</v>
      </c>
      <c r="L13">
        <f>-0.0362*$L$7</f>
        <v>0</v>
      </c>
      <c r="M13">
        <f>0+D13+E13+G13+H13+I13+J13+K13+L13</f>
        <v>0</v>
      </c>
      <c r="N13">
        <f>0+D13+F13+G13+H13+I13+J13+K13+L13</f>
        <v>0</v>
      </c>
    </row>
    <row r="14" spans="3:14">
      <c r="C14" t="s">
        <v>20</v>
      </c>
      <c r="D14">
        <f>835.7625*$D$7</f>
        <v>0</v>
      </c>
      <c r="E14">
        <f>1140.4877*$E$7</f>
        <v>0</v>
      </c>
      <c r="F14">
        <f>-19.0466*$F$7</f>
        <v>0</v>
      </c>
      <c r="G14">
        <f>79.9011*$G$7</f>
        <v>0</v>
      </c>
      <c r="H14">
        <f>0*$H$7</f>
        <v>0</v>
      </c>
      <c r="I14">
        <f>118.7557*$I$7</f>
        <v>0</v>
      </c>
      <c r="J14">
        <f>-177.7463*$J$7</f>
        <v>0</v>
      </c>
      <c r="K14">
        <f>236.995*$K$7</f>
        <v>0</v>
      </c>
      <c r="L14">
        <f>-0.0316*$L$7</f>
        <v>0</v>
      </c>
      <c r="M14">
        <f>0+D14+E14+G14+H14+I14+J14+K14+L14</f>
        <v>0</v>
      </c>
      <c r="N14">
        <f>0+D14+F14+G14+H14+I14+J14+K14+L14</f>
        <v>0</v>
      </c>
    </row>
    <row r="15" spans="3:14">
      <c r="C15" t="s">
        <v>21</v>
      </c>
      <c r="D15">
        <f>934.2078*$D$7</f>
        <v>0</v>
      </c>
      <c r="E15">
        <f>1276.0762*$E$7</f>
        <v>0</v>
      </c>
      <c r="F15">
        <f>-21.266*$F$7</f>
        <v>0</v>
      </c>
      <c r="G15">
        <f>86.9761*$G$7</f>
        <v>0</v>
      </c>
      <c r="H15">
        <f>0*$H$7</f>
        <v>0</v>
      </c>
      <c r="I15">
        <f>133.879*$I$7</f>
        <v>0</v>
      </c>
      <c r="J15">
        <f>-158.7185*$J$7</f>
        <v>0</v>
      </c>
      <c r="K15">
        <f>211.6246*$K$7</f>
        <v>0</v>
      </c>
      <c r="L15">
        <f>-0.0286*$L$7</f>
        <v>0</v>
      </c>
      <c r="M15">
        <f>0+D15+E15+G15+H15+I15+J15+K15+L15</f>
        <v>0</v>
      </c>
      <c r="N15">
        <f>0+D15+F15+G15+H15+I15+J15+K15+L15</f>
        <v>0</v>
      </c>
    </row>
    <row r="16" spans="3:14">
      <c r="C16" t="s">
        <v>22</v>
      </c>
      <c r="D16">
        <f>1007.7985*$D$7</f>
        <v>0</v>
      </c>
      <c r="E16">
        <f>1373.3847*$E$7</f>
        <v>0</v>
      </c>
      <c r="F16">
        <f>-23.4292*$F$7</f>
        <v>0</v>
      </c>
      <c r="G16">
        <f>92.1139*$G$7</f>
        <v>0</v>
      </c>
      <c r="H16">
        <f>0*$H$7</f>
        <v>0</v>
      </c>
      <c r="I16">
        <f>144.912*$I$7</f>
        <v>0</v>
      </c>
      <c r="J16">
        <f>-149.7746*$J$7</f>
        <v>0</v>
      </c>
      <c r="K16">
        <f>199.6995*$K$7</f>
        <v>0</v>
      </c>
      <c r="L16">
        <f>-0.0262*$L$7</f>
        <v>0</v>
      </c>
      <c r="M16">
        <f>0+D16+E16+G16+H16+I16+J16+K16+L16</f>
        <v>0</v>
      </c>
      <c r="N16">
        <f>0+D16+F16+G16+H16+I16+J16+K16+L16</f>
        <v>0</v>
      </c>
    </row>
    <row r="17" spans="3:14">
      <c r="C17" t="s">
        <v>23</v>
      </c>
      <c r="D17">
        <f>1055.3254*$D$7</f>
        <v>0</v>
      </c>
      <c r="E17">
        <f>1428.6787*$E$7</f>
        <v>0</v>
      </c>
      <c r="F17">
        <f>-25.4096*$F$7</f>
        <v>0</v>
      </c>
      <c r="G17">
        <f>96.9956*$G$7</f>
        <v>0</v>
      </c>
      <c r="H17">
        <f>0*$H$7</f>
        <v>0</v>
      </c>
      <c r="I17">
        <f>151.6249*$I$7</f>
        <v>0</v>
      </c>
      <c r="J17">
        <f>-149.0005*$J$7</f>
        <v>0</v>
      </c>
      <c r="K17">
        <f>198.6673*$K$7</f>
        <v>0</v>
      </c>
      <c r="L17">
        <f>-0.0242*$L$7</f>
        <v>0</v>
      </c>
      <c r="M17">
        <f>0+D17+E17+G17+H17+I17+J17+K17+L17</f>
        <v>0</v>
      </c>
      <c r="N17">
        <f>0+D17+F17+G17+H17+I17+J17+K17+L17</f>
        <v>0</v>
      </c>
    </row>
    <row r="18" spans="3:14">
      <c r="C18" t="s">
        <v>24</v>
      </c>
      <c r="D18">
        <f>1087.9167*$D$7</f>
        <v>0</v>
      </c>
      <c r="E18">
        <f>1457.9077*$E$7</f>
        <v>0</v>
      </c>
      <c r="F18">
        <f>-27.5633*$F$7</f>
        <v>0</v>
      </c>
      <c r="G18">
        <f>102.4648*$G$7</f>
        <v>0</v>
      </c>
      <c r="H18">
        <f>0*$H$7</f>
        <v>0</v>
      </c>
      <c r="I18">
        <f>155.6693*$I$7</f>
        <v>0</v>
      </c>
      <c r="J18">
        <f>-156.2359*$J$7</f>
        <v>0</v>
      </c>
      <c r="K18">
        <f>208.3145*$K$7</f>
        <v>0</v>
      </c>
      <c r="L18">
        <f>-0.0224*$L$7</f>
        <v>0</v>
      </c>
      <c r="M18">
        <f>0+D18+E18+G18+H18+I18+J18+K18+L18</f>
        <v>0</v>
      </c>
      <c r="N18">
        <f>0+D18+F18+G18+H18+I18+J18+K18+L18</f>
        <v>0</v>
      </c>
    </row>
    <row r="19" spans="3:14">
      <c r="C19" t="s">
        <v>25</v>
      </c>
      <c r="D19">
        <f>1096.5286*$D$7</f>
        <v>0</v>
      </c>
      <c r="E19">
        <f>1444.5103*$E$7</f>
        <v>0</v>
      </c>
      <c r="F19">
        <f>-29.9357*$F$7</f>
        <v>0</v>
      </c>
      <c r="G19">
        <f>107.1512*$G$7</f>
        <v>0</v>
      </c>
      <c r="H19">
        <f>0*$H$7</f>
        <v>0</v>
      </c>
      <c r="I19">
        <f>155.7131*$I$7</f>
        <v>0</v>
      </c>
      <c r="J19">
        <f>-167.7441*$J$7</f>
        <v>0</v>
      </c>
      <c r="K19">
        <f>223.6588*$K$7</f>
        <v>0</v>
      </c>
      <c r="L19">
        <f>-0.0215*$L$7</f>
        <v>0</v>
      </c>
      <c r="M19">
        <f>0+D19+E19+G19+H19+I19+J19+K19+L19</f>
        <v>0</v>
      </c>
      <c r="N19">
        <f>0+D19+F19+G19+H19+I19+J19+K19+L19</f>
        <v>0</v>
      </c>
    </row>
    <row r="20" spans="3:14">
      <c r="C20" t="s">
        <v>26</v>
      </c>
      <c r="D20">
        <f>1078.1752*$D$7</f>
        <v>0</v>
      </c>
      <c r="E20">
        <f>1445.9738*$E$7</f>
        <v>0</v>
      </c>
      <c r="F20">
        <f>-32.5027*$F$7</f>
        <v>0</v>
      </c>
      <c r="G20">
        <f>101.5224*$G$7</f>
        <v>0</v>
      </c>
      <c r="H20">
        <f>0*$H$7</f>
        <v>0</v>
      </c>
      <c r="I20">
        <f>154.2802*$I$7</f>
        <v>0</v>
      </c>
      <c r="J20">
        <f>-155.1999*$J$7</f>
        <v>0</v>
      </c>
      <c r="K20">
        <f>206.9333*$K$7</f>
        <v>0</v>
      </c>
      <c r="L20">
        <f>-0.0232*$L$7</f>
        <v>0</v>
      </c>
      <c r="M20">
        <f>0+D20+E20+G20+H20+I20+J20+K20+L20</f>
        <v>0</v>
      </c>
      <c r="N20">
        <f>0+D20+F20+G20+H20+I20+J20+K20+L20</f>
        <v>0</v>
      </c>
    </row>
    <row r="21" spans="3:14">
      <c r="C21" t="s">
        <v>27</v>
      </c>
      <c r="D21">
        <f>1038.8864*$D$7</f>
        <v>0</v>
      </c>
      <c r="E21">
        <f>1414.7296*$E$7</f>
        <v>0</v>
      </c>
      <c r="F21">
        <f>-35.6006*$F$7</f>
        <v>0</v>
      </c>
      <c r="G21">
        <f>95.057*$G$7</f>
        <v>0</v>
      </c>
      <c r="H21">
        <f>0*$H$7</f>
        <v>0</v>
      </c>
      <c r="I21">
        <f>149.2515*$I$7</f>
        <v>0</v>
      </c>
      <c r="J21">
        <f>-146.8267*$J$7</f>
        <v>0</v>
      </c>
      <c r="K21">
        <f>195.769*$K$7</f>
        <v>0</v>
      </c>
      <c r="L21">
        <f>-0.0253*$L$7</f>
        <v>0</v>
      </c>
      <c r="M21">
        <f>0+D21+E21+G21+H21+I21+J21+K21+L21</f>
        <v>0</v>
      </c>
      <c r="N21">
        <f>0+D21+F21+G21+H21+I21+J21+K21+L21</f>
        <v>0</v>
      </c>
    </row>
    <row r="22" spans="3:14">
      <c r="C22" t="s">
        <v>28</v>
      </c>
      <c r="D22">
        <f>975.585*$D$7</f>
        <v>0</v>
      </c>
      <c r="E22">
        <f>1338.7618*$E$7</f>
        <v>0</v>
      </c>
      <c r="F22">
        <f>-38.6632*$F$7</f>
        <v>0</v>
      </c>
      <c r="G22">
        <f>88.4821*$G$7</f>
        <v>0</v>
      </c>
      <c r="H22">
        <f>0*$H$7</f>
        <v>0</v>
      </c>
      <c r="I22">
        <f>140.1808*$I$7</f>
        <v>0</v>
      </c>
      <c r="J22">
        <f>-146.6334*$J$7</f>
        <v>0</v>
      </c>
      <c r="K22">
        <f>195.5111*$K$7</f>
        <v>0</v>
      </c>
      <c r="L22">
        <f>-0.0283*$L$7</f>
        <v>0</v>
      </c>
      <c r="M22">
        <f>0+D22+E22+G22+H22+I22+J22+K22+L22</f>
        <v>0</v>
      </c>
      <c r="N22">
        <f>0+D22+F22+G22+H22+I22+J22+K22+L22</f>
        <v>0</v>
      </c>
    </row>
    <row r="23" spans="3:14">
      <c r="C23" t="s">
        <v>29</v>
      </c>
      <c r="D23">
        <f>897.9225*$D$7</f>
        <v>0</v>
      </c>
      <c r="E23">
        <f>1240.2195*$E$7</f>
        <v>0</v>
      </c>
      <c r="F23">
        <f>-41.4255*$F$7</f>
        <v>0</v>
      </c>
      <c r="G23">
        <f>82.6265*$G$7</f>
        <v>0</v>
      </c>
      <c r="H23">
        <f>0*$H$7</f>
        <v>0</v>
      </c>
      <c r="I23">
        <f>128.5395*$I$7</f>
        <v>0</v>
      </c>
      <c r="J23">
        <f>-154.0376*$J$7</f>
        <v>0</v>
      </c>
      <c r="K23">
        <f>205.3835*$K$7</f>
        <v>0</v>
      </c>
      <c r="L23">
        <f>-0.0322*$L$7</f>
        <v>0</v>
      </c>
      <c r="M23">
        <f>0+D23+E23+G23+H23+I23+J23+K23+L23</f>
        <v>0</v>
      </c>
      <c r="N23">
        <f>0+D23+F23+G23+H23+I23+J23+K23+L23</f>
        <v>0</v>
      </c>
    </row>
    <row r="24" spans="3:14">
      <c r="C24" t="s">
        <v>30</v>
      </c>
      <c r="D24">
        <f>793.9772*$D$7</f>
        <v>0</v>
      </c>
      <c r="E24">
        <f>1101.4732*$E$7</f>
        <v>0</v>
      </c>
      <c r="F24">
        <f>-44.7154*$F$7</f>
        <v>0</v>
      </c>
      <c r="G24">
        <f>75.8436*$G$7</f>
        <v>0</v>
      </c>
      <c r="H24">
        <f>0*$H$7</f>
        <v>0</v>
      </c>
      <c r="I24">
        <f>112.5632*$I$7</f>
        <v>0</v>
      </c>
      <c r="J24">
        <f>-165.087*$J$7</f>
        <v>0</v>
      </c>
      <c r="K24">
        <f>220.1161*$K$7</f>
        <v>0</v>
      </c>
      <c r="L24">
        <f>-0.0375*$L$7</f>
        <v>0</v>
      </c>
      <c r="M24">
        <f>0+D24+E24+G24+H24+I24+J24+K24+L24</f>
        <v>0</v>
      </c>
      <c r="N24">
        <f>0+D24+F24+G24+H24+I24+J24+K24+L24</f>
        <v>0</v>
      </c>
    </row>
    <row r="25" spans="3:14">
      <c r="C25" t="s">
        <v>31</v>
      </c>
      <c r="D25">
        <f>664.4165*$D$7</f>
        <v>0</v>
      </c>
      <c r="E25">
        <f>956.9015*$E$7</f>
        <v>0</v>
      </c>
      <c r="F25">
        <f>-49.9026*$F$7</f>
        <v>0</v>
      </c>
      <c r="G25">
        <f>59.8655*$G$7</f>
        <v>0</v>
      </c>
      <c r="H25">
        <f>0*$H$7</f>
        <v>0</v>
      </c>
      <c r="I25">
        <f>95.2237*$I$7</f>
        <v>0</v>
      </c>
      <c r="J25">
        <f>-148.6836*$J$7</f>
        <v>0</v>
      </c>
      <c r="K25">
        <f>198.2448*$K$7</f>
        <v>0</v>
      </c>
      <c r="L25">
        <f>-0.0356*$L$7</f>
        <v>0</v>
      </c>
      <c r="M25">
        <f>0+D25+E25+G25+H25+I25+J25+K25+L25</f>
        <v>0</v>
      </c>
      <c r="N25">
        <f>0+D25+F25+G25+H25+I25+J25+K25+L25</f>
        <v>0</v>
      </c>
    </row>
    <row r="26" spans="3:14">
      <c r="C26" t="s">
        <v>32</v>
      </c>
      <c r="D26">
        <f>533.5327*$D$7</f>
        <v>0</v>
      </c>
      <c r="E26">
        <f>796.7294*$E$7</f>
        <v>0</v>
      </c>
      <c r="F26">
        <f>-56.9095*$F$7</f>
        <v>0</v>
      </c>
      <c r="G26">
        <f>45.8795*$G$7</f>
        <v>0</v>
      </c>
      <c r="H26">
        <f>0*$H$7</f>
        <v>0</v>
      </c>
      <c r="I26">
        <f>77.1158*$I$7</f>
        <v>0</v>
      </c>
      <c r="J26">
        <f>-120.2166*$J$7</f>
        <v>0</v>
      </c>
      <c r="K26">
        <f>160.2888*$K$7</f>
        <v>0</v>
      </c>
      <c r="L26">
        <f>-0.0289*$L$7</f>
        <v>0</v>
      </c>
      <c r="M26">
        <f>0+D26+E26+G26+H26+I26+J26+K26+L26</f>
        <v>0</v>
      </c>
      <c r="N26">
        <f>0+D26+F26+G26+H26+I26+J26+K26+L26</f>
        <v>0</v>
      </c>
    </row>
    <row r="27" spans="3:14">
      <c r="C27" t="s">
        <v>33</v>
      </c>
      <c r="D27">
        <f>372.1968*$D$7</f>
        <v>0</v>
      </c>
      <c r="E27">
        <f>583.8709*$E$7</f>
        <v>0</v>
      </c>
      <c r="F27">
        <f>-64.8812*$F$7</f>
        <v>0</v>
      </c>
      <c r="G27">
        <f>30.783*$G$7</f>
        <v>0</v>
      </c>
      <c r="H27">
        <f>0*$H$7</f>
        <v>0</v>
      </c>
      <c r="I27">
        <f>54.2063*$I$7</f>
        <v>0</v>
      </c>
      <c r="J27">
        <f>-95.7042*$J$7</f>
        <v>0</v>
      </c>
      <c r="K27">
        <f>127.6056*$K$7</f>
        <v>0</v>
      </c>
      <c r="L27">
        <f>-0.0195*$L$7</f>
        <v>0</v>
      </c>
      <c r="M27">
        <f>0+D27+E27+G27+H27+I27+J27+K27+L27</f>
        <v>0</v>
      </c>
      <c r="N27">
        <f>0+D27+F27+G27+H27+I27+J27+K27+L27</f>
        <v>0</v>
      </c>
    </row>
    <row r="28" spans="3:14">
      <c r="C28" t="s">
        <v>34</v>
      </c>
      <c r="D28">
        <f>181.5128*$D$7</f>
        <v>0</v>
      </c>
      <c r="E28">
        <f>309.0204*$E$7</f>
        <v>0</v>
      </c>
      <c r="F28">
        <f>-73.9272*$F$7</f>
        <v>0</v>
      </c>
      <c r="G28">
        <f>15.2056*$G$7</f>
        <v>0</v>
      </c>
      <c r="H28">
        <f>0*$H$7</f>
        <v>0</v>
      </c>
      <c r="I28">
        <f>26.5862*$I$7</f>
        <v>0</v>
      </c>
      <c r="J28">
        <f>-74.2733*$J$7</f>
        <v>0</v>
      </c>
      <c r="K28">
        <f>99.0311*$K$7</f>
        <v>0</v>
      </c>
      <c r="L28">
        <f>-0.0036*$L$7</f>
        <v>0</v>
      </c>
      <c r="M28">
        <f>0+D28+E28+G28+H28+I28+J28+K28+L28</f>
        <v>0</v>
      </c>
      <c r="N28">
        <f>0+D28+F28+G28+H28+I28+J28+K28+L28</f>
        <v>0</v>
      </c>
    </row>
    <row r="29" spans="3:14">
      <c r="C29" t="s">
        <v>35</v>
      </c>
      <c r="D29">
        <f>-22.3739*$D$7</f>
        <v>0</v>
      </c>
      <c r="E29">
        <f>8.0305*$E$7</f>
        <v>0</v>
      </c>
      <c r="F29">
        <f>-110.9421*$F$7</f>
        <v>0</v>
      </c>
      <c r="G29">
        <f>0.49*$G$7</f>
        <v>0</v>
      </c>
      <c r="H29">
        <f>0*$H$7</f>
        <v>0</v>
      </c>
      <c r="I29">
        <f>-3.3519*$I$7</f>
        <v>0</v>
      </c>
      <c r="J29">
        <f>-48.9165*$J$7</f>
        <v>0</v>
      </c>
      <c r="K29">
        <f>65.222*$K$7</f>
        <v>0</v>
      </c>
      <c r="L29">
        <f>0.0246*$L$7</f>
        <v>0</v>
      </c>
      <c r="M29">
        <f>0+D29+E29+G29+H29+I29+J29+K29+L29</f>
        <v>0</v>
      </c>
      <c r="N29">
        <f>0+D29+F29+G29+H29+I29+J29+K29+L29</f>
        <v>0</v>
      </c>
    </row>
    <row r="30" spans="3:14">
      <c r="C30" t="s">
        <v>36</v>
      </c>
      <c r="D30">
        <f>-8.5863*$D$7</f>
        <v>0</v>
      </c>
      <c r="E30">
        <f>4.3147*$E$7</f>
        <v>0</v>
      </c>
      <c r="F30">
        <f>-12.5633*$F$7</f>
        <v>0</v>
      </c>
      <c r="G30">
        <f>-0.8312*$G$7</f>
        <v>0</v>
      </c>
      <c r="H30">
        <f>0*$H$7</f>
        <v>0</v>
      </c>
      <c r="I30">
        <f>-1.2428*$I$7</f>
        <v>0</v>
      </c>
      <c r="J30">
        <f>-65.8497*$J$7</f>
        <v>0</v>
      </c>
      <c r="K30">
        <f>87.7996*$K$7</f>
        <v>0</v>
      </c>
      <c r="L30">
        <f>0.0005663*$L$7</f>
        <v>0</v>
      </c>
      <c r="M30">
        <f>0+D30+E30+G30+H30+I30+J30+K30+L30</f>
        <v>0</v>
      </c>
      <c r="N30">
        <f>0+D30+F30+G30+H30+I30+J30+K30+L30</f>
        <v>0</v>
      </c>
    </row>
    <row r="31" spans="3:14">
      <c r="C31" t="s">
        <v>36</v>
      </c>
      <c r="D31">
        <f>-7.3493*$D$7</f>
        <v>0</v>
      </c>
      <c r="E31">
        <f>1.1637*$E$7</f>
        <v>0</v>
      </c>
      <c r="F31">
        <f>-11.8232*$F$7</f>
        <v>0</v>
      </c>
      <c r="G31">
        <f>-0.9574*$G$7</f>
        <v>0</v>
      </c>
      <c r="H31">
        <f>0*$H$7</f>
        <v>0</v>
      </c>
      <c r="I31">
        <f>-1.0557*$I$7</f>
        <v>0</v>
      </c>
      <c r="J31">
        <f>-67.6122*$J$7</f>
        <v>0</v>
      </c>
      <c r="K31">
        <f>90.1497*$K$7</f>
        <v>0</v>
      </c>
      <c r="L31">
        <f>0.1402*$L$7</f>
        <v>0</v>
      </c>
      <c r="M31">
        <f>0+D31+E31+G31+H31+I31+J31+K31+L31</f>
        <v>0</v>
      </c>
      <c r="N31">
        <f>0+D31+F31+G31+H31+I31+J31+K31+L31</f>
        <v>0</v>
      </c>
    </row>
    <row r="32" spans="3:14">
      <c r="C32" t="s">
        <v>37</v>
      </c>
      <c r="D32">
        <f>-15.1078*$D$7</f>
        <v>0</v>
      </c>
      <c r="E32">
        <f>2.8891*$E$7</f>
        <v>0</v>
      </c>
      <c r="F32">
        <f>-19.242*$F$7</f>
        <v>0</v>
      </c>
      <c r="G32">
        <f>-0.696*$G$7</f>
        <v>0</v>
      </c>
      <c r="H32">
        <f>0*$H$7</f>
        <v>0</v>
      </c>
      <c r="I32">
        <f>-2.2331*$I$7</f>
        <v>0</v>
      </c>
      <c r="J32">
        <f>-62.308*$J$7</f>
        <v>0</v>
      </c>
      <c r="K32">
        <f>83.0774*$K$7</f>
        <v>0</v>
      </c>
      <c r="L32">
        <f>0.0313*$L$7</f>
        <v>0</v>
      </c>
      <c r="M32">
        <f>0+D32+E32+G32+H32+I32+J32+K32+L32</f>
        <v>0</v>
      </c>
      <c r="N32">
        <f>0+D32+F32+G32+H32+I32+J32+K32+L32</f>
        <v>0</v>
      </c>
    </row>
    <row r="33" spans="3:14">
      <c r="C33" t="s">
        <v>38</v>
      </c>
      <c r="D33">
        <f>193.8055*$D$7</f>
        <v>0</v>
      </c>
      <c r="E33">
        <f>324.6581*$E$7</f>
        <v>0</v>
      </c>
      <c r="F33">
        <f>-16.0722*$F$7</f>
        <v>0</v>
      </c>
      <c r="G33">
        <f>19.1153*$G$7</f>
        <v>0</v>
      </c>
      <c r="H33">
        <f>0*$H$7</f>
        <v>0</v>
      </c>
      <c r="I33">
        <f>28.2571*$I$7</f>
        <v>0</v>
      </c>
      <c r="J33">
        <f>-60.0839*$J$7</f>
        <v>0</v>
      </c>
      <c r="K33">
        <f>80.1118*$K$7</f>
        <v>0</v>
      </c>
      <c r="L33">
        <f>-1.7179*$L$7</f>
        <v>0</v>
      </c>
      <c r="M33">
        <f>0+D33+E33+G33+H33+I33+J33+K33+L33</f>
        <v>0</v>
      </c>
      <c r="N33">
        <f>0+D33+F33+G33+H33+I33+J33+K33+L33</f>
        <v>0</v>
      </c>
    </row>
    <row r="34" spans="3:14">
      <c r="C34" t="s">
        <v>39</v>
      </c>
      <c r="D34">
        <f>369.5611*$D$7</f>
        <v>0</v>
      </c>
      <c r="E34">
        <f>579.893*$E$7</f>
        <v>0</v>
      </c>
      <c r="F34">
        <f>-12.3499*$F$7</f>
        <v>0</v>
      </c>
      <c r="G34">
        <f>32.6165*$G$7</f>
        <v>0</v>
      </c>
      <c r="H34">
        <f>0*$H$7</f>
        <v>0</v>
      </c>
      <c r="I34">
        <f>53.7126*$I$7</f>
        <v>0</v>
      </c>
      <c r="J34">
        <f>-83.327*$J$7</f>
        <v>0</v>
      </c>
      <c r="K34">
        <f>111.1027*$K$7</f>
        <v>0</v>
      </c>
      <c r="L34">
        <f>-1.0934*$L$7</f>
        <v>0</v>
      </c>
      <c r="M34">
        <f>0+D34+E34+G34+H34+I34+J34+K34+L34</f>
        <v>0</v>
      </c>
      <c r="N34">
        <f>0+D34+F34+G34+H34+I34+J34+K34+L34</f>
        <v>0</v>
      </c>
    </row>
    <row r="35" spans="3:14">
      <c r="C35" t="s">
        <v>40</v>
      </c>
      <c r="D35">
        <f>534.3574*$D$7</f>
        <v>0</v>
      </c>
      <c r="E35">
        <f>805.6865*$E$7</f>
        <v>0</v>
      </c>
      <c r="F35">
        <f>-13.6809*$F$7</f>
        <v>0</v>
      </c>
      <c r="G35">
        <f>47.2905*$G$7</f>
        <v>0</v>
      </c>
      <c r="H35">
        <f>0*$H$7</f>
        <v>0</v>
      </c>
      <c r="I35">
        <f>77.1309*$I$7</f>
        <v>0</v>
      </c>
      <c r="J35">
        <f>-110.2092*$J$7</f>
        <v>0</v>
      </c>
      <c r="K35">
        <f>146.9456*$K$7</f>
        <v>0</v>
      </c>
      <c r="L35">
        <f>-0.5897*$L$7</f>
        <v>0</v>
      </c>
      <c r="M35">
        <f>0+D35+E35+G35+H35+I35+J35+K35+L35</f>
        <v>0</v>
      </c>
      <c r="N35">
        <f>0+D35+F35+G35+H35+I35+J35+K35+L35</f>
        <v>0</v>
      </c>
    </row>
    <row r="36" spans="3:14">
      <c r="C36" t="s">
        <v>41</v>
      </c>
      <c r="D36">
        <f>671.3517*$D$7</f>
        <v>0</v>
      </c>
      <c r="E36">
        <f>976.4804*$E$7</f>
        <v>0</v>
      </c>
      <c r="F36">
        <f>-15.1246*$F$7</f>
        <v>0</v>
      </c>
      <c r="G36">
        <f>61.5291*$G$7</f>
        <v>0</v>
      </c>
      <c r="H36">
        <f>0*$H$7</f>
        <v>0</v>
      </c>
      <c r="I36">
        <f>96.0643*$I$7</f>
        <v>0</v>
      </c>
      <c r="J36">
        <f>-139.8805*$J$7</f>
        <v>0</v>
      </c>
      <c r="K36">
        <f>186.5074*$K$7</f>
        <v>0</v>
      </c>
      <c r="L36">
        <f>-0.1571*$L$7</f>
        <v>0</v>
      </c>
      <c r="M36">
        <f>0+D36+E36+G36+H36+I36+J36+K36+L36</f>
        <v>0</v>
      </c>
      <c r="N36">
        <f>0+D36+F36+G36+H36+I36+J36+K36+L36</f>
        <v>0</v>
      </c>
    </row>
    <row r="37" spans="3:14">
      <c r="C37" t="s">
        <v>42</v>
      </c>
      <c r="D37">
        <f>784.7774*$D$7</f>
        <v>0</v>
      </c>
      <c r="E37">
        <f>1106.1359*$E$7</f>
        <v>0</v>
      </c>
      <c r="F37">
        <f>-16.9092*$F$7</f>
        <v>0</v>
      </c>
      <c r="G37">
        <f>74.7479*$G$7</f>
        <v>0</v>
      </c>
      <c r="H37">
        <f>0*$H$7</f>
        <v>0</v>
      </c>
      <c r="I37">
        <f>111.2214*$I$7</f>
        <v>0</v>
      </c>
      <c r="J37">
        <f>-163.566*$J$7</f>
        <v>0</v>
      </c>
      <c r="K37">
        <f>218.088*$K$7</f>
        <v>0</v>
      </c>
      <c r="L37">
        <f>0.2316*$L$7</f>
        <v>0</v>
      </c>
      <c r="M37">
        <f>0+D37+E37+G37+H37+I37+J37+K37+L37</f>
        <v>0</v>
      </c>
      <c r="N37">
        <f>0+D37+F37+G37+H37+I37+J37+K37+L37</f>
        <v>0</v>
      </c>
    </row>
    <row r="38" spans="3:14">
      <c r="C38" t="s">
        <v>43</v>
      </c>
      <c r="D38">
        <f>882.745*$D$7</f>
        <v>0</v>
      </c>
      <c r="E38">
        <f>1243.1051*$E$7</f>
        <v>0</v>
      </c>
      <c r="F38">
        <f>-18.3467*$F$7</f>
        <v>0</v>
      </c>
      <c r="G38">
        <f>81.9095*$G$7</f>
        <v>0</v>
      </c>
      <c r="H38">
        <f>0*$H$7</f>
        <v>0</v>
      </c>
      <c r="I38">
        <f>126.32*$I$7</f>
        <v>0</v>
      </c>
      <c r="J38">
        <f>-146.4953*$J$7</f>
        <v>0</v>
      </c>
      <c r="K38">
        <f>195.327*$K$7</f>
        <v>0</v>
      </c>
      <c r="L38">
        <f>0.9645*$L$7</f>
        <v>0</v>
      </c>
      <c r="M38">
        <f>0+D38+E38+G38+H38+I38+J38+K38+L38</f>
        <v>0</v>
      </c>
      <c r="N38">
        <f>0+D38+F38+G38+H38+I38+J38+K38+L38</f>
        <v>0</v>
      </c>
    </row>
    <row r="39" spans="3:14">
      <c r="C39" t="s">
        <v>44</v>
      </c>
      <c r="D39">
        <f>958.252*$D$7</f>
        <v>0</v>
      </c>
      <c r="E39">
        <f>1338.9934*$E$7</f>
        <v>0</v>
      </c>
      <c r="F39">
        <f>-20.8443*$F$7</f>
        <v>0</v>
      </c>
      <c r="G39">
        <f>87.4351*$G$7</f>
        <v>0</v>
      </c>
      <c r="H39">
        <f>0*$H$7</f>
        <v>0</v>
      </c>
      <c r="I39">
        <f>137.6409*$I$7</f>
        <v>0</v>
      </c>
      <c r="J39">
        <f>-137.3382*$J$7</f>
        <v>0</v>
      </c>
      <c r="K39">
        <f>183.1176*$K$7</f>
        <v>0</v>
      </c>
      <c r="L39">
        <f>1.8401*$L$7</f>
        <v>0</v>
      </c>
      <c r="M39">
        <f>0+D39+E39+G39+H39+I39+J39+K39+L39</f>
        <v>0</v>
      </c>
      <c r="N39">
        <f>0+D39+F39+G39+H39+I39+J39+K39+L39</f>
        <v>0</v>
      </c>
    </row>
    <row r="40" spans="3:14">
      <c r="C40" t="s">
        <v>45</v>
      </c>
      <c r="D40">
        <f>1007.9893*$D$7</f>
        <v>0</v>
      </c>
      <c r="E40">
        <f>1397.333*$E$7</f>
        <v>0</v>
      </c>
      <c r="F40">
        <f>-23.2681*$F$7</f>
        <v>0</v>
      </c>
      <c r="G40">
        <f>92.7273*$G$7</f>
        <v>0</v>
      </c>
      <c r="H40">
        <f>0*$H$7</f>
        <v>0</v>
      </c>
      <c r="I40">
        <f>144.6778*$I$7</f>
        <v>0</v>
      </c>
      <c r="J40">
        <f>-136.0702*$J$7</f>
        <v>0</v>
      </c>
      <c r="K40">
        <f>181.427*$K$7</f>
        <v>0</v>
      </c>
      <c r="L40">
        <f>2.7306*$L$7</f>
        <v>0</v>
      </c>
      <c r="M40">
        <f>0+D40+E40+G40+H40+I40+J40+K40+L40</f>
        <v>0</v>
      </c>
      <c r="N40">
        <f>0+D40+F40+G40+H40+I40+J40+K40+L40</f>
        <v>0</v>
      </c>
    </row>
    <row r="41" spans="3:14">
      <c r="C41" t="s">
        <v>46</v>
      </c>
      <c r="D41">
        <f>1043.3511*$D$7</f>
        <v>0</v>
      </c>
      <c r="E41">
        <f>1429.0948*$E$7</f>
        <v>0</v>
      </c>
      <c r="F41">
        <f>-26.0933*$F$7</f>
        <v>0</v>
      </c>
      <c r="G41">
        <f>98.7293*$G$7</f>
        <v>0</v>
      </c>
      <c r="H41">
        <f>0*$H$7</f>
        <v>0</v>
      </c>
      <c r="I41">
        <f>149.1207*$I$7</f>
        <v>0</v>
      </c>
      <c r="J41">
        <f>-142.1349*$J$7</f>
        <v>0</v>
      </c>
      <c r="K41">
        <f>189.5132*$K$7</f>
        <v>0</v>
      </c>
      <c r="L41">
        <f>3.9051*$L$7</f>
        <v>0</v>
      </c>
      <c r="M41">
        <f>0+D41+E41+G41+H41+I41+J41+K41+L41</f>
        <v>0</v>
      </c>
      <c r="N41">
        <f>0+D41+F41+G41+H41+I41+J41+K41+L41</f>
        <v>0</v>
      </c>
    </row>
    <row r="42" spans="3:14">
      <c r="C42" t="s">
        <v>47</v>
      </c>
      <c r="D42">
        <f>1055.0274*$D$7</f>
        <v>0</v>
      </c>
      <c r="E42">
        <f>1418.1373*$E$7</f>
        <v>0</v>
      </c>
      <c r="F42">
        <f>-29.0816*$F$7</f>
        <v>0</v>
      </c>
      <c r="G42">
        <f>103.9797*$G$7</f>
        <v>0</v>
      </c>
      <c r="H42">
        <f>0*$H$7</f>
        <v>0</v>
      </c>
      <c r="I42">
        <f>149.602*$I$7</f>
        <v>0</v>
      </c>
      <c r="J42">
        <f>-152.2602*$J$7</f>
        <v>0</v>
      </c>
      <c r="K42">
        <f>203.0136*$K$7</f>
        <v>0</v>
      </c>
      <c r="L42">
        <f>5.3164*$L$7</f>
        <v>0</v>
      </c>
      <c r="M42">
        <f>0+D42+E42+G42+H42+I42+J42+K42+L42</f>
        <v>0</v>
      </c>
      <c r="N42">
        <f>0+D42+F42+G42+H42+I42+J42+K42+L42</f>
        <v>0</v>
      </c>
    </row>
    <row r="43" spans="3:14">
      <c r="C43" t="s">
        <v>48</v>
      </c>
      <c r="D43">
        <f>1038.7384*$D$7</f>
        <v>0</v>
      </c>
      <c r="E43">
        <f>1419.8783*$E$7</f>
        <v>0</v>
      </c>
      <c r="F43">
        <f>-31.7944*$F$7</f>
        <v>0</v>
      </c>
      <c r="G43">
        <f>98.3018*$G$7</f>
        <v>0</v>
      </c>
      <c r="H43">
        <f>0*$H$7</f>
        <v>0</v>
      </c>
      <c r="I43">
        <f>148.5048*$I$7</f>
        <v>0</v>
      </c>
      <c r="J43">
        <f>-143.6435*$J$7</f>
        <v>0</v>
      </c>
      <c r="K43">
        <f>191.5246*$K$7</f>
        <v>0</v>
      </c>
      <c r="L43">
        <f>7.5712*$L$7</f>
        <v>0</v>
      </c>
      <c r="M43">
        <f>0+D43+E43+G43+H43+I43+J43+K43+L43</f>
        <v>0</v>
      </c>
      <c r="N43">
        <f>0+D43+F43+G43+H43+I43+J43+K43+L43</f>
        <v>0</v>
      </c>
    </row>
    <row r="44" spans="3:14">
      <c r="C44" t="s">
        <v>49</v>
      </c>
      <c r="D44">
        <f>1002.7444*$D$7</f>
        <v>0</v>
      </c>
      <c r="E44">
        <f>1393.1031*$E$7</f>
        <v>0</v>
      </c>
      <c r="F44">
        <f>-35.0251*$F$7</f>
        <v>0</v>
      </c>
      <c r="G44">
        <f>92.0496*$G$7</f>
        <v>0</v>
      </c>
      <c r="H44">
        <f>0*$H$7</f>
        <v>0</v>
      </c>
      <c r="I44">
        <f>143.9728*$I$7</f>
        <v>0</v>
      </c>
      <c r="J44">
        <f>-137.4671*$J$7</f>
        <v>0</v>
      </c>
      <c r="K44">
        <f>183.2894*$K$7</f>
        <v>0</v>
      </c>
      <c r="L44">
        <f>10.0564*$L$7</f>
        <v>0</v>
      </c>
      <c r="M44">
        <f>0+D44+E44+G44+H44+I44+J44+K44+L44</f>
        <v>0</v>
      </c>
      <c r="N44">
        <f>0+D44+F44+G44+H44+I44+J44+K44+L44</f>
        <v>0</v>
      </c>
    </row>
    <row r="45" spans="3:14">
      <c r="C45" t="s">
        <v>50</v>
      </c>
      <c r="D45">
        <f>942.8421*$D$7</f>
        <v>0</v>
      </c>
      <c r="E45">
        <f>1320.8308*$E$7</f>
        <v>0</v>
      </c>
      <c r="F45">
        <f>-38.2338*$F$7</f>
        <v>0</v>
      </c>
      <c r="G45">
        <f>85.7256*$G$7</f>
        <v>0</v>
      </c>
      <c r="H45">
        <f>0*$H$7</f>
        <v>0</v>
      </c>
      <c r="I45">
        <f>135.4098*$I$7</f>
        <v>0</v>
      </c>
      <c r="J45">
        <f>-139.0484*$J$7</f>
        <v>0</v>
      </c>
      <c r="K45">
        <f>185.3978*$K$7</f>
        <v>0</v>
      </c>
      <c r="L45">
        <f>13.1*$L$7</f>
        <v>0</v>
      </c>
      <c r="M45">
        <f>0+D45+E45+G45+H45+I45+J45+K45+L45</f>
        <v>0</v>
      </c>
      <c r="N45">
        <f>0+D45+F45+G45+H45+I45+J45+K45+L45</f>
        <v>0</v>
      </c>
    </row>
    <row r="46" spans="3:14">
      <c r="C46" t="s">
        <v>51</v>
      </c>
      <c r="D46">
        <f>868.3135*$D$7</f>
        <v>0</v>
      </c>
      <c r="E46">
        <f>1224.7729*$E$7</f>
        <v>0</v>
      </c>
      <c r="F46">
        <f>-41.119*$F$7</f>
        <v>0</v>
      </c>
      <c r="G46">
        <f>80.1291*$G$7</f>
        <v>0</v>
      </c>
      <c r="H46">
        <f>0*$H$7</f>
        <v>0</v>
      </c>
      <c r="I46">
        <f>124.2326*$I$7</f>
        <v>0</v>
      </c>
      <c r="J46">
        <f>-147.672*$J$7</f>
        <v>0</v>
      </c>
      <c r="K46">
        <f>196.896*$K$7</f>
        <v>0</v>
      </c>
      <c r="L46">
        <f>16.2834*$L$7</f>
        <v>0</v>
      </c>
      <c r="M46">
        <f>0+D46+E46+G46+H46+I46+J46+K46+L46</f>
        <v>0</v>
      </c>
      <c r="N46">
        <f>0+D46+F46+G46+H46+I46+J46+K46+L46</f>
        <v>0</v>
      </c>
    </row>
    <row r="47" spans="3:14">
      <c r="C47" t="s">
        <v>52</v>
      </c>
      <c r="D47">
        <f>767.8166*$D$7</f>
        <v>0</v>
      </c>
      <c r="E47">
        <f>1089.4285*$E$7</f>
        <v>0</v>
      </c>
      <c r="F47">
        <f>-44.5111*$F$7</f>
        <v>0</v>
      </c>
      <c r="G47">
        <f>73.6491*$G$7</f>
        <v>0</v>
      </c>
      <c r="H47">
        <f>0*$H$7</f>
        <v>0</v>
      </c>
      <c r="I47">
        <f>108.7649*$I$7</f>
        <v>0</v>
      </c>
      <c r="J47">
        <f>-159.8378*$J$7</f>
        <v>0</v>
      </c>
      <c r="K47">
        <f>213.117*$K$7</f>
        <v>0</v>
      </c>
      <c r="L47">
        <f>20.117*$L$7</f>
        <v>0</v>
      </c>
      <c r="M47">
        <f>0+D47+E47+G47+H47+I47+J47+K47+L47</f>
        <v>0</v>
      </c>
      <c r="N47">
        <f>0+D47+F47+G47+H47+I47+J47+K47+L47</f>
        <v>0</v>
      </c>
    </row>
    <row r="48" spans="3:14">
      <c r="C48" t="s">
        <v>53</v>
      </c>
      <c r="D48">
        <f>643.3667*$D$7</f>
        <v>0</v>
      </c>
      <c r="E48">
        <f>948.0514*$E$7</f>
        <v>0</v>
      </c>
      <c r="F48">
        <f>-49.7552*$F$7</f>
        <v>0</v>
      </c>
      <c r="G48">
        <f>58.0629*$G$7</f>
        <v>0</v>
      </c>
      <c r="H48">
        <f>0*$H$7</f>
        <v>0</v>
      </c>
      <c r="I48">
        <f>92.1712*$I$7</f>
        <v>0</v>
      </c>
      <c r="J48">
        <f>-144.8671*$J$7</f>
        <v>0</v>
      </c>
      <c r="K48">
        <f>193.1562*$K$7</f>
        <v>0</v>
      </c>
      <c r="L48">
        <f>19.1494*$L$7</f>
        <v>0</v>
      </c>
      <c r="M48">
        <f>0+D48+E48+G48+H48+I48+J48+K48+L48</f>
        <v>0</v>
      </c>
      <c r="N48">
        <f>0+D48+F48+G48+H48+I48+J48+K48+L48</f>
        <v>0</v>
      </c>
    </row>
    <row r="49" spans="3:14">
      <c r="C49" t="s">
        <v>54</v>
      </c>
      <c r="D49">
        <f>517.697*$D$7</f>
        <v>0</v>
      </c>
      <c r="E49">
        <f>790.2612*$E$7</f>
        <v>0</v>
      </c>
      <c r="F49">
        <f>-56.6433*$F$7</f>
        <v>0</v>
      </c>
      <c r="G49">
        <f>44.5264*$G$7</f>
        <v>0</v>
      </c>
      <c r="H49">
        <f>0*$H$7</f>
        <v>0</v>
      </c>
      <c r="I49">
        <f>74.8189*$I$7</f>
        <v>0</v>
      </c>
      <c r="J49">
        <f>-117.3091*$J$7</f>
        <v>0</v>
      </c>
      <c r="K49">
        <f>156.4122*$K$7</f>
        <v>0</v>
      </c>
      <c r="L49">
        <f>15.1639*$L$7</f>
        <v>0</v>
      </c>
      <c r="M49">
        <f>0+D49+E49+G49+H49+I49+J49+K49+L49</f>
        <v>0</v>
      </c>
      <c r="N49">
        <f>0+D49+F49+G49+H49+I49+J49+K49+L49</f>
        <v>0</v>
      </c>
    </row>
    <row r="50" spans="3:14">
      <c r="C50" t="s">
        <v>55</v>
      </c>
      <c r="D50">
        <f>362.0031*$D$7</f>
        <v>0</v>
      </c>
      <c r="E50">
        <f>579.6338*$E$7</f>
        <v>0</v>
      </c>
      <c r="F50">
        <f>-64.4758*$F$7</f>
        <v>0</v>
      </c>
      <c r="G50">
        <f>29.9171*$G$7</f>
        <v>0</v>
      </c>
      <c r="H50">
        <f>0*$H$7</f>
        <v>0</v>
      </c>
      <c r="I50">
        <f>52.7272*$I$7</f>
        <v>0</v>
      </c>
      <c r="J50">
        <f>-93.7908*$J$7</f>
        <v>0</v>
      </c>
      <c r="K50">
        <f>125.0544*$K$7</f>
        <v>0</v>
      </c>
      <c r="L50">
        <f>10.0296*$L$7</f>
        <v>0</v>
      </c>
      <c r="M50">
        <f>0+D50+E50+G50+H50+I50+J50+K50+L50</f>
        <v>0</v>
      </c>
      <c r="N50">
        <f>0+D50+F50+G50+H50+I50+J50+K50+L50</f>
        <v>0</v>
      </c>
    </row>
    <row r="51" spans="3:14">
      <c r="C51" t="s">
        <v>56</v>
      </c>
      <c r="D51">
        <f>177.3608*$D$7</f>
        <v>0</v>
      </c>
      <c r="E51">
        <f>306.8825*$E$7</f>
        <v>0</v>
      </c>
      <c r="F51">
        <f>-73.6057*$F$7</f>
        <v>0</v>
      </c>
      <c r="G51">
        <f>14.8608*$G$7</f>
        <v>0</v>
      </c>
      <c r="H51">
        <f>0*$H$7</f>
        <v>0</v>
      </c>
      <c r="I51">
        <f>25.983*$I$7</f>
        <v>0</v>
      </c>
      <c r="J51">
        <f>-73.4482*$J$7</f>
        <v>0</v>
      </c>
      <c r="K51">
        <f>97.9309*$K$7</f>
        <v>0</v>
      </c>
      <c r="L51">
        <f>1.755*$L$7</f>
        <v>0</v>
      </c>
      <c r="M51">
        <f>0+D51+E51+G51+H51+I51+J51+K51+L51</f>
        <v>0</v>
      </c>
      <c r="N51">
        <f>0+D51+F51+G51+H51+I51+J51+K51+L51</f>
        <v>0</v>
      </c>
    </row>
    <row r="52" spans="3:14">
      <c r="C52" t="s">
        <v>57</v>
      </c>
      <c r="D52">
        <f>-20.1306*$D$7</f>
        <v>0</v>
      </c>
      <c r="E52">
        <f>9.3932*$E$7</f>
        <v>0</v>
      </c>
      <c r="F52">
        <f>-110.5535*$F$7</f>
        <v>0</v>
      </c>
      <c r="G52">
        <f>0.692*$G$7</f>
        <v>0</v>
      </c>
      <c r="H52">
        <f>0*$H$7</f>
        <v>0</v>
      </c>
      <c r="I52">
        <f>-3.0279*$I$7</f>
        <v>0</v>
      </c>
      <c r="J52">
        <f>-49.3198*$J$7</f>
        <v>0</v>
      </c>
      <c r="K52">
        <f>65.7597*$K$7</f>
        <v>0</v>
      </c>
      <c r="L52">
        <f>-12.8371*$L$7</f>
        <v>0</v>
      </c>
      <c r="M52">
        <f>0+D52+E52+G52+H52+I52+J52+K52+L52</f>
        <v>0</v>
      </c>
      <c r="N52">
        <f>0+D52+F52+G52+H52+I52+J52+K52+L52</f>
        <v>0</v>
      </c>
    </row>
    <row r="53" spans="3:14">
      <c r="C53" t="s">
        <v>58</v>
      </c>
      <c r="D53">
        <f>-8.287*$D$7</f>
        <v>0</v>
      </c>
      <c r="E53">
        <f>4.3148*$E$7</f>
        <v>0</v>
      </c>
      <c r="F53">
        <f>-12.4567*$F$7</f>
        <v>0</v>
      </c>
      <c r="G53">
        <f>-0.8062*$G$7</f>
        <v>0</v>
      </c>
      <c r="H53">
        <f>0*$H$7</f>
        <v>0</v>
      </c>
      <c r="I53">
        <f>-1.1994*$I$7</f>
        <v>0</v>
      </c>
      <c r="J53">
        <f>-65.9075*$J$7</f>
        <v>0</v>
      </c>
      <c r="K53">
        <f>87.8767*$K$7</f>
        <v>0</v>
      </c>
      <c r="L53">
        <f>-0.4146*$L$7</f>
        <v>0</v>
      </c>
      <c r="M53">
        <f>0+D53+E53+G53+H53+I53+J53+K53+L53</f>
        <v>0</v>
      </c>
      <c r="N53">
        <f>0+D53+F53+G53+H53+I53+J53+K53+L53</f>
        <v>0</v>
      </c>
    </row>
    <row r="54" spans="3:14">
      <c r="C54" t="s">
        <v>58</v>
      </c>
      <c r="D54">
        <f>-3.1846*$D$7</f>
        <v>0</v>
      </c>
      <c r="E54">
        <f>1.1995*$E$7</f>
        <v>0</v>
      </c>
      <c r="F54">
        <f>-8.3793*$F$7</f>
        <v>0</v>
      </c>
      <c r="G54">
        <f>-0.373*$G$7</f>
        <v>0</v>
      </c>
      <c r="H54">
        <f>0*$H$7</f>
        <v>0</v>
      </c>
      <c r="I54">
        <f>-0.4738*$I$7</f>
        <v>0</v>
      </c>
      <c r="J54">
        <f>-64.2891*$J$7</f>
        <v>0</v>
      </c>
      <c r="K54">
        <f>85.7188*$K$7</f>
        <v>0</v>
      </c>
      <c r="L54">
        <f>-4.8828*$L$7</f>
        <v>0</v>
      </c>
      <c r="M54">
        <f>0+D54+E54+G54+H54+I54+J54+K54+L54</f>
        <v>0</v>
      </c>
      <c r="N54">
        <f>0+D54+F54+G54+H54+I54+J54+K54+L54</f>
        <v>0</v>
      </c>
    </row>
    <row r="55" spans="3:14">
      <c r="C55" t="s">
        <v>59</v>
      </c>
      <c r="D55">
        <f>-10.0807*$D$7</f>
        <v>0</v>
      </c>
      <c r="E55">
        <f>3.2883*$E$7</f>
        <v>0</v>
      </c>
      <c r="F55">
        <f>-16.0835*$F$7</f>
        <v>0</v>
      </c>
      <c r="G55">
        <f>-0.1878*$G$7</f>
        <v>0</v>
      </c>
      <c r="H55">
        <f>0*$H$7</f>
        <v>0</v>
      </c>
      <c r="I55">
        <f>-1.522*$I$7</f>
        <v>0</v>
      </c>
      <c r="J55">
        <f>-64.4155*$J$7</f>
        <v>0</v>
      </c>
      <c r="K55">
        <f>85.8873*$K$7</f>
        <v>0</v>
      </c>
      <c r="L55">
        <f>-5.8531*$L$7</f>
        <v>0</v>
      </c>
      <c r="M55">
        <f>0+D55+E55+G55+H55+I55+J55+K55+L55</f>
        <v>0</v>
      </c>
      <c r="N55">
        <f>0+D55+F55+G55+H55+I55+J55+K55+L55</f>
        <v>0</v>
      </c>
    </row>
    <row r="56" spans="3:14">
      <c r="C56" t="s">
        <v>60</v>
      </c>
      <c r="D56">
        <f>85.0609*$D$7</f>
        <v>0</v>
      </c>
      <c r="E56">
        <f>238.5735*$E$7</f>
        <v>0</v>
      </c>
      <c r="F56">
        <f>-14.8568*$F$7</f>
        <v>0</v>
      </c>
      <c r="G56">
        <f>5.6296*$G$7</f>
        <v>0</v>
      </c>
      <c r="H56">
        <f>0*$H$7</f>
        <v>0</v>
      </c>
      <c r="I56">
        <f>12.9372*$I$7</f>
        <v>0</v>
      </c>
      <c r="J56">
        <f>-96.8144*$J$7</f>
        <v>0</v>
      </c>
      <c r="K56">
        <f>129.0858*$K$7</f>
        <v>0</v>
      </c>
      <c r="L56">
        <f>104.5862*$L$7</f>
        <v>0</v>
      </c>
      <c r="M56">
        <f>0+D56+E56+G56+H56+I56+J56+K56+L56</f>
        <v>0</v>
      </c>
      <c r="N56">
        <f>0+D56+F56+G56+H56+I56+J56+K56+L56</f>
        <v>0</v>
      </c>
    </row>
    <row r="57" spans="3:14">
      <c r="C57" t="s">
        <v>61</v>
      </c>
      <c r="D57">
        <f>161.9476*$D$7</f>
        <v>0</v>
      </c>
      <c r="E57">
        <f>396.156*$E$7</f>
        <v>0</v>
      </c>
      <c r="F57">
        <f>-8.2063*$F$7</f>
        <v>0</v>
      </c>
      <c r="G57">
        <f>8.6909*$G$7</f>
        <v>0</v>
      </c>
      <c r="H57">
        <f>0*$H$7</f>
        <v>0</v>
      </c>
      <c r="I57">
        <f>24.3559*$I$7</f>
        <v>0</v>
      </c>
      <c r="J57">
        <f>-127.8595*$J$7</f>
        <v>0</v>
      </c>
      <c r="K57">
        <f>170.4794*$K$7</f>
        <v>0</v>
      </c>
      <c r="L57">
        <f>179.9846*$L$7</f>
        <v>0</v>
      </c>
      <c r="M57">
        <f>0+D57+E57+G57+H57+I57+J57+K57+L57</f>
        <v>0</v>
      </c>
      <c r="N57">
        <f>0+D57+F57+G57+H57+I57+J57+K57+L57</f>
        <v>0</v>
      </c>
    </row>
    <row r="58" spans="3:14">
      <c r="C58" t="s">
        <v>62</v>
      </c>
      <c r="D58">
        <f>224.7879*$D$7</f>
        <v>0</v>
      </c>
      <c r="E58">
        <f>512.9363*$E$7</f>
        <v>0</v>
      </c>
      <c r="F58">
        <f>-7.6973*$F$7</f>
        <v>0</v>
      </c>
      <c r="G58">
        <f>12.3243*$G$7</f>
        <v>0</v>
      </c>
      <c r="H58">
        <f>0*$H$7</f>
        <v>0</v>
      </c>
      <c r="I58">
        <f>33.3228*$I$7</f>
        <v>0</v>
      </c>
      <c r="J58">
        <f>-157.249*$J$7</f>
        <v>0</v>
      </c>
      <c r="K58">
        <f>209.6653*$K$7</f>
        <v>0</v>
      </c>
      <c r="L58">
        <f>249.4152*$L$7</f>
        <v>0</v>
      </c>
      <c r="M58">
        <f>0+D58+E58+G58+H58+I58+J58+K58+L58</f>
        <v>0</v>
      </c>
      <c r="N58">
        <f>0+D58+F58+G58+H58+I58+J58+K58+L58</f>
        <v>0</v>
      </c>
    </row>
    <row r="59" spans="3:14">
      <c r="C59" t="s">
        <v>63</v>
      </c>
      <c r="D59">
        <f>264.7555*$D$7</f>
        <v>0</v>
      </c>
      <c r="E59">
        <f>572.4975*$E$7</f>
        <v>0</v>
      </c>
      <c r="F59">
        <f>-6.4451*$F$7</f>
        <v>0</v>
      </c>
      <c r="G59">
        <f>15.8782*$G$7</f>
        <v>0</v>
      </c>
      <c r="H59">
        <f>0*$H$7</f>
        <v>0</v>
      </c>
      <c r="I59">
        <f>38.5454*$I$7</f>
        <v>0</v>
      </c>
      <c r="J59">
        <f>-187.6332*$J$7</f>
        <v>0</v>
      </c>
      <c r="K59">
        <f>250.1776*$K$7</f>
        <v>0</v>
      </c>
      <c r="L59">
        <f>301.992*$L$7</f>
        <v>0</v>
      </c>
      <c r="M59">
        <f>0+D59+E59+G59+H59+I59+J59+K59+L59</f>
        <v>0</v>
      </c>
      <c r="N59">
        <f>0+D59+F59+G59+H59+I59+J59+K59+L59</f>
        <v>0</v>
      </c>
    </row>
    <row r="60" spans="3:14">
      <c r="C60" t="s">
        <v>64</v>
      </c>
      <c r="D60">
        <f>286.9037*$D$7</f>
        <v>0</v>
      </c>
      <c r="E60">
        <f>589.8608*$E$7</f>
        <v>0</v>
      </c>
      <c r="F60">
        <f>-5.5973*$F$7</f>
        <v>0</v>
      </c>
      <c r="G60">
        <f>18.9975*$G$7</f>
        <v>0</v>
      </c>
      <c r="H60">
        <f>0*$H$7</f>
        <v>0</v>
      </c>
      <c r="I60">
        <f>40.7588*$I$7</f>
        <v>0</v>
      </c>
      <c r="J60">
        <f>-219.8184*$J$7</f>
        <v>0</v>
      </c>
      <c r="K60">
        <f>293.0912*$K$7</f>
        <v>0</v>
      </c>
      <c r="L60">
        <f>341.6191*$L$7</f>
        <v>0</v>
      </c>
      <c r="M60">
        <f>0+D60+E60+G60+H60+I60+J60+K60+L60</f>
        <v>0</v>
      </c>
      <c r="N60">
        <f>0+D60+F60+G60+H60+I60+J60+K60+L60</f>
        <v>0</v>
      </c>
    </row>
    <row r="61" spans="3:14">
      <c r="C61" t="s">
        <v>65</v>
      </c>
      <c r="D61">
        <f>270.0896*$D$7</f>
        <v>0</v>
      </c>
      <c r="E61">
        <f>578.8952*$E$7</f>
        <v>0</v>
      </c>
      <c r="F61">
        <f>-3.8316*$F$7</f>
        <v>0</v>
      </c>
      <c r="G61">
        <f>15.2695*$G$7</f>
        <v>0</v>
      </c>
      <c r="H61">
        <f>0*$H$7</f>
        <v>0</v>
      </c>
      <c r="I61">
        <f>39.526*$I$7</f>
        <v>0</v>
      </c>
      <c r="J61">
        <f>-191.8508*$J$7</f>
        <v>0</v>
      </c>
      <c r="K61">
        <f>255.8011*$K$7</f>
        <v>0</v>
      </c>
      <c r="L61">
        <f>299.5149*$L$7</f>
        <v>0</v>
      </c>
      <c r="M61">
        <f>0+D61+E61+G61+H61+I61+J61+K61+L61</f>
        <v>0</v>
      </c>
      <c r="N61">
        <f>0+D61+F61+G61+H61+I61+J61+K61+L61</f>
        <v>0</v>
      </c>
    </row>
    <row r="62" spans="3:14">
      <c r="C62" t="s">
        <v>66</v>
      </c>
      <c r="D62">
        <f>234.025*$D$7</f>
        <v>0</v>
      </c>
      <c r="E62">
        <f>527.4413*$E$7</f>
        <v>0</v>
      </c>
      <c r="F62">
        <f>-3.1395*$F$7</f>
        <v>0</v>
      </c>
      <c r="G62">
        <f>11.3206*$G$7</f>
        <v>0</v>
      </c>
      <c r="H62">
        <f>0*$H$7</f>
        <v>0</v>
      </c>
      <c r="I62">
        <f>34.8851*$I$7</f>
        <v>0</v>
      </c>
      <c r="J62">
        <f>-161.1927*$J$7</f>
        <v>0</v>
      </c>
      <c r="K62">
        <f>214.9236*$K$7</f>
        <v>0</v>
      </c>
      <c r="L62">
        <f>243.4119*$L$7</f>
        <v>0</v>
      </c>
      <c r="M62">
        <f>0+D62+E62+G62+H62+I62+J62+K62+L62</f>
        <v>0</v>
      </c>
      <c r="N62">
        <f>0+D62+F62+G62+H62+I62+J62+K62+L62</f>
        <v>0</v>
      </c>
    </row>
    <row r="63" spans="3:14">
      <c r="C63" t="s">
        <v>67</v>
      </c>
      <c r="D63">
        <f>176.2387*$D$7</f>
        <v>0</v>
      </c>
      <c r="E63">
        <f>419.1524*$E$7</f>
        <v>0</v>
      </c>
      <c r="F63">
        <f>-3.3439*$F$7</f>
        <v>0</v>
      </c>
      <c r="G63">
        <f>7.5232*$G$7</f>
        <v>0</v>
      </c>
      <c r="H63">
        <f>0*$H$7</f>
        <v>0</v>
      </c>
      <c r="I63">
        <f>26.5423*$I$7</f>
        <v>0</v>
      </c>
      <c r="J63">
        <f>-138.7271*$J$7</f>
        <v>0</v>
      </c>
      <c r="K63">
        <f>184.9695*$K$7</f>
        <v>0</v>
      </c>
      <c r="L63">
        <f>173.4036*$L$7</f>
        <v>0</v>
      </c>
      <c r="M63">
        <f>0+D63+E63+G63+H63+I63+J63+K63+L63</f>
        <v>0</v>
      </c>
      <c r="N63">
        <f>0+D63+F63+G63+H63+I63+J63+K63+L63</f>
        <v>0</v>
      </c>
    </row>
    <row r="64" spans="3:14">
      <c r="C64" t="s">
        <v>68</v>
      </c>
      <c r="D64">
        <f>100.3141*$D$7</f>
        <v>0</v>
      </c>
      <c r="E64">
        <f>255.8901*$E$7</f>
        <v>0</v>
      </c>
      <c r="F64">
        <f>-3.5572*$F$7</f>
        <v>0</v>
      </c>
      <c r="G64">
        <f>4.2246*$G$7</f>
        <v>0</v>
      </c>
      <c r="H64">
        <f>0*$H$7</f>
        <v>0</v>
      </c>
      <c r="I64">
        <f>15.0776*$I$7</f>
        <v>0</v>
      </c>
      <c r="J64">
        <f>-103.5158*$J$7</f>
        <v>0</v>
      </c>
      <c r="K64">
        <f>138.0211*$K$7</f>
        <v>0</v>
      </c>
      <c r="L64">
        <f>95.0174*$L$7</f>
        <v>0</v>
      </c>
      <c r="M64">
        <f>0+D64+E64+G64+H64+I64+J64+K64+L64</f>
        <v>0</v>
      </c>
      <c r="N64">
        <f>0+D64+F64+G64+H64+I64+J64+K64+L64</f>
        <v>0</v>
      </c>
    </row>
    <row r="65" spans="3:14">
      <c r="C65" t="s">
        <v>69</v>
      </c>
      <c r="D65">
        <f>-5.996*$D$7</f>
        <v>0</v>
      </c>
      <c r="E65">
        <f>2.9694*$E$7</f>
        <v>0</v>
      </c>
      <c r="F65">
        <f>-25.7234*$F$7</f>
        <v>0</v>
      </c>
      <c r="G65">
        <f>1.1889*$G$7</f>
        <v>0</v>
      </c>
      <c r="H65">
        <f>0*$H$7</f>
        <v>0</v>
      </c>
      <c r="I65">
        <f>-1.39*$I$7</f>
        <v>0</v>
      </c>
      <c r="J65">
        <f>-63.9043*$J$7</f>
        <v>0</v>
      </c>
      <c r="K65">
        <f>85.2057*$K$7</f>
        <v>0</v>
      </c>
      <c r="L65">
        <f>3.6959*$L$7</f>
        <v>0</v>
      </c>
      <c r="M65">
        <f>0+D65+E65+G65+H65+I65+J65+K65+L65</f>
        <v>0</v>
      </c>
      <c r="N65">
        <f>0+D65+F65+G65+H65+I65+J65+K65+L65</f>
        <v>0</v>
      </c>
    </row>
    <row r="70" spans="3:14">
      <c r="C70" t="s">
        <v>70</v>
      </c>
    </row>
    <row r="72" spans="3:14">
      <c r="C72" t="s">
        <v>2</v>
      </c>
    </row>
    <row r="73" spans="3:14">
      <c r="C73" t="s">
        <v>3</v>
      </c>
      <c r="D73" t="s">
        <v>4</v>
      </c>
      <c r="E73" t="s">
        <v>5</v>
      </c>
      <c r="F73" t="s">
        <v>6</v>
      </c>
      <c r="G73" t="s">
        <v>7</v>
      </c>
      <c r="H73" t="s">
        <v>8</v>
      </c>
      <c r="I73" t="s">
        <v>9</v>
      </c>
      <c r="J73" t="s">
        <v>10</v>
      </c>
      <c r="K73" t="s">
        <v>11</v>
      </c>
      <c r="L73" t="s">
        <v>12</v>
      </c>
      <c r="M73" t="s">
        <v>13</v>
      </c>
      <c r="N73" t="s">
        <v>14</v>
      </c>
    </row>
    <row r="74" spans="3:14">
      <c r="C74" t="s">
        <v>76</v>
      </c>
      <c r="D74">
        <f>-258.967*$D$72</f>
        <v>0</v>
      </c>
      <c r="E74">
        <f>6.284*$E$72</f>
        <v>0</v>
      </c>
      <c r="F74">
        <f>-439.236*$F$72</f>
        <v>0</v>
      </c>
      <c r="G74">
        <f>-10.707*$G$72</f>
        <v>0</v>
      </c>
      <c r="H74">
        <f>0*$H$72</f>
        <v>0</v>
      </c>
      <c r="I74">
        <f>-37.96*$I$72</f>
        <v>0</v>
      </c>
      <c r="J74">
        <f>104.53*$J$72</f>
        <v>0</v>
      </c>
      <c r="K74">
        <f>-139.374*$K$72</f>
        <v>0</v>
      </c>
      <c r="L74">
        <f>-0.005791*$L$72</f>
        <v>0</v>
      </c>
      <c r="M74">
        <f>0+D74+E74+G74+H74+I74+J74+K74+L74</f>
        <v>0</v>
      </c>
      <c r="N74">
        <f>0+D74+F74+G74+H74+I74+J74+K74+L74</f>
        <v>0</v>
      </c>
    </row>
    <row r="75" spans="3:14">
      <c r="C75" t="s">
        <v>16</v>
      </c>
      <c r="D75">
        <f>-232.928*$D$72</f>
        <v>0</v>
      </c>
      <c r="E75">
        <f>13.06*$E$72</f>
        <v>0</v>
      </c>
      <c r="F75">
        <f>-418.646*$F$72</f>
        <v>0</v>
      </c>
      <c r="G75">
        <f>-10.9*$G$72</f>
        <v>0</v>
      </c>
      <c r="H75">
        <f>0*$H$72</f>
        <v>0</v>
      </c>
      <c r="I75">
        <f>-35.768*$I$72</f>
        <v>0</v>
      </c>
      <c r="J75">
        <f>97.14*$J$72</f>
        <v>0</v>
      </c>
      <c r="K75">
        <f>-129.52*$K$72</f>
        <v>0</v>
      </c>
      <c r="L75">
        <f>-0.005875*$L$72</f>
        <v>0</v>
      </c>
      <c r="M75">
        <f>0+D75+E75+G75+H75+I75+J75+K75+L75</f>
        <v>0</v>
      </c>
      <c r="N75">
        <f>0+D75+F75+G75+H75+I75+J75+K75+L75</f>
        <v>0</v>
      </c>
    </row>
    <row r="76" spans="3:14">
      <c r="C76" t="s">
        <v>17</v>
      </c>
      <c r="D76">
        <f>-204.582*$D$72</f>
        <v>0</v>
      </c>
      <c r="E76">
        <f>31.53*$E$72</f>
        <v>0</v>
      </c>
      <c r="F76">
        <f>-375.385*$F$72</f>
        <v>0</v>
      </c>
      <c r="G76">
        <f>-11.967*$G$72</f>
        <v>0</v>
      </c>
      <c r="H76">
        <f>0*$H$72</f>
        <v>0</v>
      </c>
      <c r="I76">
        <f>-30.999*$I$72</f>
        <v>0</v>
      </c>
      <c r="J76">
        <f>80.6*$J$72</f>
        <v>0</v>
      </c>
      <c r="K76">
        <f>-107.466*$K$72</f>
        <v>0</v>
      </c>
      <c r="L76">
        <f>-0.006446*$L$72</f>
        <v>0</v>
      </c>
      <c r="M76">
        <f>0+D76+E76+G76+H76+I76+J76+K76+L76</f>
        <v>0</v>
      </c>
      <c r="N76">
        <f>0+D76+F76+G76+H76+I76+J76+K76+L76</f>
        <v>0</v>
      </c>
    </row>
    <row r="77" spans="3:14">
      <c r="C77" t="s">
        <v>18</v>
      </c>
      <c r="D77">
        <f>-176.499*$D$72</f>
        <v>0</v>
      </c>
      <c r="E77">
        <f>52.304*$E$72</f>
        <v>0</v>
      </c>
      <c r="F77">
        <f>-336.273*$F$72</f>
        <v>0</v>
      </c>
      <c r="G77">
        <f>-12.641*$G$72</f>
        <v>0</v>
      </c>
      <c r="H77">
        <f>0*$H$72</f>
        <v>0</v>
      </c>
      <c r="I77">
        <f>-26.296*$I$72</f>
        <v>0</v>
      </c>
      <c r="J77">
        <f>71.761*$J$72</f>
        <v>0</v>
      </c>
      <c r="K77">
        <f>-95.682*$K$72</f>
        <v>0</v>
      </c>
      <c r="L77">
        <f>-0.006436*$L$72</f>
        <v>0</v>
      </c>
      <c r="M77">
        <f>0+D77+E77+G77+H77+I77+J77+K77+L77</f>
        <v>0</v>
      </c>
      <c r="N77">
        <f>0+D77+F77+G77+H77+I77+J77+K77+L77</f>
        <v>0</v>
      </c>
    </row>
    <row r="78" spans="3:14">
      <c r="C78" t="s">
        <v>19</v>
      </c>
      <c r="D78">
        <f>-148.577*$D$72</f>
        <v>0</v>
      </c>
      <c r="E78">
        <f>83.393*$E$72</f>
        <v>0</v>
      </c>
      <c r="F78">
        <f>-300.026*$F$72</f>
        <v>0</v>
      </c>
      <c r="G78">
        <f>-12.73*$G$72</f>
        <v>0</v>
      </c>
      <c r="H78">
        <f>0*$H$72</f>
        <v>0</v>
      </c>
      <c r="I78">
        <f>-21.662*$I$72</f>
        <v>0</v>
      </c>
      <c r="J78">
        <f>66.712*$J$72</f>
        <v>0</v>
      </c>
      <c r="K78">
        <f>-88.949*$K$72</f>
        <v>0</v>
      </c>
      <c r="L78">
        <f>-0.006102*$L$72</f>
        <v>0</v>
      </c>
      <c r="M78">
        <f>0+D78+E78+G78+H78+I78+J78+K78+L78</f>
        <v>0</v>
      </c>
      <c r="N78">
        <f>0+D78+F78+G78+H78+I78+J78+K78+L78</f>
        <v>0</v>
      </c>
    </row>
    <row r="79" spans="3:14">
      <c r="C79" t="s">
        <v>20</v>
      </c>
      <c r="D79">
        <f>-131.271*$D$72</f>
        <v>0</v>
      </c>
      <c r="E79">
        <f>101.626*$E$72</f>
        <v>0</v>
      </c>
      <c r="F79">
        <f>-278.726*$F$72</f>
        <v>0</v>
      </c>
      <c r="G79">
        <f>-13.179*$G$72</f>
        <v>0</v>
      </c>
      <c r="H79">
        <f>0*$H$72</f>
        <v>0</v>
      </c>
      <c r="I79">
        <f>-18.582*$I$72</f>
        <v>0</v>
      </c>
      <c r="J79">
        <f>53.978*$J$72</f>
        <v>0</v>
      </c>
      <c r="K79">
        <f>-71.97*$K$72</f>
        <v>0</v>
      </c>
      <c r="L79">
        <f>-0.005186*$L$72</f>
        <v>0</v>
      </c>
      <c r="M79">
        <f>0+D79+E79+G79+H79+I79+J79+K79+L79</f>
        <v>0</v>
      </c>
      <c r="N79">
        <f>0+D79+F79+G79+H79+I79+J79+K79+L79</f>
        <v>0</v>
      </c>
    </row>
    <row r="80" spans="3:14">
      <c r="C80" t="s">
        <v>21</v>
      </c>
      <c r="D80">
        <f>-97.025*$D$72</f>
        <v>0</v>
      </c>
      <c r="E80">
        <f>91.998*$E$72</f>
        <v>0</v>
      </c>
      <c r="F80">
        <f>-271.001*$F$72</f>
        <v>0</v>
      </c>
      <c r="G80">
        <f>-6.327*$G$72</f>
        <v>0</v>
      </c>
      <c r="H80">
        <f>0*$H$72</f>
        <v>0</v>
      </c>
      <c r="I80">
        <f>-15.813*$I$72</f>
        <v>0</v>
      </c>
      <c r="J80">
        <f>-5.043*$J$72</f>
        <v>0</v>
      </c>
      <c r="K80">
        <f>6.724*$K$72</f>
        <v>0</v>
      </c>
      <c r="L80">
        <f>-0.003395*$L$72</f>
        <v>0</v>
      </c>
      <c r="M80">
        <f>0+D80+E80+G80+H80+I80+J80+K80+L80</f>
        <v>0</v>
      </c>
      <c r="N80">
        <f>0+D80+F80+G80+H80+I80+J80+K80+L80</f>
        <v>0</v>
      </c>
    </row>
    <row r="81" spans="3:14">
      <c r="C81" t="s">
        <v>22</v>
      </c>
      <c r="D81">
        <f>-72.64*$D$72</f>
        <v>0</v>
      </c>
      <c r="E81">
        <f>116.213*$E$72</f>
        <v>0</v>
      </c>
      <c r="F81">
        <f>-241.73*$F$72</f>
        <v>0</v>
      </c>
      <c r="G81">
        <f>-5.94*$G$72</f>
        <v>0</v>
      </c>
      <c r="H81">
        <f>0*$H$72</f>
        <v>0</v>
      </c>
      <c r="I81">
        <f>-11.726*$I$72</f>
        <v>0</v>
      </c>
      <c r="J81">
        <f>-2.737*$J$72</f>
        <v>0</v>
      </c>
      <c r="K81">
        <f>3.649*$K$72</f>
        <v>0</v>
      </c>
      <c r="L81">
        <f>-0.003106*$L$72</f>
        <v>0</v>
      </c>
      <c r="M81">
        <f>0+D81+E81+G81+H81+I81+J81+K81+L81</f>
        <v>0</v>
      </c>
      <c r="N81">
        <f>0+D81+F81+G81+H81+I81+J81+K81+L81</f>
        <v>0</v>
      </c>
    </row>
    <row r="82" spans="3:14">
      <c r="C82" t="s">
        <v>23</v>
      </c>
      <c r="D82">
        <f>-48.354*$D$72</f>
        <v>0</v>
      </c>
      <c r="E82">
        <f>140.795*$E$72</f>
        <v>0</v>
      </c>
      <c r="F82">
        <f>-213.945*$F$72</f>
        <v>0</v>
      </c>
      <c r="G82">
        <f>-5.7*$G$72</f>
        <v>0</v>
      </c>
      <c r="H82">
        <f>0*$H$72</f>
        <v>0</v>
      </c>
      <c r="I82">
        <f>-7.664*$I$72</f>
        <v>0</v>
      </c>
      <c r="J82">
        <f>2.283*$J$72</f>
        <v>0</v>
      </c>
      <c r="K82">
        <f>-3.045*$K$72</f>
        <v>0</v>
      </c>
      <c r="L82">
        <f>-0.00256*$L$72</f>
        <v>0</v>
      </c>
      <c r="M82">
        <f>0+D82+E82+G82+H82+I82+J82+K82+L82</f>
        <v>0</v>
      </c>
      <c r="N82">
        <f>0+D82+F82+G82+H82+I82+J82+K82+L82</f>
        <v>0</v>
      </c>
    </row>
    <row r="83" spans="3:14">
      <c r="C83" t="s">
        <v>24</v>
      </c>
      <c r="D83">
        <f>-24.347*$D$72</f>
        <v>0</v>
      </c>
      <c r="E83">
        <f>157.207*$E$72</f>
        <v>0</v>
      </c>
      <c r="F83">
        <f>-187.593*$F$72</f>
        <v>0</v>
      </c>
      <c r="G83">
        <f>-5.247*$G$72</f>
        <v>0</v>
      </c>
      <c r="H83">
        <f>0*$H$72</f>
        <v>0</v>
      </c>
      <c r="I83">
        <f>-3.638*$I$72</f>
        <v>0</v>
      </c>
      <c r="J83">
        <f>7.293*$J$72</f>
        <v>0</v>
      </c>
      <c r="K83">
        <f>-9.724*$K$72</f>
        <v>0</v>
      </c>
      <c r="L83">
        <f>-0.001744*$L$72</f>
        <v>0</v>
      </c>
      <c r="M83">
        <f>0+D83+E83+G83+H83+I83+J83+K83+L83</f>
        <v>0</v>
      </c>
      <c r="N83">
        <f>0+D83+F83+G83+H83+I83+J83+K83+L83</f>
        <v>0</v>
      </c>
    </row>
    <row r="84" spans="3:14">
      <c r="C84" t="s">
        <v>25</v>
      </c>
      <c r="D84">
        <f>-0.318*$D$72</f>
        <v>0</v>
      </c>
      <c r="E84">
        <f>181.277*$E$72</f>
        <v>0</v>
      </c>
      <c r="F84">
        <f>-161.65*$F$72</f>
        <v>0</v>
      </c>
      <c r="G84">
        <f>-4.388*$G$72</f>
        <v>0</v>
      </c>
      <c r="H84">
        <f>0*$H$72</f>
        <v>0</v>
      </c>
      <c r="I84">
        <f>0.378*$I$72</f>
        <v>0</v>
      </c>
      <c r="J84">
        <f>10.368*$J$72</f>
        <v>0</v>
      </c>
      <c r="K84">
        <f>-13.824*$K$72</f>
        <v>0</v>
      </c>
      <c r="L84">
        <f>-0.0009788*$L$72</f>
        <v>0</v>
      </c>
      <c r="M84">
        <f>0+D84+E84+G84+H84+I84+J84+K84+L84</f>
        <v>0</v>
      </c>
      <c r="N84">
        <f>0+D84+F84+G84+H84+I84+J84+K84+L84</f>
        <v>0</v>
      </c>
    </row>
    <row r="85" spans="3:14">
      <c r="C85" t="s">
        <v>26</v>
      </c>
      <c r="D85">
        <f>31.441*$D$72</f>
        <v>0</v>
      </c>
      <c r="E85">
        <f>175.275*$E$72</f>
        <v>0</v>
      </c>
      <c r="F85">
        <f>-172.017*$F$72</f>
        <v>0</v>
      </c>
      <c r="G85">
        <f>6.102*$G$72</f>
        <v>0</v>
      </c>
      <c r="H85">
        <f>0*$H$72</f>
        <v>0</v>
      </c>
      <c r="I85">
        <f>2.513*$I$72</f>
        <v>0</v>
      </c>
      <c r="J85">
        <f>-9.469*$J$72</f>
        <v>0</v>
      </c>
      <c r="K85">
        <f>12.625*$K$72</f>
        <v>0</v>
      </c>
      <c r="L85">
        <f>0.001763*$L$72</f>
        <v>0</v>
      </c>
      <c r="M85">
        <f>0+D85+E85+G85+H85+I85+J85+K85+L85</f>
        <v>0</v>
      </c>
      <c r="N85">
        <f>0+D85+F85+G85+H85+I85+J85+K85+L85</f>
        <v>0</v>
      </c>
    </row>
    <row r="86" spans="3:14">
      <c r="C86" t="s">
        <v>27</v>
      </c>
      <c r="D86">
        <f>55.331*$D$72</f>
        <v>0</v>
      </c>
      <c r="E86">
        <f>200.91*$E$72</f>
        <v>0</v>
      </c>
      <c r="F86">
        <f>-147.597*$F$72</f>
        <v>0</v>
      </c>
      <c r="G86">
        <f>6.714*$G$72</f>
        <v>0</v>
      </c>
      <c r="H86">
        <f>0*$H$72</f>
        <v>0</v>
      </c>
      <c r="I86">
        <f>6.516*$I$72</f>
        <v>0</v>
      </c>
      <c r="J86">
        <f>-4.436*$J$72</f>
        <v>0</v>
      </c>
      <c r="K86">
        <f>5.914*$K$72</f>
        <v>0</v>
      </c>
      <c r="L86">
        <f>0.002592*$L$72</f>
        <v>0</v>
      </c>
      <c r="M86">
        <f>0+D86+E86+G86+H86+I86+J86+K86+L86</f>
        <v>0</v>
      </c>
      <c r="N86">
        <f>0+D86+F86+G86+H86+I86+J86+K86+L86</f>
        <v>0</v>
      </c>
    </row>
    <row r="87" spans="3:14">
      <c r="C87" t="s">
        <v>28</v>
      </c>
      <c r="D87">
        <f>79.276*$D$72</f>
        <v>0</v>
      </c>
      <c r="E87">
        <f>227.431*$E$72</f>
        <v>0</v>
      </c>
      <c r="F87">
        <f>-124.62*$F$72</f>
        <v>0</v>
      </c>
      <c r="G87">
        <f>7.068*$G$72</f>
        <v>0</v>
      </c>
      <c r="H87">
        <f>0*$H$72</f>
        <v>0</v>
      </c>
      <c r="I87">
        <f>10.538*$I$72</f>
        <v>0</v>
      </c>
      <c r="J87">
        <f>1.856*$J$72</f>
        <v>0</v>
      </c>
      <c r="K87">
        <f>-2.475*$K$72</f>
        <v>0</v>
      </c>
      <c r="L87">
        <f>0.003727*$L$72</f>
        <v>0</v>
      </c>
      <c r="M87">
        <f>0+D87+E87+G87+H87+I87+J87+K87+L87</f>
        <v>0</v>
      </c>
      <c r="N87">
        <f>0+D87+F87+G87+H87+I87+J87+K87+L87</f>
        <v>0</v>
      </c>
    </row>
    <row r="88" spans="3:14">
      <c r="C88" t="s">
        <v>29</v>
      </c>
      <c r="D88">
        <f>103.568*$D$72</f>
        <v>0</v>
      </c>
      <c r="E88">
        <f>255.346*$E$72</f>
        <v>0</v>
      </c>
      <c r="F88">
        <f>-103.391*$F$72</f>
        <v>0</v>
      </c>
      <c r="G88">
        <f>7.567*$G$72</f>
        <v>0</v>
      </c>
      <c r="H88">
        <f>0*$H$72</f>
        <v>0</v>
      </c>
      <c r="I88">
        <f>14.585*$I$72</f>
        <v>0</v>
      </c>
      <c r="J88">
        <f>7.02*$J$72</f>
        <v>0</v>
      </c>
      <c r="K88">
        <f>-9.361*$K$72</f>
        <v>0</v>
      </c>
      <c r="L88">
        <f>0.00492*$L$72</f>
        <v>0</v>
      </c>
      <c r="M88">
        <f>0+D88+E88+G88+H88+I88+J88+K88+L88</f>
        <v>0</v>
      </c>
      <c r="N88">
        <f>0+D88+F88+G88+H88+I88+J88+K88+L88</f>
        <v>0</v>
      </c>
    </row>
    <row r="89" spans="3:14">
      <c r="C89" t="s">
        <v>30</v>
      </c>
      <c r="D89">
        <f>128.199*$D$72</f>
        <v>0</v>
      </c>
      <c r="E89">
        <f>286.583*$E$72</f>
        <v>0</v>
      </c>
      <c r="F89">
        <f>-84.05*$F$72</f>
        <v>0</v>
      </c>
      <c r="G89">
        <f>8.402*$G$72</f>
        <v>0</v>
      </c>
      <c r="H89">
        <f>0*$H$72</f>
        <v>0</v>
      </c>
      <c r="I89">
        <f>18.685*$I$72</f>
        <v>0</v>
      </c>
      <c r="J89">
        <f>9.356*$J$72</f>
        <v>0</v>
      </c>
      <c r="K89">
        <f>-12.474*$K$72</f>
        <v>0</v>
      </c>
      <c r="L89">
        <f>0.005895*$L$72</f>
        <v>0</v>
      </c>
      <c r="M89">
        <f>0+D89+E89+G89+H89+I89+J89+K89+L89</f>
        <v>0</v>
      </c>
      <c r="N89">
        <f>0+D89+F89+G89+H89+I89+J89+K89+L89</f>
        <v>0</v>
      </c>
    </row>
    <row r="90" spans="3:14">
      <c r="C90" t="s">
        <v>31</v>
      </c>
      <c r="D90">
        <f>169.063*$D$72</f>
        <v>0</v>
      </c>
      <c r="E90">
        <f>291.248*$E$72</f>
        <v>0</v>
      </c>
      <c r="F90">
        <f>-107.558*$F$72</f>
        <v>0</v>
      </c>
      <c r="G90">
        <f>18.112*$G$72</f>
        <v>0</v>
      </c>
      <c r="H90">
        <f>0*$H$72</f>
        <v>0</v>
      </c>
      <c r="I90">
        <f>22.217*$I$72</f>
        <v>0</v>
      </c>
      <c r="J90">
        <f>-24.424*$J$72</f>
        <v>0</v>
      </c>
      <c r="K90">
        <f>32.565*$K$72</f>
        <v>0</v>
      </c>
      <c r="L90">
        <f>-0.007268*$L$72</f>
        <v>0</v>
      </c>
      <c r="M90">
        <f>0+D90+E90+G90+H90+I90+J90+K90+L90</f>
        <v>0</v>
      </c>
      <c r="N90">
        <f>0+D90+F90+G90+H90+I90+J90+K90+L90</f>
        <v>0</v>
      </c>
    </row>
    <row r="91" spans="3:14">
      <c r="C91" t="s">
        <v>32</v>
      </c>
      <c r="D91">
        <f>186.014*$D$72</f>
        <v>0</v>
      </c>
      <c r="E91">
        <f>310.337*$E$72</f>
        <v>0</v>
      </c>
      <c r="F91">
        <f>-86.052*$F$72</f>
        <v>0</v>
      </c>
      <c r="G91">
        <f>18.043*$G$72</f>
        <v>0</v>
      </c>
      <c r="H91">
        <f>0*$H$72</f>
        <v>0</v>
      </c>
      <c r="I91">
        <f>25.161*$I$72</f>
        <v>0</v>
      </c>
      <c r="J91">
        <f>-30.805*$J$72</f>
        <v>0</v>
      </c>
      <c r="K91">
        <f>41.073*$K$72</f>
        <v>0</v>
      </c>
      <c r="L91">
        <f>-0.009043*$L$72</f>
        <v>0</v>
      </c>
      <c r="M91">
        <f>0+D91+E91+G91+H91+I91+J91+K91+L91</f>
        <v>0</v>
      </c>
      <c r="N91">
        <f>0+D91+F91+G91+H91+I91+J91+K91+L91</f>
        <v>0</v>
      </c>
    </row>
    <row r="92" spans="3:14">
      <c r="C92" t="s">
        <v>33</v>
      </c>
      <c r="D92">
        <f>211.201*$D$72</f>
        <v>0</v>
      </c>
      <c r="E92">
        <f>342.895*$E$72</f>
        <v>0</v>
      </c>
      <c r="F92">
        <f>-57.423*$F$72</f>
        <v>0</v>
      </c>
      <c r="G92">
        <f>18.368*$G$72</f>
        <v>0</v>
      </c>
      <c r="H92">
        <f>0*$H$72</f>
        <v>0</v>
      </c>
      <c r="I92">
        <f>29.307*$I$72</f>
        <v>0</v>
      </c>
      <c r="J92">
        <f>-30.559*$J$72</f>
        <v>0</v>
      </c>
      <c r="K92">
        <f>40.745*$K$72</f>
        <v>0</v>
      </c>
      <c r="L92">
        <f>-0.014*$L$72</f>
        <v>0</v>
      </c>
      <c r="M92">
        <f>0+D92+E92+G92+H92+I92+J92+K92+L92</f>
        <v>0</v>
      </c>
      <c r="N92">
        <f>0+D92+F92+G92+H92+I92+J92+K92+L92</f>
        <v>0</v>
      </c>
    </row>
    <row r="93" spans="3:14">
      <c r="C93" t="s">
        <v>34</v>
      </c>
      <c r="D93">
        <f>239.066*$D$72</f>
        <v>0</v>
      </c>
      <c r="E93">
        <f>382.918*$E$72</f>
        <v>0</v>
      </c>
      <c r="F93">
        <f>-36.71*$F$72</f>
        <v>0</v>
      </c>
      <c r="G93">
        <f>18.776*$G$72</f>
        <v>0</v>
      </c>
      <c r="H93">
        <f>0*$H$72</f>
        <v>0</v>
      </c>
      <c r="I93">
        <f>33.838*$I$72</f>
        <v>0</v>
      </c>
      <c r="J93">
        <f>-32.804*$J$72</f>
        <v>0</v>
      </c>
      <c r="K93">
        <f>43.739*$K$72</f>
        <v>0</v>
      </c>
      <c r="L93">
        <f>-0.023*$L$72</f>
        <v>0</v>
      </c>
      <c r="M93">
        <f>0+D93+E93+G93+H93+I93+J93+K93+L93</f>
        <v>0</v>
      </c>
      <c r="N93">
        <f>0+D93+F93+G93+H93+I93+J93+K93+L93</f>
        <v>0</v>
      </c>
    </row>
    <row r="94" spans="3:14">
      <c r="C94" t="s">
        <v>35</v>
      </c>
      <c r="D94">
        <f>270.735*$D$72</f>
        <v>0</v>
      </c>
      <c r="E94">
        <f>436.229*$E$72</f>
        <v>0</v>
      </c>
      <c r="F94">
        <f>-13.893*$F$72</f>
        <v>0</v>
      </c>
      <c r="G94">
        <f>19.239*$G$72</f>
        <v>0</v>
      </c>
      <c r="H94">
        <f>0*$H$72</f>
        <v>0</v>
      </c>
      <c r="I94">
        <f>38.892*$I$72</f>
        <v>0</v>
      </c>
      <c r="J94">
        <f>-43.733*$J$72</f>
        <v>0</v>
      </c>
      <c r="K94">
        <f>58.31*$K$72</f>
        <v>0</v>
      </c>
      <c r="L94">
        <f>-0.042*$L$72</f>
        <v>0</v>
      </c>
      <c r="M94">
        <f>0+D94+E94+G94+H94+I94+J94+K94+L94</f>
        <v>0</v>
      </c>
      <c r="N94">
        <f>0+D94+F94+G94+H94+I94+J94+K94+L94</f>
        <v>0</v>
      </c>
    </row>
    <row r="95" spans="3:14">
      <c r="C95" t="s">
        <v>36</v>
      </c>
      <c r="D95">
        <f>-12.083*$D$72</f>
        <v>0</v>
      </c>
      <c r="E95">
        <f>12.984*$E$72</f>
        <v>0</v>
      </c>
      <c r="F95">
        <f>-219.47*$F$72</f>
        <v>0</v>
      </c>
      <c r="G95">
        <f>0.711*$G$72</f>
        <v>0</v>
      </c>
      <c r="H95">
        <f>0*$H$72</f>
        <v>0</v>
      </c>
      <c r="I95">
        <f>-2.728*$I$72</f>
        <v>0</v>
      </c>
      <c r="J95">
        <f>13.303*$J$72</f>
        <v>0</v>
      </c>
      <c r="K95">
        <f>-17.738*$K$72</f>
        <v>0</v>
      </c>
      <c r="L95">
        <f>0.028*$L$72</f>
        <v>0</v>
      </c>
      <c r="M95">
        <f>0+D95+E95+G95+H95+I95+J95+K95+L95</f>
        <v>0</v>
      </c>
      <c r="N95">
        <f>0+D95+F95+G95+H95+I95+J95+K95+L95</f>
        <v>0</v>
      </c>
    </row>
    <row r="96" spans="3:14">
      <c r="C96" t="s">
        <v>36</v>
      </c>
      <c r="D96">
        <f>11.365*$D$72</f>
        <v>0</v>
      </c>
      <c r="E96">
        <f>27.201*$E$72</f>
        <v>0</v>
      </c>
      <c r="F96">
        <f>-13.525*$F$72</f>
        <v>0</v>
      </c>
      <c r="G96">
        <f>-0.581*$G$72</f>
        <v>0</v>
      </c>
      <c r="H96">
        <f>0*$H$72</f>
        <v>0</v>
      </c>
      <c r="I96">
        <f>2.617*$I$72</f>
        <v>0</v>
      </c>
      <c r="J96">
        <f>-11.787*$J$72</f>
        <v>0</v>
      </c>
      <c r="K96">
        <f>15.716*$K$72</f>
        <v>0</v>
      </c>
      <c r="L96">
        <f>0.242*$L$72</f>
        <v>0</v>
      </c>
      <c r="M96">
        <f>0+D96+E96+G96+H96+I96+J96+K96+L96</f>
        <v>0</v>
      </c>
      <c r="N96">
        <f>0+D96+F96+G96+H96+I96+J96+K96+L96</f>
        <v>0</v>
      </c>
    </row>
    <row r="97" spans="3:14">
      <c r="C97" t="s">
        <v>37</v>
      </c>
      <c r="D97">
        <f>23.117*$D$72</f>
        <v>0</v>
      </c>
      <c r="E97">
        <f>27.201*$E$72</f>
        <v>0</v>
      </c>
      <c r="F97">
        <f>-13.525*$F$72</f>
        <v>0</v>
      </c>
      <c r="G97">
        <f>-0.581*$G$72</f>
        <v>0</v>
      </c>
      <c r="H97">
        <f>0*$H$72</f>
        <v>0</v>
      </c>
      <c r="I97">
        <f>2.617*$I$72</f>
        <v>0</v>
      </c>
      <c r="J97">
        <f>-11.787*$J$72</f>
        <v>0</v>
      </c>
      <c r="K97">
        <f>15.716*$K$72</f>
        <v>0</v>
      </c>
      <c r="L97">
        <f>0.242*$L$72</f>
        <v>0</v>
      </c>
      <c r="M97">
        <f>0+D97+E97+G97+H97+I97+J97+K97+L97</f>
        <v>0</v>
      </c>
      <c r="N97">
        <f>0+D97+F97+G97+H97+I97+J97+K97+L97</f>
        <v>0</v>
      </c>
    </row>
    <row r="98" spans="3:14">
      <c r="C98" t="s">
        <v>38</v>
      </c>
      <c r="D98">
        <f>-243.282*$D$72</f>
        <v>0</v>
      </c>
      <c r="E98">
        <f>16.88*$E$72</f>
        <v>0</v>
      </c>
      <c r="F98">
        <f>-418.554*$F$72</f>
        <v>0</v>
      </c>
      <c r="G98">
        <f>-17.892*$G$72</f>
        <v>0</v>
      </c>
      <c r="H98">
        <f>0*$H$72</f>
        <v>0</v>
      </c>
      <c r="I98">
        <f>-36.43*$I$72</f>
        <v>0</v>
      </c>
      <c r="J98">
        <f>42.348*$J$72</f>
        <v>0</v>
      </c>
      <c r="K98">
        <f>-56.464*$K$72</f>
        <v>0</v>
      </c>
      <c r="L98">
        <f>-0.884*$L$72</f>
        <v>0</v>
      </c>
      <c r="M98">
        <f>0+D98+E98+G98+H98+I98+J98+K98+L98</f>
        <v>0</v>
      </c>
      <c r="N98">
        <f>0+D98+F98+G98+H98+I98+J98+K98+L98</f>
        <v>0</v>
      </c>
    </row>
    <row r="99" spans="3:14">
      <c r="C99" t="s">
        <v>39</v>
      </c>
      <c r="D99">
        <f>-212.773*$D$72</f>
        <v>0</v>
      </c>
      <c r="E99">
        <f>38.581*$E$72</f>
        <v>0</v>
      </c>
      <c r="F99">
        <f>-371.621*$F$72</f>
        <v>0</v>
      </c>
      <c r="G99">
        <f>-17.563*$G$72</f>
        <v>0</v>
      </c>
      <c r="H99">
        <f>0*$H$72</f>
        <v>0</v>
      </c>
      <c r="I99">
        <f>-31.527*$I$72</f>
        <v>0</v>
      </c>
      <c r="J99">
        <f>36.05*$J$72</f>
        <v>0</v>
      </c>
      <c r="K99">
        <f>-48.067*$K$72</f>
        <v>0</v>
      </c>
      <c r="L99">
        <f>-0.755*$L$72</f>
        <v>0</v>
      </c>
      <c r="M99">
        <f>0+D99+E99+G99+H99+I99+J99+K99+L99</f>
        <v>0</v>
      </c>
      <c r="N99">
        <f>0+D99+F99+G99+H99+I99+J99+K99+L99</f>
        <v>0</v>
      </c>
    </row>
    <row r="100" spans="3:14">
      <c r="C100" t="s">
        <v>40</v>
      </c>
      <c r="D100">
        <f>-185.337*$D$72</f>
        <v>0</v>
      </c>
      <c r="E100">
        <f>62.106*$E$72</f>
        <v>0</v>
      </c>
      <c r="F100">
        <f>-333.24*$F$72</f>
        <v>0</v>
      </c>
      <c r="G100">
        <f>-17.278*$G$72</f>
        <v>0</v>
      </c>
      <c r="H100">
        <f>0*$H$72</f>
        <v>0</v>
      </c>
      <c r="I100">
        <f>-27.047*$I$72</f>
        <v>0</v>
      </c>
      <c r="J100">
        <f>35.067*$J$72</f>
        <v>0</v>
      </c>
      <c r="K100">
        <f>-46.757*$K$72</f>
        <v>0</v>
      </c>
      <c r="L100">
        <f>-0.683*$L$72</f>
        <v>0</v>
      </c>
      <c r="M100">
        <f>0+D100+E100+G100+H100+I100+J100+K100+L100</f>
        <v>0</v>
      </c>
      <c r="N100">
        <f>0+D100+F100+G100+H100+I100+J100+K100+L100</f>
        <v>0</v>
      </c>
    </row>
    <row r="101" spans="3:14">
      <c r="C101" t="s">
        <v>41</v>
      </c>
      <c r="D101">
        <f>-160.199*$D$72</f>
        <v>0</v>
      </c>
      <c r="E101">
        <f>90.033*$E$72</f>
        <v>0</v>
      </c>
      <c r="F101">
        <f>-300.948*$F$72</f>
        <v>0</v>
      </c>
      <c r="G101">
        <f>-16.847*$G$72</f>
        <v>0</v>
      </c>
      <c r="H101">
        <f>0*$H$72</f>
        <v>0</v>
      </c>
      <c r="I101">
        <f>-22.913*$I$72</f>
        <v>0</v>
      </c>
      <c r="J101">
        <f>34.325*$J$72</f>
        <v>0</v>
      </c>
      <c r="K101">
        <f>-45.766*$K$72</f>
        <v>0</v>
      </c>
      <c r="L101">
        <f>-0.663*$L$72</f>
        <v>0</v>
      </c>
      <c r="M101">
        <f>0+D101+E101+G101+H101+I101+J101+K101+L101</f>
        <v>0</v>
      </c>
      <c r="N101">
        <f>0+D101+F101+G101+H101+I101+J101+K101+L101</f>
        <v>0</v>
      </c>
    </row>
    <row r="102" spans="3:14">
      <c r="C102" t="s">
        <v>42</v>
      </c>
      <c r="D102">
        <f>-143.024*$D$72</f>
        <v>0</v>
      </c>
      <c r="E102">
        <f>111.358*$E$72</f>
        <v>0</v>
      </c>
      <c r="F102">
        <f>-281.154*$F$72</f>
        <v>0</v>
      </c>
      <c r="G102">
        <f>-16.725*$G$72</f>
        <v>0</v>
      </c>
      <c r="H102">
        <f>0*$H$72</f>
        <v>0</v>
      </c>
      <c r="I102">
        <f>-19.94*$I$72</f>
        <v>0</v>
      </c>
      <c r="J102">
        <f>26.079*$J$72</f>
        <v>0</v>
      </c>
      <c r="K102">
        <f>-34.772*$K$72</f>
        <v>0</v>
      </c>
      <c r="L102">
        <f>-0.686*$L$72</f>
        <v>0</v>
      </c>
      <c r="M102">
        <f>0+D102+E102+G102+H102+I102+J102+K102+L102</f>
        <v>0</v>
      </c>
      <c r="N102">
        <f>0+D102+F102+G102+H102+I102+J102+K102+L102</f>
        <v>0</v>
      </c>
    </row>
    <row r="103" spans="3:14">
      <c r="C103" t="s">
        <v>43</v>
      </c>
      <c r="D103">
        <f>-99.244*$D$72</f>
        <v>0</v>
      </c>
      <c r="E103">
        <f>90.216*$E$72</f>
        <v>0</v>
      </c>
      <c r="F103">
        <f>-270.162*$F$72</f>
        <v>0</v>
      </c>
      <c r="G103">
        <f>-7.223*$G$72</f>
        <v>0</v>
      </c>
      <c r="H103">
        <f>0*$H$72</f>
        <v>0</v>
      </c>
      <c r="I103">
        <f>-16.114*$I$72</f>
        <v>0</v>
      </c>
      <c r="J103">
        <f>-9.541*$J$72</f>
        <v>0</v>
      </c>
      <c r="K103">
        <f>12.722*$K$72</f>
        <v>0</v>
      </c>
      <c r="L103">
        <f>-1.05*$L$72</f>
        <v>0</v>
      </c>
      <c r="M103">
        <f>0+D103+E103+G103+H103+I103+J103+K103+L103</f>
        <v>0</v>
      </c>
      <c r="N103">
        <f>0+D103+F103+G103+H103+I103+J103+K103+L103</f>
        <v>0</v>
      </c>
    </row>
    <row r="104" spans="3:14">
      <c r="C104" t="s">
        <v>44</v>
      </c>
      <c r="D104">
        <f>-74.806*$D$72</f>
        <v>0</v>
      </c>
      <c r="E104">
        <f>111.381*$E$72</f>
        <v>0</v>
      </c>
      <c r="F104">
        <f>-240.137*$F$72</f>
        <v>0</v>
      </c>
      <c r="G104">
        <f>-6.685*$G$72</f>
        <v>0</v>
      </c>
      <c r="H104">
        <f>0*$H$72</f>
        <v>0</v>
      </c>
      <c r="I104">
        <f>-12.03*$I$72</f>
        <v>0</v>
      </c>
      <c r="J104">
        <f>-5.775*$J$72</f>
        <v>0</v>
      </c>
      <c r="K104">
        <f>7.7*$K$72</f>
        <v>0</v>
      </c>
      <c r="L104">
        <f>-1.205*$L$72</f>
        <v>0</v>
      </c>
      <c r="M104">
        <f>0+D104+E104+G104+H104+I104+J104+K104+L104</f>
        <v>0</v>
      </c>
      <c r="N104">
        <f>0+D104+F104+G104+H104+I104+J104+K104+L104</f>
        <v>0</v>
      </c>
    </row>
    <row r="105" spans="3:14">
      <c r="C105" t="s">
        <v>45</v>
      </c>
      <c r="D105">
        <f>-50.69*$D$72</f>
        <v>0</v>
      </c>
      <c r="E105">
        <f>133.769*$E$72</f>
        <v>0</v>
      </c>
      <c r="F105">
        <f>-212.73*$F$72</f>
        <v>0</v>
      </c>
      <c r="G105">
        <f>-6.373*$G$72</f>
        <v>0</v>
      </c>
      <c r="H105">
        <f>0*$H$72</f>
        <v>0</v>
      </c>
      <c r="I105">
        <f>-7.995*$I$72</f>
        <v>0</v>
      </c>
      <c r="J105">
        <f>-0.053*$J$72</f>
        <v>0</v>
      </c>
      <c r="K105">
        <f>0.071*$K$72</f>
        <v>0</v>
      </c>
      <c r="L105">
        <f>-1.414*$L$72</f>
        <v>0</v>
      </c>
      <c r="M105">
        <f>0+D105+E105+G105+H105+I105+J105+K105+L105</f>
        <v>0</v>
      </c>
      <c r="N105">
        <f>0+D105+F105+G105+H105+I105+J105+K105+L105</f>
        <v>0</v>
      </c>
    </row>
    <row r="106" spans="3:14">
      <c r="C106" t="s">
        <v>46</v>
      </c>
      <c r="D106">
        <f>-26.919*$D$72</f>
        <v>0</v>
      </c>
      <c r="E106">
        <f>160.057*$E$72</f>
        <v>0</v>
      </c>
      <c r="F106">
        <f>-186.838*$F$72</f>
        <v>0</v>
      </c>
      <c r="G106">
        <f>-5.886*$G$72</f>
        <v>0</v>
      </c>
      <c r="H106">
        <f>0*$H$72</f>
        <v>0</v>
      </c>
      <c r="I106">
        <f>-4.005*$I$72</f>
        <v>0</v>
      </c>
      <c r="J106">
        <f>5.294*$J$72</f>
        <v>0</v>
      </c>
      <c r="K106">
        <f>-7.059*$K$72</f>
        <v>0</v>
      </c>
      <c r="L106">
        <f>-1.676*$L$72</f>
        <v>0</v>
      </c>
      <c r="M106">
        <f>0+D106+E106+G106+H106+I106+J106+K106+L106</f>
        <v>0</v>
      </c>
      <c r="N106">
        <f>0+D106+F106+G106+H106+I106+J106+K106+L106</f>
        <v>0</v>
      </c>
    </row>
    <row r="107" spans="3:14">
      <c r="C107" t="s">
        <v>47</v>
      </c>
      <c r="D107">
        <f>-3.118*$D$72</f>
        <v>0</v>
      </c>
      <c r="E107">
        <f>180.547*$E$72</f>
        <v>0</v>
      </c>
      <c r="F107">
        <f>-161.268*$F$72</f>
        <v>0</v>
      </c>
      <c r="G107">
        <f>-5.013*$G$72</f>
        <v>0</v>
      </c>
      <c r="H107">
        <f>0*$H$72</f>
        <v>0</v>
      </c>
      <c r="I107">
        <f>-0.021*$I$72</f>
        <v>0</v>
      </c>
      <c r="J107">
        <f>8.528*$J$72</f>
        <v>0</v>
      </c>
      <c r="K107">
        <f>-11.37*$K$72</f>
        <v>0</v>
      </c>
      <c r="L107">
        <f>-1.964*$L$72</f>
        <v>0</v>
      </c>
      <c r="M107">
        <f>0+D107+E107+G107+H107+I107+J107+K107+L107</f>
        <v>0</v>
      </c>
      <c r="N107">
        <f>0+D107+F107+G107+H107+I107+J107+K107+L107</f>
        <v>0</v>
      </c>
    </row>
    <row r="108" spans="3:14">
      <c r="C108" t="s">
        <v>48</v>
      </c>
      <c r="D108">
        <f>28.529*$D$72</f>
        <v>0</v>
      </c>
      <c r="E108">
        <f>172.428*$E$72</f>
        <v>0</v>
      </c>
      <c r="F108">
        <f>-175.974*$F$72</f>
        <v>0</v>
      </c>
      <c r="G108">
        <f>5.889*$G$72</f>
        <v>0</v>
      </c>
      <c r="H108">
        <f>0*$H$72</f>
        <v>0</v>
      </c>
      <c r="I108">
        <f>2.066*$I$72</f>
        <v>0</v>
      </c>
      <c r="J108">
        <f>-7.167*$J$72</f>
        <v>0</v>
      </c>
      <c r="K108">
        <f>9.557*$K$72</f>
        <v>0</v>
      </c>
      <c r="L108">
        <f>-2.838*$L$72</f>
        <v>0</v>
      </c>
      <c r="M108">
        <f>0+D108+E108+G108+H108+I108+J108+K108+L108</f>
        <v>0</v>
      </c>
      <c r="N108">
        <f>0+D108+F108+G108+H108+I108+J108+K108+L108</f>
        <v>0</v>
      </c>
    </row>
    <row r="109" spans="3:14">
      <c r="C109" t="s">
        <v>49</v>
      </c>
      <c r="D109">
        <f>52.229*$D$72</f>
        <v>0</v>
      </c>
      <c r="E109">
        <f>197.97*$E$72</f>
        <v>0</v>
      </c>
      <c r="F109">
        <f>-147.741*$F$72</f>
        <v>0</v>
      </c>
      <c r="G109">
        <f>6.487*$G$72</f>
        <v>0</v>
      </c>
      <c r="H109">
        <f>0*$H$72</f>
        <v>0</v>
      </c>
      <c r="I109">
        <f>6.044*$I$72</f>
        <v>0</v>
      </c>
      <c r="J109">
        <f>-2.269*$J$72</f>
        <v>0</v>
      </c>
      <c r="K109">
        <f>3.025*$K$72</f>
        <v>0</v>
      </c>
      <c r="L109">
        <f>-3.326*$L$72</f>
        <v>0</v>
      </c>
      <c r="M109">
        <f>0+D109+E109+G109+H109+I109+J109+K109+L109</f>
        <v>0</v>
      </c>
      <c r="N109">
        <f>0+D109+F109+G109+H109+I109+J109+K109+L109</f>
        <v>0</v>
      </c>
    </row>
    <row r="110" spans="3:14">
      <c r="C110" t="s">
        <v>50</v>
      </c>
      <c r="D110">
        <f>76.02*$D$72</f>
        <v>0</v>
      </c>
      <c r="E110">
        <f>224.39*$E$72</f>
        <v>0</v>
      </c>
      <c r="F110">
        <f>-124.806*$F$72</f>
        <v>0</v>
      </c>
      <c r="G110">
        <f>6.821*$G$72</f>
        <v>0</v>
      </c>
      <c r="H110">
        <f>0*$H$72</f>
        <v>0</v>
      </c>
      <c r="I110">
        <f>10.047*$I$72</f>
        <v>0</v>
      </c>
      <c r="J110">
        <f>3.804*$J$72</f>
        <v>0</v>
      </c>
      <c r="K110">
        <f>-5.072*$K$72</f>
        <v>0</v>
      </c>
      <c r="L110">
        <f>-3.857*$L$72</f>
        <v>0</v>
      </c>
      <c r="M110">
        <f>0+D110+E110+G110+H110+I110+J110+K110+L110</f>
        <v>0</v>
      </c>
      <c r="N110">
        <f>0+D110+F110+G110+H110+I110+J110+K110+L110</f>
        <v>0</v>
      </c>
    </row>
    <row r="111" spans="3:14">
      <c r="C111" t="s">
        <v>51</v>
      </c>
      <c r="D111">
        <f>100.15*$D$72</f>
        <v>0</v>
      </c>
      <c r="E111">
        <f>251.932*$E$72</f>
        <v>0</v>
      </c>
      <c r="F111">
        <f>-103.287*$F$72</f>
        <v>0</v>
      </c>
      <c r="G111">
        <f>7.295*$G$72</f>
        <v>0</v>
      </c>
      <c r="H111">
        <f>0*$H$72</f>
        <v>0</v>
      </c>
      <c r="I111">
        <f>14.073*$I$72</f>
        <v>0</v>
      </c>
      <c r="J111">
        <f>8.743*$J$72</f>
        <v>0</v>
      </c>
      <c r="K111">
        <f>-11.658*$K$72</f>
        <v>0</v>
      </c>
      <c r="L111">
        <f>-4.265*$L$72</f>
        <v>0</v>
      </c>
      <c r="M111">
        <f>0+D111+E111+G111+H111+I111+J111+K111+L111</f>
        <v>0</v>
      </c>
      <c r="N111">
        <f>0+D111+F111+G111+H111+I111+J111+K111+L111</f>
        <v>0</v>
      </c>
    </row>
    <row r="112" spans="3:14">
      <c r="C112" t="s">
        <v>52</v>
      </c>
      <c r="D112">
        <f>124.593*$D$72</f>
        <v>0</v>
      </c>
      <c r="E112">
        <f>281.251*$E$72</f>
        <v>0</v>
      </c>
      <c r="F112">
        <f>-83.751*$F$72</f>
        <v>0</v>
      </c>
      <c r="G112">
        <f>8.104*$G$72</f>
        <v>0</v>
      </c>
      <c r="H112">
        <f>0*$H$72</f>
        <v>0</v>
      </c>
      <c r="I112">
        <f>18.149*$I$72</f>
        <v>0</v>
      </c>
      <c r="J112">
        <f>10.894*$J$72</f>
        <v>0</v>
      </c>
      <c r="K112">
        <f>-14.526*$K$72</f>
        <v>0</v>
      </c>
      <c r="L112">
        <f>-4.524*$L$72</f>
        <v>0</v>
      </c>
      <c r="M112">
        <f>0+D112+E112+G112+H112+I112+J112+K112+L112</f>
        <v>0</v>
      </c>
      <c r="N112">
        <f>0+D112+F112+G112+H112+I112+J112+K112+L112</f>
        <v>0</v>
      </c>
    </row>
    <row r="113" spans="3:14">
      <c r="C113" t="s">
        <v>53</v>
      </c>
      <c r="D113">
        <f>162.578*$D$72</f>
        <v>0</v>
      </c>
      <c r="E113">
        <f>288.561*$E$72</f>
        <v>0</v>
      </c>
      <c r="F113">
        <f>-107.396*$F$72</f>
        <v>0</v>
      </c>
      <c r="G113">
        <f>17.587*$G$72</f>
        <v>0</v>
      </c>
      <c r="H113">
        <f>0*$H$72</f>
        <v>0</v>
      </c>
      <c r="I113">
        <f>21.271*$I$72</f>
        <v>0</v>
      </c>
      <c r="J113">
        <f>-22.706*$J$72</f>
        <v>0</v>
      </c>
      <c r="K113">
        <f>30.274*$K$72</f>
        <v>0</v>
      </c>
      <c r="L113">
        <f>3.896*$L$72</f>
        <v>0</v>
      </c>
      <c r="M113">
        <f>0+D113+E113+G113+H113+I113+J113+K113+L113</f>
        <v>0</v>
      </c>
      <c r="N113">
        <f>0+D113+F113+G113+H113+I113+J113+K113+L113</f>
        <v>0</v>
      </c>
    </row>
    <row r="114" spans="3:14">
      <c r="C114" t="s">
        <v>54</v>
      </c>
      <c r="D114">
        <f>179.489*$D$72</f>
        <v>0</v>
      </c>
      <c r="E114">
        <f>307.83*$E$72</f>
        <v>0</v>
      </c>
      <c r="F114">
        <f>-85.919*$F$72</f>
        <v>0</v>
      </c>
      <c r="G114">
        <f>17.506*$G$72</f>
        <v>0</v>
      </c>
      <c r="H114">
        <f>0*$H$72</f>
        <v>0</v>
      </c>
      <c r="I114">
        <f>24.21*$I$72</f>
        <v>0</v>
      </c>
      <c r="J114">
        <f>-29.228*$J$72</f>
        <v>0</v>
      </c>
      <c r="K114">
        <f>38.971*$K$72</f>
        <v>0</v>
      </c>
      <c r="L114">
        <f>4.765*$L$72</f>
        <v>0</v>
      </c>
      <c r="M114">
        <f>0+D114+E114+G114+H114+I114+J114+K114+L114</f>
        <v>0</v>
      </c>
      <c r="N114">
        <f>0+D114+F114+G114+H114+I114+J114+K114+L114</f>
        <v>0</v>
      </c>
    </row>
    <row r="115" spans="3:14">
      <c r="C115" t="s">
        <v>55</v>
      </c>
      <c r="D115">
        <f>204.319*$D$72</f>
        <v>0</v>
      </c>
      <c r="E115">
        <f>340.49*$E$72</f>
        <v>0</v>
      </c>
      <c r="F115">
        <f>-57.338*$F$72</f>
        <v>0</v>
      </c>
      <c r="G115">
        <f>17.795*$G$72</f>
        <v>0</v>
      </c>
      <c r="H115">
        <f>0*$H$72</f>
        <v>0</v>
      </c>
      <c r="I115">
        <f>28.306*$I$72</f>
        <v>0</v>
      </c>
      <c r="J115">
        <f>-29.018*$J$72</f>
        <v>0</v>
      </c>
      <c r="K115">
        <f>38.691*$K$72</f>
        <v>0</v>
      </c>
      <c r="L115">
        <f>7.239*$L$72</f>
        <v>0</v>
      </c>
      <c r="M115">
        <f>0+D115+E115+G115+H115+I115+J115+K115+L115</f>
        <v>0</v>
      </c>
      <c r="N115">
        <f>0+D115+F115+G115+H115+I115+J115+K115+L115</f>
        <v>0</v>
      </c>
    </row>
    <row r="116" spans="3:14">
      <c r="C116" t="s">
        <v>56</v>
      </c>
      <c r="D116">
        <f>231.557*$D$72</f>
        <v>0</v>
      </c>
      <c r="E116">
        <f>380.371*$E$72</f>
        <v>0</v>
      </c>
      <c r="F116">
        <f>-36.639*$F$72</f>
        <v>0</v>
      </c>
      <c r="G116">
        <f>18.145*$G$72</f>
        <v>0</v>
      </c>
      <c r="H116">
        <f>0*$H$72</f>
        <v>0</v>
      </c>
      <c r="I116">
        <f>32.747*$I$72</f>
        <v>0</v>
      </c>
      <c r="J116">
        <f>-31.203*$J$72</f>
        <v>0</v>
      </c>
      <c r="K116">
        <f>41.604*$K$72</f>
        <v>0</v>
      </c>
      <c r="L116">
        <f>12.15*$L$72</f>
        <v>0</v>
      </c>
      <c r="M116">
        <f>0+D116+E116+G116+H116+I116+J116+K116+L116</f>
        <v>0</v>
      </c>
      <c r="N116">
        <f>0+D116+F116+G116+H116+I116+J116+K116+L116</f>
        <v>0</v>
      </c>
    </row>
    <row r="117" spans="3:14">
      <c r="C117" t="s">
        <v>57</v>
      </c>
      <c r="D117">
        <f>262.011*$D$72</f>
        <v>0</v>
      </c>
      <c r="E117">
        <f>432.949*$E$72</f>
        <v>0</v>
      </c>
      <c r="F117">
        <f>-13.4*$F$72</f>
        <v>0</v>
      </c>
      <c r="G117">
        <f>18.506*$G$72</f>
        <v>0</v>
      </c>
      <c r="H117">
        <f>0*$H$72</f>
        <v>0</v>
      </c>
      <c r="I117">
        <f>37.626*$I$72</f>
        <v>0</v>
      </c>
      <c r="J117">
        <f>-41.891*$J$72</f>
        <v>0</v>
      </c>
      <c r="K117">
        <f>55.854*$K$72</f>
        <v>0</v>
      </c>
      <c r="L117">
        <f>21.858*$L$72</f>
        <v>0</v>
      </c>
      <c r="M117">
        <f>0+D117+E117+G117+H117+I117+J117+K117+L117</f>
        <v>0</v>
      </c>
      <c r="N117">
        <f>0+D117+F117+G117+H117+I117+J117+K117+L117</f>
        <v>0</v>
      </c>
    </row>
    <row r="118" spans="3:14">
      <c r="C118" t="s">
        <v>58</v>
      </c>
      <c r="D118">
        <f>-9.979*$D$72</f>
        <v>0</v>
      </c>
      <c r="E118">
        <f>15.094*$E$72</f>
        <v>0</v>
      </c>
      <c r="F118">
        <f>-219.273*$F$72</f>
        <v>0</v>
      </c>
      <c r="G118">
        <f>0.897*$G$72</f>
        <v>0</v>
      </c>
      <c r="H118">
        <f>0*$H$72</f>
        <v>0</v>
      </c>
      <c r="I118">
        <f>-2.425*$I$72</f>
        <v>0</v>
      </c>
      <c r="J118">
        <f>12.895*$J$72</f>
        <v>0</v>
      </c>
      <c r="K118">
        <f>-17.193*$K$72</f>
        <v>0</v>
      </c>
      <c r="L118">
        <f>-14.321*$L$72</f>
        <v>0</v>
      </c>
      <c r="M118">
        <f>0+D118+E118+G118+H118+I118+J118+K118+L118</f>
        <v>0</v>
      </c>
      <c r="N118">
        <f>0+D118+F118+G118+H118+I118+J118+K118+L118</f>
        <v>0</v>
      </c>
    </row>
    <row r="119" spans="3:14">
      <c r="C119" t="s">
        <v>58</v>
      </c>
      <c r="D119">
        <f>9.449*$D$72</f>
        <v>0</v>
      </c>
      <c r="E119">
        <f>24.857*$E$72</f>
        <v>0</v>
      </c>
      <c r="F119">
        <f>-11.427*$F$72</f>
        <v>0</v>
      </c>
      <c r="G119">
        <f>-0.412*$G$72</f>
        <v>0</v>
      </c>
      <c r="H119">
        <f>0*$H$72</f>
        <v>0</v>
      </c>
      <c r="I119">
        <f>2.329*$I$72</f>
        <v>0</v>
      </c>
      <c r="J119">
        <f>0.281*$J$72</f>
        <v>0</v>
      </c>
      <c r="K119">
        <f>-0.375*$K$72</f>
        <v>0</v>
      </c>
      <c r="L119">
        <f>2.156*$L$72</f>
        <v>0</v>
      </c>
      <c r="M119">
        <f>0+D119+E119+G119+H119+I119+J119+K119+L119</f>
        <v>0</v>
      </c>
      <c r="N119">
        <f>0+D119+F119+G119+H119+I119+J119+K119+L119</f>
        <v>0</v>
      </c>
    </row>
    <row r="120" spans="3:14">
      <c r="C120" t="s">
        <v>59</v>
      </c>
      <c r="D120">
        <f>21.201*$D$72</f>
        <v>0</v>
      </c>
      <c r="E120">
        <f>24.857*$E$72</f>
        <v>0</v>
      </c>
      <c r="F120">
        <f>-11.427*$F$72</f>
        <v>0</v>
      </c>
      <c r="G120">
        <f>-0.412*$G$72</f>
        <v>0</v>
      </c>
      <c r="H120">
        <f>0*$H$72</f>
        <v>0</v>
      </c>
      <c r="I120">
        <f>2.329*$I$72</f>
        <v>0</v>
      </c>
      <c r="J120">
        <f>0.281*$J$72</f>
        <v>0</v>
      </c>
      <c r="K120">
        <f>-0.375*$K$72</f>
        <v>0</v>
      </c>
      <c r="L120">
        <f>2.156*$L$72</f>
        <v>0</v>
      </c>
      <c r="M120">
        <f>0+D120+E120+G120+H120+I120+J120+K120+L120</f>
        <v>0</v>
      </c>
      <c r="N120">
        <f>0+D120+F120+G120+H120+I120+J120+K120+L120</f>
        <v>0</v>
      </c>
    </row>
    <row r="121" spans="3:14">
      <c r="C121" t="s">
        <v>60</v>
      </c>
      <c r="D121">
        <f>-115.735*$D$72</f>
        <v>0</v>
      </c>
      <c r="E121">
        <f>20.259*$E$72</f>
        <v>0</v>
      </c>
      <c r="F121">
        <f>-309.045*$F$72</f>
        <v>0</v>
      </c>
      <c r="G121">
        <f>-4.272*$G$72</f>
        <v>0</v>
      </c>
      <c r="H121">
        <f>0*$H$72</f>
        <v>0</v>
      </c>
      <c r="I121">
        <f>-18.341*$I$72</f>
        <v>0</v>
      </c>
      <c r="J121">
        <f>59.685*$J$72</f>
        <v>0</v>
      </c>
      <c r="K121">
        <f>-79.579*$K$72</f>
        <v>0</v>
      </c>
      <c r="L121">
        <f>-111.105*$L$72</f>
        <v>0</v>
      </c>
      <c r="M121">
        <f>0+D121+E121+G121+H121+I121+J121+K121+L121</f>
        <v>0</v>
      </c>
      <c r="N121">
        <f>0+D121+F121+G121+H121+I121+J121+K121+L121</f>
        <v>0</v>
      </c>
    </row>
    <row r="122" spans="3:14">
      <c r="C122" t="s">
        <v>61</v>
      </c>
      <c r="D122">
        <f>-88.346*$D$72</f>
        <v>0</v>
      </c>
      <c r="E122">
        <f>40.101*$E$72</f>
        <v>0</v>
      </c>
      <c r="F122">
        <f>-256.784*$F$72</f>
        <v>0</v>
      </c>
      <c r="G122">
        <f>-4.162*$G$72</f>
        <v>0</v>
      </c>
      <c r="H122">
        <f>0*$H$72</f>
        <v>0</v>
      </c>
      <c r="I122">
        <f>-13.886*$I$72</f>
        <v>0</v>
      </c>
      <c r="J122">
        <f>48.853*$J$72</f>
        <v>0</v>
      </c>
      <c r="K122">
        <f>-65.138*$K$72</f>
        <v>0</v>
      </c>
      <c r="L122">
        <f>-93.663*$L$72</f>
        <v>0</v>
      </c>
      <c r="M122">
        <f>0+D122+E122+G122+H122+I122+J122+K122+L122</f>
        <v>0</v>
      </c>
      <c r="N122">
        <f>0+D122+F122+G122+H122+I122+J122+K122+L122</f>
        <v>0</v>
      </c>
    </row>
    <row r="123" spans="3:14">
      <c r="C123" t="s">
        <v>62</v>
      </c>
      <c r="D123">
        <f>-65.448*$D$72</f>
        <v>0</v>
      </c>
      <c r="E123">
        <f>70.748*$E$72</f>
        <v>0</v>
      </c>
      <c r="F123">
        <f>-219.877*$F$72</f>
        <v>0</v>
      </c>
      <c r="G123">
        <f>-4.149*$G$72</f>
        <v>0</v>
      </c>
      <c r="H123">
        <f>0*$H$72</f>
        <v>0</v>
      </c>
      <c r="I123">
        <f>-10.076*$I$72</f>
        <v>0</v>
      </c>
      <c r="J123">
        <f>37.342*$J$72</f>
        <v>0</v>
      </c>
      <c r="K123">
        <f>-49.789*$K$72</f>
        <v>0</v>
      </c>
      <c r="L123">
        <f>-77.761*$L$72</f>
        <v>0</v>
      </c>
      <c r="M123">
        <f>0+D123+E123+G123+H123+I123+J123+K123+L123</f>
        <v>0</v>
      </c>
      <c r="N123">
        <f>0+D123+F123+G123+H123+I123+J123+K123+L123</f>
        <v>0</v>
      </c>
    </row>
    <row r="124" spans="3:14">
      <c r="C124" t="s">
        <v>63</v>
      </c>
      <c r="D124">
        <f>-41.109*$D$72</f>
        <v>0</v>
      </c>
      <c r="E124">
        <f>105.093*$E$72</f>
        <v>0</v>
      </c>
      <c r="F124">
        <f>-183.207*$F$72</f>
        <v>0</v>
      </c>
      <c r="G124">
        <f>-3.761*$G$72</f>
        <v>0</v>
      </c>
      <c r="H124">
        <f>0*$H$72</f>
        <v>0</v>
      </c>
      <c r="I124">
        <f>-6.063*$I$72</f>
        <v>0</v>
      </c>
      <c r="J124">
        <f>37.86*$J$72</f>
        <v>0</v>
      </c>
      <c r="K124">
        <f>-50.481*$K$72</f>
        <v>0</v>
      </c>
      <c r="L124">
        <f>-58.928*$L$72</f>
        <v>0</v>
      </c>
      <c r="M124">
        <f>0+D124+E124+G124+H124+I124+J124+K124+L124</f>
        <v>0</v>
      </c>
      <c r="N124">
        <f>0+D124+F124+G124+H124+I124+J124+K124+L124</f>
        <v>0</v>
      </c>
    </row>
    <row r="125" spans="3:14">
      <c r="C125" t="s">
        <v>64</v>
      </c>
      <c r="D125">
        <f>-17.472*$D$72</f>
        <v>0</v>
      </c>
      <c r="E125">
        <f>134.74*$E$72</f>
        <v>0</v>
      </c>
      <c r="F125">
        <f>-150.063*$F$72</f>
        <v>0</v>
      </c>
      <c r="G125">
        <f>-3.06*$G$72</f>
        <v>0</v>
      </c>
      <c r="H125">
        <f>0*$H$72</f>
        <v>0</v>
      </c>
      <c r="I125">
        <f>-2.154*$I$72</f>
        <v>0</v>
      </c>
      <c r="J125">
        <f>36.932*$J$72</f>
        <v>0</v>
      </c>
      <c r="K125">
        <f>-49.243*$K$72</f>
        <v>0</v>
      </c>
      <c r="L125">
        <f>-42.013*$L$72</f>
        <v>0</v>
      </c>
      <c r="M125">
        <f>0+D125+E125+G125+H125+I125+J125+K125+L125</f>
        <v>0</v>
      </c>
      <c r="N125">
        <f>0+D125+F125+G125+H125+I125+J125+K125+L125</f>
        <v>0</v>
      </c>
    </row>
    <row r="126" spans="3:14">
      <c r="C126" t="s">
        <v>65</v>
      </c>
      <c r="D126">
        <f>26.538*$D$72</f>
        <v>0</v>
      </c>
      <c r="E126">
        <f>147.87*$E$72</f>
        <v>0</v>
      </c>
      <c r="F126">
        <f>-139.02*$F$72</f>
        <v>0</v>
      </c>
      <c r="G126">
        <f>3.676*$G$72</f>
        <v>0</v>
      </c>
      <c r="H126">
        <f>0*$H$72</f>
        <v>0</v>
      </c>
      <c r="I126">
        <f>1.858*$I$72</f>
        <v>0</v>
      </c>
      <c r="J126">
        <f>-28.524*$J$72</f>
        <v>0</v>
      </c>
      <c r="K126">
        <f>38.033*$K$72</f>
        <v>0</v>
      </c>
      <c r="L126">
        <f>44.036*$L$72</f>
        <v>0</v>
      </c>
      <c r="M126">
        <f>0+D126+E126+G126+H126+I126+J126+K126+L126</f>
        <v>0</v>
      </c>
      <c r="N126">
        <f>0+D126+F126+G126+H126+I126+J126+K126+L126</f>
        <v>0</v>
      </c>
    </row>
    <row r="127" spans="3:14">
      <c r="C127" t="s">
        <v>66</v>
      </c>
      <c r="D127">
        <f>52.033*$D$72</f>
        <v>0</v>
      </c>
      <c r="E127">
        <f>183.251*$E$72</f>
        <v>0</v>
      </c>
      <c r="F127">
        <f>-104.841*$F$72</f>
        <v>0</v>
      </c>
      <c r="G127">
        <f>4.093*$G$72</f>
        <v>0</v>
      </c>
      <c r="H127">
        <f>0*$H$72</f>
        <v>0</v>
      </c>
      <c r="I127">
        <f>6.103*$I$72</f>
        <v>0</v>
      </c>
      <c r="J127">
        <f>-27.967*$J$72</f>
        <v>0</v>
      </c>
      <c r="K127">
        <f>37.289*$K$72</f>
        <v>0</v>
      </c>
      <c r="L127">
        <f>63.086*$L$72</f>
        <v>0</v>
      </c>
      <c r="M127">
        <f>0+D127+E127+G127+H127+I127+J127+K127+L127</f>
        <v>0</v>
      </c>
      <c r="N127">
        <f>0+D127+F127+G127+H127+I127+J127+K127+L127</f>
        <v>0</v>
      </c>
    </row>
    <row r="128" spans="3:14">
      <c r="C128" t="s">
        <v>67</v>
      </c>
      <c r="D128">
        <f>77.681*$D$72</f>
        <v>0</v>
      </c>
      <c r="E128">
        <f>222.038*$E$72</f>
        <v>0</v>
      </c>
      <c r="F128">
        <f>-68.717*$F$72</f>
        <v>0</v>
      </c>
      <c r="G128">
        <f>4.131*$G$72</f>
        <v>0</v>
      </c>
      <c r="H128">
        <f>0*$H$72</f>
        <v>0</v>
      </c>
      <c r="I128">
        <f>10.389*$I$72</f>
        <v>0</v>
      </c>
      <c r="J128">
        <f>-27.82*$J$72</f>
        <v>0</v>
      </c>
      <c r="K128">
        <f>37.094*$K$72</f>
        <v>0</v>
      </c>
      <c r="L128">
        <f>80.947*$L$72</f>
        <v>0</v>
      </c>
      <c r="M128">
        <f>0+D128+E128+G128+H128+I128+J128+K128+L128</f>
        <v>0</v>
      </c>
      <c r="N128">
        <f>0+D128+F128+G128+H128+I128+J128+K128+L128</f>
        <v>0</v>
      </c>
    </row>
    <row r="129" spans="3:14">
      <c r="C129" t="s">
        <v>68</v>
      </c>
      <c r="D129">
        <f>99.389*$D$72</f>
        <v>0</v>
      </c>
      <c r="E129">
        <f>258.712*$E$72</f>
        <v>0</v>
      </c>
      <c r="F129">
        <f>-41.435*$F$72</f>
        <v>0</v>
      </c>
      <c r="G129">
        <f>3.735*$G$72</f>
        <v>0</v>
      </c>
      <c r="H129">
        <f>0*$H$72</f>
        <v>0</v>
      </c>
      <c r="I129">
        <f>14.097*$I$72</f>
        <v>0</v>
      </c>
      <c r="J129">
        <f>-48.995*$J$72</f>
        <v>0</v>
      </c>
      <c r="K129">
        <f>65.327*$K$72</f>
        <v>0</v>
      </c>
      <c r="L129">
        <f>91.265*$L$72</f>
        <v>0</v>
      </c>
      <c r="M129">
        <f>0+D129+E129+G129+H129+I129+J129+K129+L129</f>
        <v>0</v>
      </c>
      <c r="N129">
        <f>0+D129+F129+G129+H129+I129+J129+K129+L129</f>
        <v>0</v>
      </c>
    </row>
    <row r="130" spans="3:14">
      <c r="C130" t="s">
        <v>69</v>
      </c>
      <c r="D130">
        <f>127.867*$D$72</f>
        <v>0</v>
      </c>
      <c r="E130">
        <f>319.195*$E$72</f>
        <v>0</v>
      </c>
      <c r="F130">
        <f>-2.996*$F$72</f>
        <v>0</v>
      </c>
      <c r="G130">
        <f>3.426*$G$72</f>
        <v>0</v>
      </c>
      <c r="H130">
        <f>0*$H$72</f>
        <v>0</v>
      </c>
      <c r="I130">
        <f>18.835*$I$72</f>
        <v>0</v>
      </c>
      <c r="J130">
        <f>-61.032*$J$72</f>
        <v>0</v>
      </c>
      <c r="K130">
        <f>81.376*$K$72</f>
        <v>0</v>
      </c>
      <c r="L130">
        <f>101.995*$L$72</f>
        <v>0</v>
      </c>
      <c r="M130">
        <f>0+D130+E130+G130+H130+I130+J130+K130+L130</f>
        <v>0</v>
      </c>
      <c r="N130">
        <f>0+D130+F130+G130+H130+I130+J130+K130+L130</f>
        <v>0</v>
      </c>
    </row>
    <row r="135" spans="3:14">
      <c r="C135" t="s">
        <v>71</v>
      </c>
    </row>
    <row r="137" spans="3:14">
      <c r="C137" t="s">
        <v>2</v>
      </c>
    </row>
    <row r="138" spans="3:14">
      <c r="C138" t="s">
        <v>3</v>
      </c>
      <c r="D138" t="s">
        <v>4</v>
      </c>
      <c r="E138" t="s">
        <v>5</v>
      </c>
      <c r="F138" t="s">
        <v>6</v>
      </c>
      <c r="G138" t="s">
        <v>7</v>
      </c>
      <c r="H138" t="s">
        <v>8</v>
      </c>
      <c r="I138" t="s">
        <v>9</v>
      </c>
      <c r="J138" t="s">
        <v>10</v>
      </c>
      <c r="K138" t="s">
        <v>11</v>
      </c>
      <c r="L138" t="s">
        <v>12</v>
      </c>
      <c r="M138" t="s">
        <v>13</v>
      </c>
      <c r="N138" t="s">
        <v>14</v>
      </c>
    </row>
    <row r="139" spans="3:14">
      <c r="C139" t="s">
        <v>76</v>
      </c>
      <c r="D139">
        <f>-2.8163*$D$137</f>
        <v>0</v>
      </c>
      <c r="E139">
        <f>24.8262*$E$137</f>
        <v>0</v>
      </c>
      <c r="F139">
        <f>-29.4432*$F$137</f>
        <v>0</v>
      </c>
      <c r="G139">
        <f>-0.9056*$G$137</f>
        <v>0</v>
      </c>
      <c r="H139">
        <f>0*$H$137</f>
        <v>0</v>
      </c>
      <c r="I139">
        <f>-0.3824*$I$137</f>
        <v>0</v>
      </c>
      <c r="J139">
        <f>-60.7256*$J$137</f>
        <v>0</v>
      </c>
      <c r="K139">
        <f>80.9675*$K$137</f>
        <v>0</v>
      </c>
      <c r="L139">
        <f>0.0121*$L$137</f>
        <v>0</v>
      </c>
      <c r="M139">
        <f>0+D139+E139+G139+H139+I139+J139+K139+L139</f>
        <v>0</v>
      </c>
      <c r="N139">
        <f>0+D139+F139+G139+H139+I139+J139+K139+L139</f>
        <v>0</v>
      </c>
    </row>
    <row r="140" spans="3:14">
      <c r="C140" t="s">
        <v>16</v>
      </c>
      <c r="D140">
        <f>5.3586*$D$137</f>
        <v>0</v>
      </c>
      <c r="E140">
        <f>50.7763*$E$137</f>
        <v>0</v>
      </c>
      <c r="F140">
        <f>-50.8461*$F$137</f>
        <v>0</v>
      </c>
      <c r="G140">
        <f>2.9873*$G$137</f>
        <v>0</v>
      </c>
      <c r="H140">
        <f>0*$H$137</f>
        <v>0</v>
      </c>
      <c r="I140">
        <f>0.6647*$I$137</f>
        <v>0</v>
      </c>
      <c r="J140">
        <f>140.8493*$J$137</f>
        <v>0</v>
      </c>
      <c r="K140">
        <f>-187.7991*$K$137</f>
        <v>0</v>
      </c>
      <c r="L140">
        <f>0.0248*$L$137</f>
        <v>0</v>
      </c>
      <c r="M140">
        <f>0+D140+E140+G140+H140+I140+J140+K140+L140</f>
        <v>0</v>
      </c>
      <c r="N140">
        <f>0+D140+F140+G140+H140+I140+J140+K140+L140</f>
        <v>0</v>
      </c>
    </row>
    <row r="141" spans="3:14">
      <c r="C141" t="s">
        <v>17</v>
      </c>
      <c r="D141">
        <f>4.3362*$D$137</f>
        <v>0</v>
      </c>
      <c r="E141">
        <f>41.7389*$E$137</f>
        <v>0</v>
      </c>
      <c r="F141">
        <f>-33.4316*$F$137</f>
        <v>0</v>
      </c>
      <c r="G141">
        <f>1.6788*$G$137</f>
        <v>0</v>
      </c>
      <c r="H141">
        <f>0*$H$137</f>
        <v>0</v>
      </c>
      <c r="I141">
        <f>0.6151*$I$137</f>
        <v>0</v>
      </c>
      <c r="J141">
        <f>74.4276*$J$137</f>
        <v>0</v>
      </c>
      <c r="K141">
        <f>-99.2368*$K$137</f>
        <v>0</v>
      </c>
      <c r="L141">
        <f>0.0171*$L$137</f>
        <v>0</v>
      </c>
      <c r="M141">
        <f>0+D141+E141+G141+H141+I141+J141+K141+L141</f>
        <v>0</v>
      </c>
      <c r="N141">
        <f>0+D141+F141+G141+H141+I141+J141+K141+L141</f>
        <v>0</v>
      </c>
    </row>
    <row r="142" spans="3:14">
      <c r="C142" t="s">
        <v>18</v>
      </c>
      <c r="D142">
        <f>3.0543*$D$137</f>
        <v>0</v>
      </c>
      <c r="E142">
        <f>61.7014*$E$137</f>
        <v>0</v>
      </c>
      <c r="F142">
        <f>-54.3224*$F$137</f>
        <v>0</v>
      </c>
      <c r="G142">
        <f>0.1725*$G$137</f>
        <v>0</v>
      </c>
      <c r="H142">
        <f>0*$H$137</f>
        <v>0</v>
      </c>
      <c r="I142">
        <f>0.503*$I$137</f>
        <v>0</v>
      </c>
      <c r="J142">
        <f>34.0137*$J$137</f>
        <v>0</v>
      </c>
      <c r="K142">
        <f>-45.3517*$K$137</f>
        <v>0</v>
      </c>
      <c r="L142">
        <f>0.0158*$L$137</f>
        <v>0</v>
      </c>
      <c r="M142">
        <f>0+D142+E142+G142+H142+I142+J142+K142+L142</f>
        <v>0</v>
      </c>
      <c r="N142">
        <f>0+D142+F142+G142+H142+I142+J142+K142+L142</f>
        <v>0</v>
      </c>
    </row>
    <row r="143" spans="3:14">
      <c r="C143" t="s">
        <v>19</v>
      </c>
      <c r="D143">
        <f>1.9921*$D$137</f>
        <v>0</v>
      </c>
      <c r="E143">
        <f>80.6959*$E$137</f>
        <v>0</v>
      </c>
      <c r="F143">
        <f>-74.6532*$F$137</f>
        <v>0</v>
      </c>
      <c r="G143">
        <f>-1.384*$G$137</f>
        <v>0</v>
      </c>
      <c r="H143">
        <f>0*$H$137</f>
        <v>0</v>
      </c>
      <c r="I143">
        <f>0.4292*$I$137</f>
        <v>0</v>
      </c>
      <c r="J143">
        <f>19.434*$J$137</f>
        <v>0</v>
      </c>
      <c r="K143">
        <f>-25.912*$K$137</f>
        <v>0</v>
      </c>
      <c r="L143">
        <f>0.0144*$L$137</f>
        <v>0</v>
      </c>
      <c r="M143">
        <f>0+D143+E143+G143+H143+I143+J143+K143+L143</f>
        <v>0</v>
      </c>
      <c r="N143">
        <f>0+D143+F143+G143+H143+I143+J143+K143+L143</f>
        <v>0</v>
      </c>
    </row>
    <row r="144" spans="3:14">
      <c r="C144" t="s">
        <v>20</v>
      </c>
      <c r="D144">
        <f>-2.4728*$D$137</f>
        <v>0</v>
      </c>
      <c r="E144">
        <f>94.1377*$E$137</f>
        <v>0</v>
      </c>
      <c r="F144">
        <f>-99.0965*$F$137</f>
        <v>0</v>
      </c>
      <c r="G144">
        <f>0.7837*$G$137</f>
        <v>0</v>
      </c>
      <c r="H144">
        <f>0*$H$137</f>
        <v>0</v>
      </c>
      <c r="I144">
        <f>-0.4351*$I$137</f>
        <v>0</v>
      </c>
      <c r="J144">
        <f>-19.6387*$J$137</f>
        <v>0</v>
      </c>
      <c r="K144">
        <f>26.1849*$K$137</f>
        <v>0</v>
      </c>
      <c r="L144">
        <f>0.0016*$L$137</f>
        <v>0</v>
      </c>
      <c r="M144">
        <f>0+D144+E144+G144+H144+I144+J144+K144+L144</f>
        <v>0</v>
      </c>
      <c r="N144">
        <f>0+D144+F144+G144+H144+I144+J144+K144+L144</f>
        <v>0</v>
      </c>
    </row>
    <row r="145" spans="3:14">
      <c r="C145" t="s">
        <v>21</v>
      </c>
      <c r="D145">
        <f>2.1925*$D$137</f>
        <v>0</v>
      </c>
      <c r="E145">
        <f>115.0699*$E$137</f>
        <v>0</v>
      </c>
      <c r="F145">
        <f>-108.2502*$F$137</f>
        <v>0</v>
      </c>
      <c r="G145">
        <f>-3.9047*$G$137</f>
        <v>0</v>
      </c>
      <c r="H145">
        <f>0*$H$137</f>
        <v>0</v>
      </c>
      <c r="I145">
        <f>0.5934*$I$137</f>
        <v>0</v>
      </c>
      <c r="J145">
        <f>35.0335*$J$137</f>
        <v>0</v>
      </c>
      <c r="K145">
        <f>-46.7114*$K$137</f>
        <v>0</v>
      </c>
      <c r="L145">
        <f>0.0145*$L$137</f>
        <v>0</v>
      </c>
      <c r="M145">
        <f>0+D145+E145+G145+H145+I145+J145+K145+L145</f>
        <v>0</v>
      </c>
      <c r="N145">
        <f>0+D145+F145+G145+H145+I145+J145+K145+L145</f>
        <v>0</v>
      </c>
    </row>
    <row r="146" spans="3:14">
      <c r="C146" t="s">
        <v>22</v>
      </c>
      <c r="D146">
        <f>0.1619*$D$137</f>
        <v>0</v>
      </c>
      <c r="E146">
        <f>129.9396*$E$137</f>
        <v>0</v>
      </c>
      <c r="F146">
        <f>-126.817*$F$137</f>
        <v>0</v>
      </c>
      <c r="G146">
        <f>-2.8023*$G$137</f>
        <v>0</v>
      </c>
      <c r="H146">
        <f>0*$H$137</f>
        <v>0</v>
      </c>
      <c r="I146">
        <f>0.2396*$I$137</f>
        <v>0</v>
      </c>
      <c r="J146">
        <f>14.9447*$J$137</f>
        <v>0</v>
      </c>
      <c r="K146">
        <f>-19.9263*$K$137</f>
        <v>0</v>
      </c>
      <c r="L146">
        <f>0.0097*$L$137</f>
        <v>0</v>
      </c>
      <c r="M146">
        <f>0+D146+E146+G146+H146+I146+J146+K146+L146</f>
        <v>0</v>
      </c>
      <c r="N146">
        <f>0+D146+F146+G146+H146+I146+J146+K146+L146</f>
        <v>0</v>
      </c>
    </row>
    <row r="147" spans="3:14">
      <c r="C147" t="s">
        <v>23</v>
      </c>
      <c r="D147">
        <f>-2.4215*$D$137</f>
        <v>0</v>
      </c>
      <c r="E147">
        <f>134.4711*$E$137</f>
        <v>0</v>
      </c>
      <c r="F147">
        <f>-135.5405*$F$137</f>
        <v>0</v>
      </c>
      <c r="G147">
        <f>-1.7404*$G$137</f>
        <v>0</v>
      </c>
      <c r="H147">
        <f>0*$H$137</f>
        <v>0</v>
      </c>
      <c r="I147">
        <f>-0.2071*$I$137</f>
        <v>0</v>
      </c>
      <c r="J147">
        <f>3.3677*$J$137</f>
        <v>0</v>
      </c>
      <c r="K147">
        <f>-4.4903*$K$137</f>
        <v>0</v>
      </c>
      <c r="L147">
        <f>0.009*$L$137</f>
        <v>0</v>
      </c>
      <c r="M147">
        <f>0+D147+E147+G147+H147+I147+J147+K147+L147</f>
        <v>0</v>
      </c>
      <c r="N147">
        <f>0+D147+F147+G147+H147+I147+J147+K147+L147</f>
        <v>0</v>
      </c>
    </row>
    <row r="148" spans="3:14">
      <c r="C148" t="s">
        <v>24</v>
      </c>
      <c r="D148">
        <f>-5.2414*$D$137</f>
        <v>0</v>
      </c>
      <c r="E148">
        <f>133.4901*$E$137</f>
        <v>0</v>
      </c>
      <c r="F148">
        <f>-138.5815*$F$137</f>
        <v>0</v>
      </c>
      <c r="G148">
        <f>-1.7495*$G$137</f>
        <v>0</v>
      </c>
      <c r="H148">
        <f>0*$H$137</f>
        <v>0</v>
      </c>
      <c r="I148">
        <f>-0.6236*$I$137</f>
        <v>0</v>
      </c>
      <c r="J148">
        <f>6.3743*$J$137</f>
        <v>0</v>
      </c>
      <c r="K148">
        <f>-8.4991*$K$137</f>
        <v>0</v>
      </c>
      <c r="L148">
        <f>0.0084*$L$137</f>
        <v>0</v>
      </c>
      <c r="M148">
        <f>0+D148+E148+G148+H148+I148+J148+K148+L148</f>
        <v>0</v>
      </c>
      <c r="N148">
        <f>0+D148+F148+G148+H148+I148+J148+K148+L148</f>
        <v>0</v>
      </c>
    </row>
    <row r="149" spans="3:14">
      <c r="C149" t="s">
        <v>25</v>
      </c>
      <c r="D149">
        <f>-13.3973*$D$137</f>
        <v>0</v>
      </c>
      <c r="E149">
        <f>119.09*$E$137</f>
        <v>0</v>
      </c>
      <c r="F149">
        <f>-138.8385*$F$137</f>
        <v>0</v>
      </c>
      <c r="G149">
        <f>3.4374*$G$137</f>
        <v>0</v>
      </c>
      <c r="H149">
        <f>0*$H$137</f>
        <v>0</v>
      </c>
      <c r="I149">
        <f>-2.2274*$I$137</f>
        <v>0</v>
      </c>
      <c r="J149">
        <f>4.8378*$J$137</f>
        <v>0</v>
      </c>
      <c r="K149">
        <f>-6.4505*$K$137</f>
        <v>0</v>
      </c>
      <c r="L149">
        <f>-0.0069*$L$137</f>
        <v>0</v>
      </c>
      <c r="M149">
        <f>0+D149+E149+G149+H149+I149+J149+K149+L149</f>
        <v>0</v>
      </c>
      <c r="N149">
        <f>0+D149+F149+G149+H149+I149+J149+K149+L149</f>
        <v>0</v>
      </c>
    </row>
    <row r="150" spans="3:14">
      <c r="C150" t="s">
        <v>26</v>
      </c>
      <c r="D150">
        <f>-6.6912*$D$137</f>
        <v>0</v>
      </c>
      <c r="E150">
        <f>139.076*$E$137</f>
        <v>0</v>
      </c>
      <c r="F150">
        <f>-144.016*$F$137</f>
        <v>0</v>
      </c>
      <c r="G150">
        <f>-4.8955*$G$137</f>
        <v>0</v>
      </c>
      <c r="H150">
        <f>0*$H$137</f>
        <v>0</v>
      </c>
      <c r="I150">
        <f>-0.6537*$I$137</f>
        <v>0</v>
      </c>
      <c r="J150">
        <f>28.3625*$J$137</f>
        <v>0</v>
      </c>
      <c r="K150">
        <f>-37.8166*$K$137</f>
        <v>0</v>
      </c>
      <c r="L150">
        <f>0.0112*$L$137</f>
        <v>0</v>
      </c>
      <c r="M150">
        <f>0+D150+E150+G150+H150+I150+J150+K150+L150</f>
        <v>0</v>
      </c>
      <c r="N150">
        <f>0+D150+F150+G150+H150+I150+J150+K150+L150</f>
        <v>0</v>
      </c>
    </row>
    <row r="151" spans="3:14">
      <c r="C151" t="s">
        <v>27</v>
      </c>
      <c r="D151">
        <f>-9.8484*$D$137</f>
        <v>0</v>
      </c>
      <c r="E151">
        <f>133.8134*$E$137</f>
        <v>0</v>
      </c>
      <c r="F151">
        <f>-143.5209*$F$137</f>
        <v>0</v>
      </c>
      <c r="G151">
        <f>-3.9605*$G$137</f>
        <v>0</v>
      </c>
      <c r="H151">
        <f>0*$H$137</f>
        <v>0</v>
      </c>
      <c r="I151">
        <f>-1.1677*$I$137</f>
        <v>0</v>
      </c>
      <c r="J151">
        <f>15.7668*$J$137</f>
        <v>0</v>
      </c>
      <c r="K151">
        <f>-21.0224*$K$137</f>
        <v>0</v>
      </c>
      <c r="L151">
        <f>0.0062*$L$137</f>
        <v>0</v>
      </c>
      <c r="M151">
        <f>0+D151+E151+G151+H151+I151+J151+K151+L151</f>
        <v>0</v>
      </c>
      <c r="N151">
        <f>0+D151+F151+G151+H151+I151+J151+K151+L151</f>
        <v>0</v>
      </c>
    </row>
    <row r="152" spans="3:14">
      <c r="C152" t="s">
        <v>28</v>
      </c>
      <c r="D152">
        <f>-13.1381*$D$137</f>
        <v>0</v>
      </c>
      <c r="E152">
        <f>123.0532*$E$137</f>
        <v>0</v>
      </c>
      <c r="F152">
        <f>-137.9137*$F$137</f>
        <v>0</v>
      </c>
      <c r="G152">
        <f>-3.2384*$G$137</f>
        <v>0</v>
      </c>
      <c r="H152">
        <f>0*$H$137</f>
        <v>0</v>
      </c>
      <c r="I152">
        <f>-1.7031*$I$137</f>
        <v>0</v>
      </c>
      <c r="J152">
        <f>9.5102*$J$137</f>
        <v>0</v>
      </c>
      <c r="K152">
        <f>-12.6802*$K$137</f>
        <v>0</v>
      </c>
      <c r="L152">
        <f>0.0062*$L$137</f>
        <v>0</v>
      </c>
      <c r="M152">
        <f>0+D152+E152+G152+H152+I152+J152+K152+L152</f>
        <v>0</v>
      </c>
      <c r="N152">
        <f>0+D152+F152+G152+H152+I152+J152+K152+L152</f>
        <v>0</v>
      </c>
    </row>
    <row r="153" spans="3:14">
      <c r="C153" t="s">
        <v>29</v>
      </c>
      <c r="D153">
        <f>-16.1798*$D$137</f>
        <v>0</v>
      </c>
      <c r="E153">
        <f>107.6843*$E$137</f>
        <v>0</v>
      </c>
      <c r="F153">
        <f>-126.2481*$F$137</f>
        <v>0</v>
      </c>
      <c r="G153">
        <f>-3.6936*$G$137</f>
        <v>0</v>
      </c>
      <c r="H153">
        <f>0*$H$137</f>
        <v>0</v>
      </c>
      <c r="I153">
        <f>-2.1276*$I$137</f>
        <v>0</v>
      </c>
      <c r="J153">
        <f>14.8235*$J$137</f>
        <v>0</v>
      </c>
      <c r="K153">
        <f>-19.7647*$K$137</f>
        <v>0</v>
      </c>
      <c r="L153">
        <f>0.0069*$L$137</f>
        <v>0</v>
      </c>
      <c r="M153">
        <f>0+D153+E153+G153+H153+I153+J153+K153+L153</f>
        <v>0</v>
      </c>
      <c r="N153">
        <f>0+D153+F153+G153+H153+I153+J153+K153+L153</f>
        <v>0</v>
      </c>
    </row>
    <row r="154" spans="3:14">
      <c r="C154" t="s">
        <v>30</v>
      </c>
      <c r="D154">
        <f>-18.0605*$D$137</f>
        <v>0</v>
      </c>
      <c r="E154">
        <f>68.0722*$E$137</f>
        <v>0</v>
      </c>
      <c r="F154">
        <f>-94.4351*$F$137</f>
        <v>0</v>
      </c>
      <c r="G154">
        <f>0.9908*$G$137</f>
        <v>0</v>
      </c>
      <c r="H154">
        <f>0*$H$137</f>
        <v>0</v>
      </c>
      <c r="I154">
        <f>-2.8072*$I$137</f>
        <v>0</v>
      </c>
      <c r="J154">
        <f>8.0723*$J$137</f>
        <v>0</v>
      </c>
      <c r="K154">
        <f>-10.7631*$K$137</f>
        <v>0</v>
      </c>
      <c r="L154">
        <f>-0.0077*$L$137</f>
        <v>0</v>
      </c>
      <c r="M154">
        <f>0+D154+E154+G154+H154+I154+J154+K154+L154</f>
        <v>0</v>
      </c>
      <c r="N154">
        <f>0+D154+F154+G154+H154+I154+J154+K154+L154</f>
        <v>0</v>
      </c>
    </row>
    <row r="155" spans="3:14">
      <c r="C155" t="s">
        <v>31</v>
      </c>
      <c r="D155">
        <f>-18.1562*$D$137</f>
        <v>0</v>
      </c>
      <c r="E155">
        <f>88.6028*$E$137</f>
        <v>0</v>
      </c>
      <c r="F155">
        <f>-106.1342*$F$137</f>
        <v>0</v>
      </c>
      <c r="G155">
        <f>-6.7105*$G$137</f>
        <v>0</v>
      </c>
      <c r="H155">
        <f>0*$H$137</f>
        <v>0</v>
      </c>
      <c r="I155">
        <f>-2.2193*$I$137</f>
        <v>0</v>
      </c>
      <c r="J155">
        <f>36.3289*$J$137</f>
        <v>0</v>
      </c>
      <c r="K155">
        <f>-48.4386*$K$137</f>
        <v>0</v>
      </c>
      <c r="L155">
        <f>0.0107*$L$137</f>
        <v>0</v>
      </c>
      <c r="M155">
        <f>0+D155+E155+G155+H155+I155+J155+K155+L155</f>
        <v>0</v>
      </c>
      <c r="N155">
        <f>0+D155+F155+G155+H155+I155+J155+K155+L155</f>
        <v>0</v>
      </c>
    </row>
    <row r="156" spans="3:14">
      <c r="C156" t="s">
        <v>32</v>
      </c>
      <c r="D156">
        <f>-18.9048*$D$137</f>
        <v>0</v>
      </c>
      <c r="E156">
        <f>68.1095*$E$137</f>
        <v>0</v>
      </c>
      <c r="F156">
        <f>-84.8067*$F$137</f>
        <v>0</v>
      </c>
      <c r="G156">
        <f>-5.6188*$G$137</f>
        <v>0</v>
      </c>
      <c r="H156">
        <f>0*$H$137</f>
        <v>0</v>
      </c>
      <c r="I156">
        <f>-2.3643*$I$137</f>
        <v>0</v>
      </c>
      <c r="J156">
        <f>21.3487*$J$137</f>
        <v>0</v>
      </c>
      <c r="K156">
        <f>-28.465*$K$137</f>
        <v>0</v>
      </c>
      <c r="L156">
        <f>0.0039*$L$137</f>
        <v>0</v>
      </c>
      <c r="M156">
        <f>0+D156+E156+G156+H156+I156+J156+K156+L156</f>
        <v>0</v>
      </c>
      <c r="N156">
        <f>0+D156+F156+G156+H156+I156+J156+K156+L156</f>
        <v>0</v>
      </c>
    </row>
    <row r="157" spans="3:14">
      <c r="C157" t="s">
        <v>33</v>
      </c>
      <c r="D157">
        <f>-16.8076*$D$137</f>
        <v>0</v>
      </c>
      <c r="E157">
        <f>49.7165*$E$137</f>
        <v>0</v>
      </c>
      <c r="F157">
        <f>-63.7688*$F$137</f>
        <v>0</v>
      </c>
      <c r="G157">
        <f>-3.7332*$G$137</f>
        <v>0</v>
      </c>
      <c r="H157">
        <f>0*$H$137</f>
        <v>0</v>
      </c>
      <c r="I157">
        <f>-2.1571*$I$137</f>
        <v>0</v>
      </c>
      <c r="J157">
        <f>5.8886*$J$137</f>
        <v>0</v>
      </c>
      <c r="K157">
        <f>-7.8515*$K$137</f>
        <v>0</v>
      </c>
      <c r="L157">
        <f>0.0019*$L$137</f>
        <v>0</v>
      </c>
      <c r="M157">
        <f>0+D157+E157+G157+H157+I157+J157+K157+L157</f>
        <v>0</v>
      </c>
      <c r="N157">
        <f>0+D157+F157+G157+H157+I157+J157+K157+L157</f>
        <v>0</v>
      </c>
    </row>
    <row r="158" spans="3:14">
      <c r="C158" t="s">
        <v>34</v>
      </c>
      <c r="D158">
        <f>-11.1399*$D$137</f>
        <v>0</v>
      </c>
      <c r="E158">
        <f>31.7248*$E$137</f>
        <v>0</v>
      </c>
      <c r="F158">
        <f>-41.8683*$F$137</f>
        <v>0</v>
      </c>
      <c r="G158">
        <f>-1.8902*$G$137</f>
        <v>0</v>
      </c>
      <c r="H158">
        <f>0*$H$137</f>
        <v>0</v>
      </c>
      <c r="I158">
        <f>-1.4388*$I$137</f>
        <v>0</v>
      </c>
      <c r="J158">
        <f>-4.9602*$J$137</f>
        <v>0</v>
      </c>
      <c r="K158">
        <f>6.6137*$K$137</f>
        <v>0</v>
      </c>
      <c r="L158">
        <f>0.000243*$L$137</f>
        <v>0</v>
      </c>
      <c r="M158">
        <f>0+D158+E158+G158+H158+I158+J158+K158+L158</f>
        <v>0</v>
      </c>
      <c r="N158">
        <f>0+D158+F158+G158+H158+I158+J158+K158+L158</f>
        <v>0</v>
      </c>
    </row>
    <row r="159" spans="3:14">
      <c r="C159" t="s">
        <v>35</v>
      </c>
      <c r="D159">
        <f>13.3624*$D$137</f>
        <v>0</v>
      </c>
      <c r="E159">
        <f>49.4484*$E$137</f>
        <v>0</v>
      </c>
      <c r="F159">
        <f>-36.9989*$F$137</f>
        <v>0</v>
      </c>
      <c r="G159">
        <f>2.813*$G$137</f>
        <v>0</v>
      </c>
      <c r="H159">
        <f>0*$H$137</f>
        <v>0</v>
      </c>
      <c r="I159">
        <f>1.6412*$I$137</f>
        <v>0</v>
      </c>
      <c r="J159">
        <f>-57.9336*$J$137</f>
        <v>0</v>
      </c>
      <c r="K159">
        <f>77.2448*$K$137</f>
        <v>0</v>
      </c>
      <c r="L159">
        <f>0.0006122*$L$137</f>
        <v>0</v>
      </c>
      <c r="M159">
        <f>0+D159+E159+G159+H159+I159+J159+K159+L159</f>
        <v>0</v>
      </c>
      <c r="N159">
        <f>0+D159+F159+G159+H159+I159+J159+K159+L159</f>
        <v>0</v>
      </c>
    </row>
    <row r="160" spans="3:14">
      <c r="C160" t="s">
        <v>36</v>
      </c>
      <c r="D160">
        <f>3.8851*$D$137</f>
        <v>0</v>
      </c>
      <c r="E160">
        <f>6.3292*$E$137</f>
        <v>0</v>
      </c>
      <c r="F160">
        <f>-3.4607*$F$137</f>
        <v>0</v>
      </c>
      <c r="G160">
        <f>0.5895*$G$137</f>
        <v>0</v>
      </c>
      <c r="H160">
        <f>0*$H$137</f>
        <v>0</v>
      </c>
      <c r="I160">
        <f>0.5048*$I$137</f>
        <v>0</v>
      </c>
      <c r="J160">
        <f>-16.8076*$J$137</f>
        <v>0</v>
      </c>
      <c r="K160">
        <f>22.4102*$K$137</f>
        <v>0</v>
      </c>
      <c r="L160">
        <f>0.0083*$L$137</f>
        <v>0</v>
      </c>
      <c r="M160">
        <f>0+D160+E160+G160+H160+I160+J160+K160+L160</f>
        <v>0</v>
      </c>
      <c r="N160">
        <f>0+D160+F160+G160+H160+I160+J160+K160+L160</f>
        <v>0</v>
      </c>
    </row>
    <row r="161" spans="3:14">
      <c r="C161" t="s">
        <v>36</v>
      </c>
      <c r="D161">
        <f>4.2477*$D$137</f>
        <v>0</v>
      </c>
      <c r="E161">
        <f>12.8801*$E$137</f>
        <v>0</v>
      </c>
      <c r="F161">
        <f>-9.4973*$F$137</f>
        <v>0</v>
      </c>
      <c r="G161">
        <f>0.4956*$G$137</f>
        <v>0</v>
      </c>
      <c r="H161">
        <f>0*$H$137</f>
        <v>0</v>
      </c>
      <c r="I161">
        <f>0.5627*$I$137</f>
        <v>0</v>
      </c>
      <c r="J161">
        <f>-17.842*$J$137</f>
        <v>0</v>
      </c>
      <c r="K161">
        <f>23.7894*$K$137</f>
        <v>0</v>
      </c>
      <c r="L161">
        <f>-0.253*$L$137</f>
        <v>0</v>
      </c>
      <c r="M161">
        <f>0+D161+E161+G161+H161+I161+J161+K161+L161</f>
        <v>0</v>
      </c>
      <c r="N161">
        <f>0+D161+F161+G161+H161+I161+J161+K161+L161</f>
        <v>0</v>
      </c>
    </row>
    <row r="162" spans="3:14">
      <c r="C162" t="s">
        <v>37</v>
      </c>
      <c r="D162">
        <f>10.6659*$D$137</f>
        <v>0</v>
      </c>
      <c r="E162">
        <f>25.0469*$E$137</f>
        <v>0</v>
      </c>
      <c r="F162">
        <f>-15.2386*$F$137</f>
        <v>0</v>
      </c>
      <c r="G162">
        <f>1.0915*$G$137</f>
        <v>0</v>
      </c>
      <c r="H162">
        <f>0*$H$137</f>
        <v>0</v>
      </c>
      <c r="I162">
        <f>1.4145*$I$137</f>
        <v>0</v>
      </c>
      <c r="J162">
        <f>-25.102*$J$137</f>
        <v>0</v>
      </c>
      <c r="K162">
        <f>33.4693*$K$137</f>
        <v>0</v>
      </c>
      <c r="L162">
        <f>-0.3014*$L$137</f>
        <v>0</v>
      </c>
      <c r="M162">
        <f>0+D162+E162+G162+H162+I162+J162+K162+L162</f>
        <v>0</v>
      </c>
      <c r="N162">
        <f>0+D162+F162+G162+H162+I162+J162+K162+L162</f>
        <v>0</v>
      </c>
    </row>
    <row r="163" spans="3:14">
      <c r="C163" t="s">
        <v>38</v>
      </c>
      <c r="D163">
        <f>-16.3277*$D$137</f>
        <v>0</v>
      </c>
      <c r="E163">
        <f>21.5934*$E$137</f>
        <v>0</v>
      </c>
      <c r="F163">
        <f>-33.5865*$F$137</f>
        <v>0</v>
      </c>
      <c r="G163">
        <f>-1.8701*$G$137</f>
        <v>0</v>
      </c>
      <c r="H163">
        <f>0*$H$137</f>
        <v>0</v>
      </c>
      <c r="I163">
        <f>-2.0947*$I$137</f>
        <v>0</v>
      </c>
      <c r="J163">
        <f>51.6504*$J$137</f>
        <v>0</v>
      </c>
      <c r="K163">
        <f>-68.8672*$K$137</f>
        <v>0</v>
      </c>
      <c r="L163">
        <f>0.4492*$L$137</f>
        <v>0</v>
      </c>
      <c r="M163">
        <f>0+D163+E163+G163+H163+I163+J163+K163+L163</f>
        <v>0</v>
      </c>
      <c r="N163">
        <f>0+D163+F163+G163+H163+I163+J163+K163+L163</f>
        <v>0</v>
      </c>
    </row>
    <row r="164" spans="3:14">
      <c r="C164" t="s">
        <v>39</v>
      </c>
      <c r="D164">
        <f>-11.3296*$D$137</f>
        <v>0</v>
      </c>
      <c r="E164">
        <f>46.931*$E$137</f>
        <v>0</v>
      </c>
      <c r="F164">
        <f>-54.9588*$F$137</f>
        <v>0</v>
      </c>
      <c r="G164">
        <f>-1.7127*$G$137</f>
        <v>0</v>
      </c>
      <c r="H164">
        <f>0*$H$137</f>
        <v>0</v>
      </c>
      <c r="I164">
        <f>-1.3893*$I$137</f>
        <v>0</v>
      </c>
      <c r="J164">
        <f>33.1571*$J$137</f>
        <v>0</v>
      </c>
      <c r="K164">
        <f>-44.2095*$K$137</f>
        <v>0</v>
      </c>
      <c r="L164">
        <f>0.1761*$L$137</f>
        <v>0</v>
      </c>
      <c r="M164">
        <f>0+D164+E164+G164+H164+I164+J164+K164+L164</f>
        <v>0</v>
      </c>
      <c r="N164">
        <f>0+D164+F164+G164+H164+I164+J164+K164+L164</f>
        <v>0</v>
      </c>
    </row>
    <row r="165" spans="3:14">
      <c r="C165" t="s">
        <v>40</v>
      </c>
      <c r="D165">
        <f>-6.1756*$D$137</f>
        <v>0</v>
      </c>
      <c r="E165">
        <f>72.391*$E$137</f>
        <v>0</v>
      </c>
      <c r="F165">
        <f>-74.5843*$F$137</f>
        <v>0</v>
      </c>
      <c r="G165">
        <f>-1.5073*$G$137</f>
        <v>0</v>
      </c>
      <c r="H165">
        <f>0*$H$137</f>
        <v>0</v>
      </c>
      <c r="I165">
        <f>-0.6983*$I$137</f>
        <v>0</v>
      </c>
      <c r="J165">
        <f>17.9692*$J$137</f>
        <v>0</v>
      </c>
      <c r="K165">
        <f>-23.9589*$K$137</f>
        <v>0</v>
      </c>
      <c r="L165">
        <f>-0.0443*$L$137</f>
        <v>0</v>
      </c>
      <c r="M165">
        <f>0+D165+E165+G165+H165+I165+J165+K165+L165</f>
        <v>0</v>
      </c>
      <c r="N165">
        <f>0+D165+F165+G165+H165+I165+J165+K165+L165</f>
        <v>0</v>
      </c>
    </row>
    <row r="166" spans="3:14">
      <c r="C166" t="s">
        <v>41</v>
      </c>
      <c r="D166">
        <f>-2.6264*$D$137</f>
        <v>0</v>
      </c>
      <c r="E166">
        <f>90.1261*$E$137</f>
        <v>0</v>
      </c>
      <c r="F166">
        <f>-89.2163*$F$137</f>
        <v>0</v>
      </c>
      <c r="G166">
        <f>-1.8605*$G$137</f>
        <v>0</v>
      </c>
      <c r="H166">
        <f>0*$H$137</f>
        <v>0</v>
      </c>
      <c r="I166">
        <f>-0.1973*$I$137</f>
        <v>0</v>
      </c>
      <c r="J166">
        <f>16.0679*$J$137</f>
        <v>0</v>
      </c>
      <c r="K166">
        <f>-21.4238*$K$137</f>
        <v>0</v>
      </c>
      <c r="L166">
        <f>-0.3029*$L$137</f>
        <v>0</v>
      </c>
      <c r="M166">
        <f>0+D166+E166+G166+H166+I166+J166+K166+L166</f>
        <v>0</v>
      </c>
      <c r="N166">
        <f>0+D166+F166+G166+H166+I166+J166+K166+L166</f>
        <v>0</v>
      </c>
    </row>
    <row r="167" spans="3:14">
      <c r="C167" t="s">
        <v>42</v>
      </c>
      <c r="D167">
        <f>3.1319*$D$137</f>
        <v>0</v>
      </c>
      <c r="E167">
        <f>111.9816*$E$137</f>
        <v>0</v>
      </c>
      <c r="F167">
        <f>-113.9829*$F$137</f>
        <v>0</v>
      </c>
      <c r="G167">
        <f>2.8144*$G$137</f>
        <v>0</v>
      </c>
      <c r="H167">
        <f>0*$H$137</f>
        <v>0</v>
      </c>
      <c r="I167">
        <f>0.2112*$I$137</f>
        <v>0</v>
      </c>
      <c r="J167">
        <f>-2.9386*$J$137</f>
        <v>0</v>
      </c>
      <c r="K167">
        <f>3.9181*$K$137</f>
        <v>0</v>
      </c>
      <c r="L167">
        <f>-1.2056*$L$137</f>
        <v>0</v>
      </c>
      <c r="M167">
        <f>0+D167+E167+G167+H167+I167+J167+K167+L167</f>
        <v>0</v>
      </c>
      <c r="N167">
        <f>0+D167+F167+G167+H167+I167+J167+K167+L167</f>
        <v>0</v>
      </c>
    </row>
    <row r="168" spans="3:14">
      <c r="C168" t="s">
        <v>43</v>
      </c>
      <c r="D168">
        <f>-0.9201*$D$137</f>
        <v>0</v>
      </c>
      <c r="E168">
        <f>121.2896*$E$137</f>
        <v>0</v>
      </c>
      <c r="F168">
        <f>-117.1364*$F$137</f>
        <v>0</v>
      </c>
      <c r="G168">
        <f>-4.1368*$G$137</f>
        <v>0</v>
      </c>
      <c r="H168">
        <f>0*$H$137</f>
        <v>0</v>
      </c>
      <c r="I168">
        <f>0.1799*$I$137</f>
        <v>0</v>
      </c>
      <c r="J168">
        <f>31.8298*$J$137</f>
        <v>0</v>
      </c>
      <c r="K168">
        <f>-42.4398*$K$137</f>
        <v>0</v>
      </c>
      <c r="L168">
        <f>-0.5668*$L$137</f>
        <v>0</v>
      </c>
      <c r="M168">
        <f>0+D168+E168+G168+H168+I168+J168+K168+L168</f>
        <v>0</v>
      </c>
      <c r="N168">
        <f>0+D168+F168+G168+H168+I168+J168+K168+L168</f>
        <v>0</v>
      </c>
    </row>
    <row r="169" spans="3:14">
      <c r="C169" t="s">
        <v>44</v>
      </c>
      <c r="D169">
        <f>-1.2183*$D$137</f>
        <v>0</v>
      </c>
      <c r="E169">
        <f>137.3571*$E$137</f>
        <v>0</v>
      </c>
      <c r="F169">
        <f>-135.9135*$F$137</f>
        <v>0</v>
      </c>
      <c r="G169">
        <f>-2.7755*$G$137</f>
        <v>0</v>
      </c>
      <c r="H169">
        <f>0*$H$137</f>
        <v>0</v>
      </c>
      <c r="I169">
        <f>0.0523*$I$137</f>
        <v>0</v>
      </c>
      <c r="J169">
        <f>14.7339*$J$137</f>
        <v>0</v>
      </c>
      <c r="K169">
        <f>-19.6452*$K$137</f>
        <v>0</v>
      </c>
      <c r="L169">
        <f>-0.9856*$L$137</f>
        <v>0</v>
      </c>
      <c r="M169">
        <f>0+D169+E169+G169+H169+I169+J169+K169+L169</f>
        <v>0</v>
      </c>
      <c r="N169">
        <f>0+D169+F169+G169+H169+I169+J169+K169+L169</f>
        <v>0</v>
      </c>
    </row>
    <row r="170" spans="3:14">
      <c r="C170" t="s">
        <v>45</v>
      </c>
      <c r="D170">
        <f>-2.5823*$D$137</f>
        <v>0</v>
      </c>
      <c r="E170">
        <f>141.8558*$E$137</f>
        <v>0</v>
      </c>
      <c r="F170">
        <f>-143.6945*$F$137</f>
        <v>0</v>
      </c>
      <c r="G170">
        <f>-1.5103*$G$137</f>
        <v>0</v>
      </c>
      <c r="H170">
        <f>0*$H$137</f>
        <v>0</v>
      </c>
      <c r="I170">
        <f>-0.2367*$I$137</f>
        <v>0</v>
      </c>
      <c r="J170">
        <f>5.1795*$J$137</f>
        <v>0</v>
      </c>
      <c r="K170">
        <f>-6.9059*$K$137</f>
        <v>0</v>
      </c>
      <c r="L170">
        <f>-1.206*$L$137</f>
        <v>0</v>
      </c>
      <c r="M170">
        <f>0+D170+E170+G170+H170+I170+J170+K170+L170</f>
        <v>0</v>
      </c>
      <c r="N170">
        <f>0+D170+F170+G170+H170+I170+J170+K170+L170</f>
        <v>0</v>
      </c>
    </row>
    <row r="171" spans="3:14">
      <c r="C171" t="s">
        <v>46</v>
      </c>
      <c r="D171">
        <f>-4.8293*$D$137</f>
        <v>0</v>
      </c>
      <c r="E171">
        <f>140.6866*$E$137</f>
        <v>0</v>
      </c>
      <c r="F171">
        <f>-145.9578*$F$137</f>
        <v>0</v>
      </c>
      <c r="G171">
        <f>-1.4588*$G$137</f>
        <v>0</v>
      </c>
      <c r="H171">
        <f>0*$H$137</f>
        <v>0</v>
      </c>
      <c r="I171">
        <f>-0.5762*$I$137</f>
        <v>0</v>
      </c>
      <c r="J171">
        <f>8.6763*$J$137</f>
        <v>0</v>
      </c>
      <c r="K171">
        <f>-11.5684*$K$137</f>
        <v>0</v>
      </c>
      <c r="L171">
        <f>-1.3817*$L$137</f>
        <v>0</v>
      </c>
      <c r="M171">
        <f>0+D171+E171+G171+H171+I171+J171+K171+L171</f>
        <v>0</v>
      </c>
      <c r="N171">
        <f>0+D171+F171+G171+H171+I171+J171+K171+L171</f>
        <v>0</v>
      </c>
    </row>
    <row r="172" spans="3:14">
      <c r="C172" t="s">
        <v>47</v>
      </c>
      <c r="D172">
        <f>-12.1557*$D$137</f>
        <v>0</v>
      </c>
      <c r="E172">
        <f>125.7054*$E$137</f>
        <v>0</v>
      </c>
      <c r="F172">
        <f>-144.7361*$F$137</f>
        <v>0</v>
      </c>
      <c r="G172">
        <f>4.0921*$G$137</f>
        <v>0</v>
      </c>
      <c r="H172">
        <f>0*$H$137</f>
        <v>0</v>
      </c>
      <c r="I172">
        <f>-2.0891*$I$137</f>
        <v>0</v>
      </c>
      <c r="J172">
        <f>10.4085*$J$137</f>
        <v>0</v>
      </c>
      <c r="K172">
        <f>-13.878*$K$137</f>
        <v>0</v>
      </c>
      <c r="L172">
        <f>-1.945*$L$137</f>
        <v>0</v>
      </c>
      <c r="M172">
        <f>0+D172+E172+G172+H172+I172+J172+K172+L172</f>
        <v>0</v>
      </c>
      <c r="N172">
        <f>0+D172+F172+G172+H172+I172+J172+K172+L172</f>
        <v>0</v>
      </c>
    </row>
    <row r="173" spans="3:14">
      <c r="C173" t="s">
        <v>48</v>
      </c>
      <c r="D173">
        <f>-6.2111*$D$137</f>
        <v>0</v>
      </c>
      <c r="E173">
        <f>146.6258*$E$137</f>
        <v>0</v>
      </c>
      <c r="F173">
        <f>-151.7291*$F$137</f>
        <v>0</v>
      </c>
      <c r="G173">
        <f>-4.8262*$G$137</f>
        <v>0</v>
      </c>
      <c r="H173">
        <f>0*$H$137</f>
        <v>0</v>
      </c>
      <c r="I173">
        <f>-0.5798*$I$137</f>
        <v>0</v>
      </c>
      <c r="J173">
        <f>28.3429*$J$137</f>
        <v>0</v>
      </c>
      <c r="K173">
        <f>-37.7906*$K$137</f>
        <v>0</v>
      </c>
      <c r="L173">
        <f>-1.4505*$L$137</f>
        <v>0</v>
      </c>
      <c r="M173">
        <f>0+D173+E173+G173+H173+I173+J173+K173+L173</f>
        <v>0</v>
      </c>
      <c r="N173">
        <f>0+D173+F173+G173+H173+I173+J173+K173+L173</f>
        <v>0</v>
      </c>
    </row>
    <row r="174" spans="3:14">
      <c r="C174" t="s">
        <v>49</v>
      </c>
      <c r="D174">
        <f>-9.1704*$D$137</f>
        <v>0</v>
      </c>
      <c r="E174">
        <f>141.4792*$E$137</f>
        <v>0</v>
      </c>
      <c r="F174">
        <f>-151.2137*$F$137</f>
        <v>0</v>
      </c>
      <c r="G174">
        <f>-3.868*$G$137</f>
        <v>0</v>
      </c>
      <c r="H174">
        <f>0*$H$137</f>
        <v>0</v>
      </c>
      <c r="I174">
        <f>-1.0675*$I$137</f>
        <v>0</v>
      </c>
      <c r="J174">
        <f>15.8262*$J$137</f>
        <v>0</v>
      </c>
      <c r="K174">
        <f>-21.1016*$K$137</f>
        <v>0</v>
      </c>
      <c r="L174">
        <f>-1.6416*$L$137</f>
        <v>0</v>
      </c>
      <c r="M174">
        <f>0+D174+E174+G174+H174+I174+J174+K174+L174</f>
        <v>0</v>
      </c>
      <c r="N174">
        <f>0+D174+F174+G174+H174+I174+J174+K174+L174</f>
        <v>0</v>
      </c>
    </row>
    <row r="175" spans="3:14">
      <c r="C175" t="s">
        <v>50</v>
      </c>
      <c r="D175">
        <f>-12.3832*$D$137</f>
        <v>0</v>
      </c>
      <c r="E175">
        <f>131.3127*$E$137</f>
        <v>0</v>
      </c>
      <c r="F175">
        <f>-146.2391*$F$137</f>
        <v>0</v>
      </c>
      <c r="G175">
        <f>-3.1324*$G$137</f>
        <v>0</v>
      </c>
      <c r="H175">
        <f>0*$H$137</f>
        <v>0</v>
      </c>
      <c r="I175">
        <f>-1.5932*$I$137</f>
        <v>0</v>
      </c>
      <c r="J175">
        <f>9.6065*$J$137</f>
        <v>0</v>
      </c>
      <c r="K175">
        <f>-12.8086*$K$137</f>
        <v>0</v>
      </c>
      <c r="L175">
        <f>-1.5971*$L$137</f>
        <v>0</v>
      </c>
      <c r="M175">
        <f>0+D175+E175+G175+H175+I175+J175+K175+L175</f>
        <v>0</v>
      </c>
      <c r="N175">
        <f>0+D175+F175+G175+H175+I175+J175+K175+L175</f>
        <v>0</v>
      </c>
    </row>
    <row r="176" spans="3:14">
      <c r="C176" t="s">
        <v>51</v>
      </c>
      <c r="D176">
        <f>-15.3226*$D$137</f>
        <v>0</v>
      </c>
      <c r="E176">
        <f>116.8486*$E$137</f>
        <v>0</v>
      </c>
      <c r="F176">
        <f>-135.6516*$F$137</f>
        <v>0</v>
      </c>
      <c r="G176">
        <f>-3.5824*$G$137</f>
        <v>0</v>
      </c>
      <c r="H176">
        <f>0*$H$137</f>
        <v>0</v>
      </c>
      <c r="I176">
        <f>-2.0031*$I$137</f>
        <v>0</v>
      </c>
      <c r="J176">
        <f>14.837*$J$137</f>
        <v>0</v>
      </c>
      <c r="K176">
        <f>-19.7827*$K$137</f>
        <v>0</v>
      </c>
      <c r="L176">
        <f>-1.7282*$L$137</f>
        <v>0</v>
      </c>
      <c r="M176">
        <f>0+D176+E176+G176+H176+I176+J176+K176+L176</f>
        <v>0</v>
      </c>
      <c r="N176">
        <f>0+D176+F176+G176+H176+I176+J176+K176+L176</f>
        <v>0</v>
      </c>
    </row>
    <row r="177" spans="3:14">
      <c r="C177" t="s">
        <v>52</v>
      </c>
      <c r="D177">
        <f>-18.4977*$D$137</f>
        <v>0</v>
      </c>
      <c r="E177">
        <f>74.9581*$E$137</f>
        <v>0</v>
      </c>
      <c r="F177">
        <f>-101.4902*$F$137</f>
        <v>0</v>
      </c>
      <c r="G177">
        <f>1.0317*$G$137</f>
        <v>0</v>
      </c>
      <c r="H177">
        <f>0*$H$137</f>
        <v>0</v>
      </c>
      <c r="I177">
        <f>-2.8701*$I$137</f>
        <v>0</v>
      </c>
      <c r="J177">
        <f>8.4944*$J$137</f>
        <v>0</v>
      </c>
      <c r="K177">
        <f>-11.3259*$K$137</f>
        <v>0</v>
      </c>
      <c r="L177">
        <f>-1.0421*$L$137</f>
        <v>0</v>
      </c>
      <c r="M177">
        <f>0+D177+E177+G177+H177+I177+J177+K177+L177</f>
        <v>0</v>
      </c>
      <c r="N177">
        <f>0+D177+F177+G177+H177+I177+J177+K177+L177</f>
        <v>0</v>
      </c>
    </row>
    <row r="178" spans="3:14">
      <c r="C178" t="s">
        <v>53</v>
      </c>
      <c r="D178">
        <f>-16.6044*$D$137</f>
        <v>0</v>
      </c>
      <c r="E178">
        <f>99.8104*$E$137</f>
        <v>0</v>
      </c>
      <c r="F178">
        <f>-117.2988*$F$137</f>
        <v>0</v>
      </c>
      <c r="G178">
        <f>-6.5685*$G$137</f>
        <v>0</v>
      </c>
      <c r="H178">
        <f>0*$H$137</f>
        <v>0</v>
      </c>
      <c r="I178">
        <f>-1.9946*$I$137</f>
        <v>0</v>
      </c>
      <c r="J178">
        <f>36.0097*$J$137</f>
        <v>0</v>
      </c>
      <c r="K178">
        <f>-48.0129*$K$137</f>
        <v>0</v>
      </c>
      <c r="L178">
        <f>-1.6986*$L$137</f>
        <v>0</v>
      </c>
      <c r="M178">
        <f>0+D178+E178+G178+H178+I178+J178+K178+L178</f>
        <v>0</v>
      </c>
      <c r="N178">
        <f>0+D178+F178+G178+H178+I178+J178+K178+L178</f>
        <v>0</v>
      </c>
    </row>
    <row r="179" spans="3:14">
      <c r="C179" t="s">
        <v>54</v>
      </c>
      <c r="D179">
        <f>-17.2539*$D$137</f>
        <v>0</v>
      </c>
      <c r="E179">
        <f>79.1751*$E$137</f>
        <v>0</v>
      </c>
      <c r="F179">
        <f>-95.9478*$F$137</f>
        <v>0</v>
      </c>
      <c r="G179">
        <f>-5.4619*$G$137</f>
        <v>0</v>
      </c>
      <c r="H179">
        <f>0*$H$137</f>
        <v>0</v>
      </c>
      <c r="I179">
        <f>-2.1268*$I$137</f>
        <v>0</v>
      </c>
      <c r="J179">
        <f>21.1072*$J$137</f>
        <v>0</v>
      </c>
      <c r="K179">
        <f>-28.143*$K$137</f>
        <v>0</v>
      </c>
      <c r="L179">
        <f>-0.889*$L$137</f>
        <v>0</v>
      </c>
      <c r="M179">
        <f>0+D179+E179+G179+H179+I179+J179+K179+L179</f>
        <v>0</v>
      </c>
      <c r="N179">
        <f>0+D179+F179+G179+H179+I179+J179+K179+L179</f>
        <v>0</v>
      </c>
    </row>
    <row r="180" spans="3:14">
      <c r="C180" t="s">
        <v>55</v>
      </c>
      <c r="D180">
        <f>-15.4857*$D$137</f>
        <v>0</v>
      </c>
      <c r="E180">
        <f>59.1027*$E$137</f>
        <v>0</v>
      </c>
      <c r="F180">
        <f>-73.6468*$F$137</f>
        <v>0</v>
      </c>
      <c r="G180">
        <f>-3.6103*$G$137</f>
        <v>0</v>
      </c>
      <c r="H180">
        <f>0*$H$137</f>
        <v>0</v>
      </c>
      <c r="I180">
        <f>-1.9667*$I$137</f>
        <v>0</v>
      </c>
      <c r="J180">
        <f>5.6152*$J$137</f>
        <v>0</v>
      </c>
      <c r="K180">
        <f>-7.4869*$K$137</f>
        <v>0</v>
      </c>
      <c r="L180">
        <f>0.8348*$L$137</f>
        <v>0</v>
      </c>
      <c r="M180">
        <f>0+D180+E180+G180+H180+I180+J180+K180+L180</f>
        <v>0</v>
      </c>
      <c r="N180">
        <f>0+D180+F180+G180+H180+I180+J180+K180+L180</f>
        <v>0</v>
      </c>
    </row>
    <row r="181" spans="3:14">
      <c r="C181" t="s">
        <v>56</v>
      </c>
      <c r="D181">
        <f>-10.3238*$D$137</f>
        <v>0</v>
      </c>
      <c r="E181">
        <f>33.5507*$E$137</f>
        <v>0</v>
      </c>
      <c r="F181">
        <f>-43.7585*$F$137</f>
        <v>0</v>
      </c>
      <c r="G181">
        <f>-1.8175*$G$137</f>
        <v>0</v>
      </c>
      <c r="H181">
        <f>0*$H$137</f>
        <v>0</v>
      </c>
      <c r="I181">
        <f>-1.3211*$I$137</f>
        <v>0</v>
      </c>
      <c r="J181">
        <f>-5.2047*$J$137</f>
        <v>0</v>
      </c>
      <c r="K181">
        <f>6.9396*$K$137</f>
        <v>0</v>
      </c>
      <c r="L181">
        <f>1.9149*$L$137</f>
        <v>0</v>
      </c>
      <c r="M181">
        <f>0+D181+E181+G181+H181+I181+J181+K181+L181</f>
        <v>0</v>
      </c>
      <c r="N181">
        <f>0+D181+F181+G181+H181+I181+J181+K181+L181</f>
        <v>0</v>
      </c>
    </row>
    <row r="182" spans="3:14">
      <c r="C182" t="s">
        <v>57</v>
      </c>
      <c r="D182">
        <f>8.9268*$D$137</f>
        <v>0</v>
      </c>
      <c r="E182">
        <f>31.3231*$E$137</f>
        <v>0</v>
      </c>
      <c r="F182">
        <f>-21.4535*$F$137</f>
        <v>0</v>
      </c>
      <c r="G182">
        <f>2.3671*$G$137</f>
        <v>0</v>
      </c>
      <c r="H182">
        <f>0*$H$137</f>
        <v>0</v>
      </c>
      <c r="I182">
        <f>1.0098*$I$137</f>
        <v>0</v>
      </c>
      <c r="J182">
        <f>-58.2073*$J$137</f>
        <v>0</v>
      </c>
      <c r="K182">
        <f>77.6097*$K$137</f>
        <v>0</v>
      </c>
      <c r="L182">
        <f>3.0464*$L$137</f>
        <v>0</v>
      </c>
      <c r="M182">
        <f>0+D182+E182+G182+H182+I182+J182+K182+L182</f>
        <v>0</v>
      </c>
      <c r="N182">
        <f>0+D182+F182+G182+H182+I182+J182+K182+L182</f>
        <v>0</v>
      </c>
    </row>
    <row r="183" spans="3:14">
      <c r="C183" t="s">
        <v>58</v>
      </c>
      <c r="D183">
        <f>2.6401*$D$137</f>
        <v>0</v>
      </c>
      <c r="E183">
        <f>10.5195*$E$137</f>
        <v>0</v>
      </c>
      <c r="F183">
        <f>-8.1619*$F$137</f>
        <v>0</v>
      </c>
      <c r="G183">
        <f>0.4505*$G$137</f>
        <v>0</v>
      </c>
      <c r="H183">
        <f>0*$H$137</f>
        <v>0</v>
      </c>
      <c r="I183">
        <f>0.3288*$I$137</f>
        <v>0</v>
      </c>
      <c r="J183">
        <f>-17.0558*$J$137</f>
        <v>0</v>
      </c>
      <c r="K183">
        <f>22.741*$K$137</f>
        <v>0</v>
      </c>
      <c r="L183">
        <f>1.5201*$L$137</f>
        <v>0</v>
      </c>
      <c r="M183">
        <f>0+D183+E183+G183+H183+I183+J183+K183+L183</f>
        <v>0</v>
      </c>
      <c r="N183">
        <f>0+D183+F183+G183+H183+I183+J183+K183+L183</f>
        <v>0</v>
      </c>
    </row>
    <row r="184" spans="3:14">
      <c r="C184" t="s">
        <v>58</v>
      </c>
      <c r="D184">
        <f>3.6114*$D$137</f>
        <v>0</v>
      </c>
      <c r="E184">
        <f>6.0956*$E$137</f>
        <v>0</v>
      </c>
      <c r="F184">
        <f>-2.7163*$F$137</f>
        <v>0</v>
      </c>
      <c r="G184">
        <f>0.4799*$G$137</f>
        <v>0</v>
      </c>
      <c r="H184">
        <f>0*$H$137</f>
        <v>0</v>
      </c>
      <c r="I184">
        <f>0.4708*$I$137</f>
        <v>0</v>
      </c>
      <c r="J184">
        <f>-17.9019*$J$137</f>
        <v>0</v>
      </c>
      <c r="K184">
        <f>23.8693*$K$137</f>
        <v>0</v>
      </c>
      <c r="L184">
        <f>-2.4642*$L$137</f>
        <v>0</v>
      </c>
      <c r="M184">
        <f>0+D184+E184+G184+H184+I184+J184+K184+L184</f>
        <v>0</v>
      </c>
      <c r="N184">
        <f>0+D184+F184+G184+H184+I184+J184+K184+L184</f>
        <v>0</v>
      </c>
    </row>
    <row r="185" spans="3:14">
      <c r="C185" t="s">
        <v>59</v>
      </c>
      <c r="D185">
        <f>7.8503*$D$137</f>
        <v>0</v>
      </c>
      <c r="E185">
        <f>15.8338*$E$137</f>
        <v>0</v>
      </c>
      <c r="F185">
        <f>-7.3722*$F$137</f>
        <v>0</v>
      </c>
      <c r="G185">
        <f>0.9145*$G$137</f>
        <v>0</v>
      </c>
      <c r="H185">
        <f>0*$H$137</f>
        <v>0</v>
      </c>
      <c r="I185">
        <f>1.0047*$I$137</f>
        <v>0</v>
      </c>
      <c r="J185">
        <f>-23.1575*$J$137</f>
        <v>0</v>
      </c>
      <c r="K185">
        <f>30.8767*$K$137</f>
        <v>0</v>
      </c>
      <c r="L185">
        <f>-6.5258*$L$137</f>
        <v>0</v>
      </c>
      <c r="M185">
        <f>0+D185+E185+G185+H185+I185+J185+K185+L185</f>
        <v>0</v>
      </c>
      <c r="N185">
        <f>0+D185+F185+G185+H185+I185+J185+K185+L185</f>
        <v>0</v>
      </c>
    </row>
    <row r="186" spans="3:14">
      <c r="C186" t="s">
        <v>60</v>
      </c>
      <c r="D186">
        <f>-14.2445*$D$137</f>
        <v>0</v>
      </c>
      <c r="E186">
        <f>14.7029*$E$137</f>
        <v>0</v>
      </c>
      <c r="F186">
        <f>-30.2295*$F$137</f>
        <v>0</v>
      </c>
      <c r="G186">
        <f>-1.9714*$G$137</f>
        <v>0</v>
      </c>
      <c r="H186">
        <f>0*$H$137</f>
        <v>0</v>
      </c>
      <c r="I186">
        <f>-1.7918*$I$137</f>
        <v>0</v>
      </c>
      <c r="J186">
        <f>55.2742*$J$137</f>
        <v>0</v>
      </c>
      <c r="K186">
        <f>-73.699*$K$137</f>
        <v>0</v>
      </c>
      <c r="L186">
        <f>-22.8824*$L$137</f>
        <v>0</v>
      </c>
      <c r="M186">
        <f>0+D186+E186+G186+H186+I186+J186+K186+L186</f>
        <v>0</v>
      </c>
      <c r="N186">
        <f>0+D186+F186+G186+H186+I186+J186+K186+L186</f>
        <v>0</v>
      </c>
    </row>
    <row r="187" spans="3:14">
      <c r="C187" t="s">
        <v>61</v>
      </c>
      <c r="D187">
        <f>-10.5403*$D$137</f>
        <v>0</v>
      </c>
      <c r="E187">
        <f>38.1563*$E$137</f>
        <v>0</v>
      </c>
      <c r="F187">
        <f>-44.6197*$F$137</f>
        <v>0</v>
      </c>
      <c r="G187">
        <f>-2.3641*$G$137</f>
        <v>0</v>
      </c>
      <c r="H187">
        <f>0*$H$137</f>
        <v>0</v>
      </c>
      <c r="I187">
        <f>-1.2529*$I$137</f>
        <v>0</v>
      </c>
      <c r="J187">
        <f>38.799*$J$137</f>
        <v>0</v>
      </c>
      <c r="K187">
        <f>-51.732*$K$137</f>
        <v>0</v>
      </c>
      <c r="L187">
        <f>-63.6158*$L$137</f>
        <v>0</v>
      </c>
      <c r="M187">
        <f>0+D187+E187+G187+H187+I187+J187+K187+L187</f>
        <v>0</v>
      </c>
      <c r="N187">
        <f>0+D187+F187+G187+H187+I187+J187+K187+L187</f>
        <v>0</v>
      </c>
    </row>
    <row r="188" spans="3:14">
      <c r="C188" t="s">
        <v>62</v>
      </c>
      <c r="D188">
        <f>-6.2752*$D$137</f>
        <v>0</v>
      </c>
      <c r="E188">
        <f>52.0658*$E$137</f>
        <v>0</v>
      </c>
      <c r="F188">
        <f>-56.2881*$F$137</f>
        <v>0</v>
      </c>
      <c r="G188">
        <f>-2.7026*$G$137</f>
        <v>0</v>
      </c>
      <c r="H188">
        <f>0*$H$137</f>
        <v>0</v>
      </c>
      <c r="I188">
        <f>-0.669*$I$137</f>
        <v>0</v>
      </c>
      <c r="J188">
        <f>25.9822*$J$137</f>
        <v>0</v>
      </c>
      <c r="K188">
        <f>-34.6429*$K$137</f>
        <v>0</v>
      </c>
      <c r="L188">
        <f>-93.2499*$L$137</f>
        <v>0</v>
      </c>
      <c r="M188">
        <f>0+D188+E188+G188+H188+I188+J188+K188+L188</f>
        <v>0</v>
      </c>
      <c r="N188">
        <f>0+D188+F188+G188+H188+I188+J188+K188+L188</f>
        <v>0</v>
      </c>
    </row>
    <row r="189" spans="3:14">
      <c r="C189" t="s">
        <v>63</v>
      </c>
      <c r="D189">
        <f>-3.0026*$D$137</f>
        <v>0</v>
      </c>
      <c r="E189">
        <f>58.2285*$E$137</f>
        <v>0</v>
      </c>
      <c r="F189">
        <f>-59.6005*$F$137</f>
        <v>0</v>
      </c>
      <c r="G189">
        <f>-3.5762*$G$137</f>
        <v>0</v>
      </c>
      <c r="H189">
        <f>0*$H$137</f>
        <v>0</v>
      </c>
      <c r="I189">
        <f>-0.1843*$I$137</f>
        <v>0</v>
      </c>
      <c r="J189">
        <f>26.4989*$J$137</f>
        <v>0</v>
      </c>
      <c r="K189">
        <f>-35.3318*$K$137</f>
        <v>0</v>
      </c>
      <c r="L189">
        <f>-113.326*$L$137</f>
        <v>0</v>
      </c>
      <c r="M189">
        <f>0+D189+E189+G189+H189+I189+J189+K189+L189</f>
        <v>0</v>
      </c>
      <c r="N189">
        <f>0+D189+F189+G189+H189+I189+J189+K189+L189</f>
        <v>0</v>
      </c>
    </row>
    <row r="190" spans="3:14">
      <c r="C190" t="s">
        <v>64</v>
      </c>
      <c r="D190">
        <f>2.3303*$D$137</f>
        <v>0</v>
      </c>
      <c r="E190">
        <f>50.895*$E$137</f>
        <v>0</v>
      </c>
      <c r="F190">
        <f>-53.5613*$F$137</f>
        <v>0</v>
      </c>
      <c r="G190">
        <f>-0.8774*$G$137</f>
        <v>0</v>
      </c>
      <c r="H190">
        <f>0*$H$137</f>
        <v>0</v>
      </c>
      <c r="I190">
        <f>0.2754*$I$137</f>
        <v>0</v>
      </c>
      <c r="J190">
        <f>-6.0583*$J$137</f>
        <v>0</v>
      </c>
      <c r="K190">
        <f>8.0778*$K$137</f>
        <v>0</v>
      </c>
      <c r="L190">
        <f>-101.9336*$L$137</f>
        <v>0</v>
      </c>
      <c r="M190">
        <f>0+D190+E190+G190+H190+I190+J190+K190+L190</f>
        <v>0</v>
      </c>
      <c r="N190">
        <f>0+D190+F190+G190+H190+I190+J190+K190+L190</f>
        <v>0</v>
      </c>
    </row>
    <row r="191" spans="3:14">
      <c r="C191" t="s">
        <v>65</v>
      </c>
      <c r="D191">
        <f>-1.2151*$D$137</f>
        <v>0</v>
      </c>
      <c r="E191">
        <f>68.5098*$E$137</f>
        <v>0</v>
      </c>
      <c r="F191">
        <f>-66.3207*$F$137</f>
        <v>0</v>
      </c>
      <c r="G191">
        <f>-6.1353*$G$137</f>
        <v>0</v>
      </c>
      <c r="H191">
        <f>0*$H$137</f>
        <v>0</v>
      </c>
      <c r="I191">
        <f>0.2248*$I$137</f>
        <v>0</v>
      </c>
      <c r="J191">
        <f>51.1192*$J$137</f>
        <v>0</v>
      </c>
      <c r="K191">
        <f>-68.1589*$K$137</f>
        <v>0</v>
      </c>
      <c r="L191">
        <f>-135.8265*$L$137</f>
        <v>0</v>
      </c>
      <c r="M191">
        <f>0+D191+E191+G191+H191+I191+J191+K191+L191</f>
        <v>0</v>
      </c>
      <c r="N191">
        <f>0+D191+F191+G191+H191+I191+J191+K191+L191</f>
        <v>0</v>
      </c>
    </row>
    <row r="192" spans="3:14">
      <c r="C192" t="s">
        <v>66</v>
      </c>
      <c r="D192">
        <f>-0.5178*$D$137</f>
        <v>0</v>
      </c>
      <c r="E192">
        <f>64.6011*$E$137</f>
        <v>0</v>
      </c>
      <c r="F192">
        <f>-61.994*$F$137</f>
        <v>0</v>
      </c>
      <c r="G192">
        <f>-4.8659*$G$137</f>
        <v>0</v>
      </c>
      <c r="H192">
        <f>0*$H$137</f>
        <v>0</v>
      </c>
      <c r="I192">
        <f>0.2714*$I$137</f>
        <v>0</v>
      </c>
      <c r="J192">
        <f>27.3603*$J$137</f>
        <v>0</v>
      </c>
      <c r="K192">
        <f>-36.4804*$K$137</f>
        <v>0</v>
      </c>
      <c r="L192">
        <f>-119.3351*$L$137</f>
        <v>0</v>
      </c>
      <c r="M192">
        <f>0+D192+E192+G192+H192+I192+J192+K192+L192</f>
        <v>0</v>
      </c>
      <c r="N192">
        <f>0+D192+F192+G192+H192+I192+J192+K192+L192</f>
        <v>0</v>
      </c>
    </row>
    <row r="193" spans="3:14">
      <c r="C193" t="s">
        <v>67</v>
      </c>
      <c r="D193">
        <f>-0.1305*$D$137</f>
        <v>0</v>
      </c>
      <c r="E193">
        <f>51.4288*$E$137</f>
        <v>0</v>
      </c>
      <c r="F193">
        <f>-49.2573*$F$137</f>
        <v>0</v>
      </c>
      <c r="G193">
        <f>-2.8687*$G$137</f>
        <v>0</v>
      </c>
      <c r="H193">
        <f>0*$H$137</f>
        <v>0</v>
      </c>
      <c r="I193">
        <f>0.2337*$I$137</f>
        <v>0</v>
      </c>
      <c r="J193">
        <f>7.5464*$J$137</f>
        <v>0</v>
      </c>
      <c r="K193">
        <f>-10.0619*$K$137</f>
        <v>0</v>
      </c>
      <c r="L193">
        <f>-86.4896*$L$137</f>
        <v>0</v>
      </c>
      <c r="M193">
        <f>0+D193+E193+G193+H193+I193+J193+K193+L193</f>
        <v>0</v>
      </c>
      <c r="N193">
        <f>0+D193+F193+G193+H193+I193+J193+K193+L193</f>
        <v>0</v>
      </c>
    </row>
    <row r="194" spans="3:14">
      <c r="C194" t="s">
        <v>68</v>
      </c>
      <c r="D194">
        <f>-0.195*$D$137</f>
        <v>0</v>
      </c>
      <c r="E194">
        <f>25.1722*$E$137</f>
        <v>0</v>
      </c>
      <c r="F194">
        <f>-27.7813*$F$137</f>
        <v>0</v>
      </c>
      <c r="G194">
        <f>-0.3907*$G$137</f>
        <v>0</v>
      </c>
      <c r="H194">
        <f>0*$H$137</f>
        <v>0</v>
      </c>
      <c r="I194">
        <f>0.0882*$I$137</f>
        <v>0</v>
      </c>
      <c r="J194">
        <f>19.3905*$J$137</f>
        <v>0</v>
      </c>
      <c r="K194">
        <f>-25.854*$K$137</f>
        <v>0</v>
      </c>
      <c r="L194">
        <f>-34.6801*$L$137</f>
        <v>0</v>
      </c>
      <c r="M194">
        <f>0+D194+E194+G194+H194+I194+J194+K194+L194</f>
        <v>0</v>
      </c>
      <c r="N194">
        <f>0+D194+F194+G194+H194+I194+J194+K194+L194</f>
        <v>0</v>
      </c>
    </row>
    <row r="195" spans="3:14">
      <c r="C195" t="s">
        <v>69</v>
      </c>
      <c r="D195">
        <f>0.4196*$D$137</f>
        <v>0</v>
      </c>
      <c r="E195">
        <f>13.8574*$E$137</f>
        <v>0</v>
      </c>
      <c r="F195">
        <f>-14.3869*$F$137</f>
        <v>0</v>
      </c>
      <c r="G195">
        <f>0.4031*$G$137</f>
        <v>0</v>
      </c>
      <c r="H195">
        <f>0*$H$137</f>
        <v>0</v>
      </c>
      <c r="I195">
        <f>-0.0088*$I$137</f>
        <v>0</v>
      </c>
      <c r="J195">
        <f>-52.2609*$J$137</f>
        <v>0</v>
      </c>
      <c r="K195">
        <f>69.6812*$K$137</f>
        <v>0</v>
      </c>
      <c r="L195">
        <f>18.4603*$L$137</f>
        <v>0</v>
      </c>
      <c r="M195">
        <f>0+D195+E195+G195+H195+I195+J195+K195+L195</f>
        <v>0</v>
      </c>
      <c r="N195">
        <f>0+D195+F195+G195+H195+I195+J195+K195+L195</f>
        <v>0</v>
      </c>
    </row>
    <row r="200" spans="3:14">
      <c r="C200" t="s">
        <v>72</v>
      </c>
    </row>
    <row r="202" spans="3:14">
      <c r="C202" t="s">
        <v>2</v>
      </c>
    </row>
    <row r="203" spans="3:14">
      <c r="C203" t="s">
        <v>3</v>
      </c>
      <c r="D203" t="s">
        <v>4</v>
      </c>
      <c r="E203" t="s">
        <v>5</v>
      </c>
      <c r="F203" t="s">
        <v>6</v>
      </c>
      <c r="G203" t="s">
        <v>7</v>
      </c>
      <c r="H203" t="s">
        <v>8</v>
      </c>
      <c r="I203" t="s">
        <v>9</v>
      </c>
      <c r="J203" t="s">
        <v>10</v>
      </c>
      <c r="K203" t="s">
        <v>11</v>
      </c>
      <c r="L203" t="s">
        <v>12</v>
      </c>
      <c r="M203" t="s">
        <v>13</v>
      </c>
      <c r="N203" t="s">
        <v>14</v>
      </c>
    </row>
    <row r="204" spans="3:14">
      <c r="C204" t="s">
        <v>76</v>
      </c>
      <c r="D204">
        <f>-9.64*$D$202</f>
        <v>0</v>
      </c>
      <c r="E204">
        <f>72*$E$202</f>
        <v>0</v>
      </c>
      <c r="F204">
        <f>-70.686*$F$202</f>
        <v>0</v>
      </c>
      <c r="G204">
        <f>-5.41*$G$202</f>
        <v>0</v>
      </c>
      <c r="H204">
        <f>0*$H$202</f>
        <v>0</v>
      </c>
      <c r="I204">
        <f>-1.215*$I$202</f>
        <v>0</v>
      </c>
      <c r="J204">
        <f>-311.152*$J$202</f>
        <v>0</v>
      </c>
      <c r="K204">
        <f>414.869*$K$202</f>
        <v>0</v>
      </c>
      <c r="L204">
        <f>-0.027*$L$202</f>
        <v>0</v>
      </c>
      <c r="M204">
        <f>0+D204+E204+G204+H204+I204+J204+K204+L204</f>
        <v>0</v>
      </c>
      <c r="N204">
        <f>0+D204+F204+G204+H204+I204+J204+K204+L204</f>
        <v>0</v>
      </c>
    </row>
    <row r="205" spans="3:14">
      <c r="C205" t="s">
        <v>16</v>
      </c>
      <c r="D205">
        <f>-15.212*$D$202</f>
        <v>0</v>
      </c>
      <c r="E205">
        <f>66.782*$E$202</f>
        <v>0</v>
      </c>
      <c r="F205">
        <f>-77.369*$F$202</f>
        <v>0</v>
      </c>
      <c r="G205">
        <f>-6.007*$G$202</f>
        <v>0</v>
      </c>
      <c r="H205">
        <f>0*$H$202</f>
        <v>0</v>
      </c>
      <c r="I205">
        <f>-1.886*$I$202</f>
        <v>0</v>
      </c>
      <c r="J205">
        <f>-258.553*$J$202</f>
        <v>0</v>
      </c>
      <c r="K205">
        <f>344.737*$K$202</f>
        <v>0</v>
      </c>
      <c r="L205">
        <f>-0.037*$L$202</f>
        <v>0</v>
      </c>
      <c r="M205">
        <f>0+D205+E205+G205+H205+I205+J205+K205+L205</f>
        <v>0</v>
      </c>
      <c r="N205">
        <f>0+D205+F205+G205+H205+I205+J205+K205+L205</f>
        <v>0</v>
      </c>
    </row>
    <row r="206" spans="3:14">
      <c r="C206" t="s">
        <v>17</v>
      </c>
      <c r="D206">
        <f>-25.279*$D$202</f>
        <v>0</v>
      </c>
      <c r="E206">
        <f>55.838*$E$202</f>
        <v>0</v>
      </c>
      <c r="F206">
        <f>-82.388*$F$202</f>
        <v>0</v>
      </c>
      <c r="G206">
        <f>-8.524*$G$202</f>
        <v>0</v>
      </c>
      <c r="H206">
        <f>0*$H$202</f>
        <v>0</v>
      </c>
      <c r="I206">
        <f>-3.146*$I$202</f>
        <v>0</v>
      </c>
      <c r="J206">
        <f>-149.131*$J$202</f>
        <v>0</v>
      </c>
      <c r="K206">
        <f>198.841*$K$202</f>
        <v>0</v>
      </c>
      <c r="L206">
        <f>-0.039*$L$202</f>
        <v>0</v>
      </c>
      <c r="M206">
        <f>0+D206+E206+G206+H206+I206+J206+K206+L206</f>
        <v>0</v>
      </c>
      <c r="N206">
        <f>0+D206+F206+G206+H206+I206+J206+K206+L206</f>
        <v>0</v>
      </c>
    </row>
    <row r="207" spans="3:14">
      <c r="C207" t="s">
        <v>18</v>
      </c>
      <c r="D207">
        <f>-29.768*$D$202</f>
        <v>0</v>
      </c>
      <c r="E207">
        <f>58.949*$E$202</f>
        <v>0</v>
      </c>
      <c r="F207">
        <f>-88.573*$F$202</f>
        <v>0</v>
      </c>
      <c r="G207">
        <f>-12.357*$G$202</f>
        <v>0</v>
      </c>
      <c r="H207">
        <f>0*$H$202</f>
        <v>0</v>
      </c>
      <c r="I207">
        <f>-3.584*$I$202</f>
        <v>0</v>
      </c>
      <c r="J207">
        <f>-58.52*$J$202</f>
        <v>0</v>
      </c>
      <c r="K207">
        <f>78.027*$K$202</f>
        <v>0</v>
      </c>
      <c r="L207">
        <f>-0.039*$L$202</f>
        <v>0</v>
      </c>
      <c r="M207">
        <f>0+D207+E207+G207+H207+I207+J207+K207+L207</f>
        <v>0</v>
      </c>
      <c r="N207">
        <f>0+D207+F207+G207+H207+I207+J207+K207+L207</f>
        <v>0</v>
      </c>
    </row>
    <row r="208" spans="3:14">
      <c r="C208" t="s">
        <v>19</v>
      </c>
      <c r="D208">
        <f>-28.466*$D$202</f>
        <v>0</v>
      </c>
      <c r="E208">
        <f>70.902*$E$202</f>
        <v>0</v>
      </c>
      <c r="F208">
        <f>-97.445*$F$202</f>
        <v>0</v>
      </c>
      <c r="G208">
        <f>-14.859*$G$202</f>
        <v>0</v>
      </c>
      <c r="H208">
        <f>0*$H$202</f>
        <v>0</v>
      </c>
      <c r="I208">
        <f>-3.25*$I$202</f>
        <v>0</v>
      </c>
      <c r="J208">
        <f>11.364*$J$202</f>
        <v>0</v>
      </c>
      <c r="K208">
        <f>-15.152*$K$202</f>
        <v>0</v>
      </c>
      <c r="L208">
        <f>-0.038*$L$202</f>
        <v>0</v>
      </c>
      <c r="M208">
        <f>0+D208+E208+G208+H208+I208+J208+K208+L208</f>
        <v>0</v>
      </c>
      <c r="N208">
        <f>0+D208+F208+G208+H208+I208+J208+K208+L208</f>
        <v>0</v>
      </c>
    </row>
    <row r="209" spans="3:14">
      <c r="C209" t="s">
        <v>20</v>
      </c>
      <c r="D209">
        <f>-21.83*$D$202</f>
        <v>0</v>
      </c>
      <c r="E209">
        <f>100.308*$E$202</f>
        <v>0</v>
      </c>
      <c r="F209">
        <f>-114.857*$F$202</f>
        <v>0</v>
      </c>
      <c r="G209">
        <f>-16.851*$G$202</f>
        <v>0</v>
      </c>
      <c r="H209">
        <f>0*$H$202</f>
        <v>0</v>
      </c>
      <c r="I209">
        <f>-2.112*$I$202</f>
        <v>0</v>
      </c>
      <c r="J209">
        <f>54.351*$J$202</f>
        <v>0</v>
      </c>
      <c r="K209">
        <f>-72.468*$K$202</f>
        <v>0</v>
      </c>
      <c r="L209">
        <f>-0.037*$L$202</f>
        <v>0</v>
      </c>
      <c r="M209">
        <f>0+D209+E209+G209+H209+I209+J209+K209+L209</f>
        <v>0</v>
      </c>
      <c r="N209">
        <f>0+D209+F209+G209+H209+I209+J209+K209+L209</f>
        <v>0</v>
      </c>
    </row>
    <row r="210" spans="3:14">
      <c r="C210" t="s">
        <v>21</v>
      </c>
      <c r="D210">
        <f>-31.114*$D$202</f>
        <v>0</v>
      </c>
      <c r="E210">
        <f>53.089*$E$202</f>
        <v>0</v>
      </c>
      <c r="F210">
        <f>-98.217*$F$202</f>
        <v>0</v>
      </c>
      <c r="G210">
        <f>-2.413*$G$202</f>
        <v>0</v>
      </c>
      <c r="H210">
        <f>0*$H$202</f>
        <v>0</v>
      </c>
      <c r="I210">
        <f>-4.535*$I$202</f>
        <v>0</v>
      </c>
      <c r="J210">
        <f>-82.333*$J$202</f>
        <v>0</v>
      </c>
      <c r="K210">
        <f>109.777*$K$202</f>
        <v>0</v>
      </c>
      <c r="L210">
        <f>-0.038*$L$202</f>
        <v>0</v>
      </c>
      <c r="M210">
        <f>0+D210+E210+G210+H210+I210+J210+K210+L210</f>
        <v>0</v>
      </c>
      <c r="N210">
        <f>0+D210+F210+G210+H210+I210+J210+K210+L210</f>
        <v>0</v>
      </c>
    </row>
    <row r="211" spans="3:14">
      <c r="C211" t="s">
        <v>22</v>
      </c>
      <c r="D211">
        <f>-20.549*$D$202</f>
        <v>0</v>
      </c>
      <c r="E211">
        <f>64.668*$E$202</f>
        <v>0</v>
      </c>
      <c r="F211">
        <f>-88.703*$F$202</f>
        <v>0</v>
      </c>
      <c r="G211">
        <f>-4.227*$G$202</f>
        <v>0</v>
      </c>
      <c r="H211">
        <f>0*$H$202</f>
        <v>0</v>
      </c>
      <c r="I211">
        <f>-2.823*$I$202</f>
        <v>0</v>
      </c>
      <c r="J211">
        <f>-49.668*$J$202</f>
        <v>0</v>
      </c>
      <c r="K211">
        <f>66.224*$K$202</f>
        <v>0</v>
      </c>
      <c r="L211">
        <f>-0.038*$L$202</f>
        <v>0</v>
      </c>
      <c r="M211">
        <f>0+D211+E211+G211+H211+I211+J211+K211+L211</f>
        <v>0</v>
      </c>
      <c r="N211">
        <f>0+D211+F211+G211+H211+I211+J211+K211+L211</f>
        <v>0</v>
      </c>
    </row>
    <row r="212" spans="3:14">
      <c r="C212" t="s">
        <v>23</v>
      </c>
      <c r="D212">
        <f>-9.797*$D$202</f>
        <v>0</v>
      </c>
      <c r="E212">
        <f>82.195*$E$202</f>
        <v>0</v>
      </c>
      <c r="F212">
        <f>-89.827*$F$202</f>
        <v>0</v>
      </c>
      <c r="G212">
        <f>-6.523*$G$202</f>
        <v>0</v>
      </c>
      <c r="H212">
        <f>0*$H$202</f>
        <v>0</v>
      </c>
      <c r="I212">
        <f>-1.063*$I$202</f>
        <v>0</v>
      </c>
      <c r="J212">
        <f>-11.806*$J$202</f>
        <v>0</v>
      </c>
      <c r="K212">
        <f>15.742*$K$202</f>
        <v>0</v>
      </c>
      <c r="L212">
        <f>-0.038*$L$202</f>
        <v>0</v>
      </c>
      <c r="M212">
        <f>0+D212+E212+G212+H212+I212+J212+K212+L212</f>
        <v>0</v>
      </c>
      <c r="N212">
        <f>0+D212+F212+G212+H212+I212+J212+K212+L212</f>
        <v>0</v>
      </c>
    </row>
    <row r="213" spans="3:14">
      <c r="C213" t="s">
        <v>24</v>
      </c>
      <c r="D213">
        <f>1.98*$D$202</f>
        <v>0</v>
      </c>
      <c r="E213">
        <f>109.351*$E$202</f>
        <v>0</v>
      </c>
      <c r="F213">
        <f>-96.858*$F$202</f>
        <v>0</v>
      </c>
      <c r="G213">
        <f>-9.039*$G$202</f>
        <v>0</v>
      </c>
      <c r="H213">
        <f>0*$H$202</f>
        <v>0</v>
      </c>
      <c r="I213">
        <f>0.865*$I$202</f>
        <v>0</v>
      </c>
      <c r="J213">
        <f>15.912*$J$202</f>
        <v>0</v>
      </c>
      <c r="K213">
        <f>-21.216*$K$202</f>
        <v>0</v>
      </c>
      <c r="L213">
        <f>-0.038*$L$202</f>
        <v>0</v>
      </c>
      <c r="M213">
        <f>0+D213+E213+G213+H213+I213+J213+K213+L213</f>
        <v>0</v>
      </c>
      <c r="N213">
        <f>0+D213+F213+G213+H213+I213+J213+K213+L213</f>
        <v>0</v>
      </c>
    </row>
    <row r="214" spans="3:14">
      <c r="C214" t="s">
        <v>25</v>
      </c>
      <c r="D214">
        <f>15.564*$D$202</f>
        <v>0</v>
      </c>
      <c r="E214">
        <f>148.792*$E$202</f>
        <v>0</v>
      </c>
      <c r="F214">
        <f>-115.758*$F$202</f>
        <v>0</v>
      </c>
      <c r="G214">
        <f>-12.802*$G$202</f>
        <v>0</v>
      </c>
      <c r="H214">
        <f>0*$H$202</f>
        <v>0</v>
      </c>
      <c r="I214">
        <f>3.179*$I$202</f>
        <v>0</v>
      </c>
      <c r="J214">
        <f>20.289*$J$202</f>
        <v>0</v>
      </c>
      <c r="K214">
        <f>-27.052*$K$202</f>
        <v>0</v>
      </c>
      <c r="L214">
        <f>-0.038*$L$202</f>
        <v>0</v>
      </c>
      <c r="M214">
        <f>0+D214+E214+G214+H214+I214+J214+K214+L214</f>
        <v>0</v>
      </c>
      <c r="N214">
        <f>0+D214+F214+G214+H214+I214+J214+K214+L214</f>
        <v>0</v>
      </c>
    </row>
    <row r="215" spans="3:14">
      <c r="C215" t="s">
        <v>26</v>
      </c>
      <c r="D215">
        <f>3.775*$D$202</f>
        <v>0</v>
      </c>
      <c r="E215">
        <f>99.898*$E$202</f>
        <v>0</v>
      </c>
      <c r="F215">
        <f>-104.891*$F$202</f>
        <v>0</v>
      </c>
      <c r="G215">
        <f>9.151*$G$202</f>
        <v>0</v>
      </c>
      <c r="H215">
        <f>0*$H$202</f>
        <v>0</v>
      </c>
      <c r="I215">
        <f>-0.111*$I$202</f>
        <v>0</v>
      </c>
      <c r="J215">
        <f>-43.427*$J$202</f>
        <v>0</v>
      </c>
      <c r="K215">
        <f>57.903*$K$202</f>
        <v>0</v>
      </c>
      <c r="L215">
        <f>-0.039*$L$202</f>
        <v>0</v>
      </c>
      <c r="M215">
        <f>0+D215+E215+G215+H215+I215+J215+K215+L215</f>
        <v>0</v>
      </c>
      <c r="N215">
        <f>0+D215+F215+G215+H215+I215+J215+K215+L215</f>
        <v>0</v>
      </c>
    </row>
    <row r="216" spans="3:14">
      <c r="C216" t="s">
        <v>27</v>
      </c>
      <c r="D216">
        <f>15.205*$D$202</f>
        <v>0</v>
      </c>
      <c r="E216">
        <f>109.469*$E$202</f>
        <v>0</v>
      </c>
      <c r="F216">
        <f>-91.827*$F$202</f>
        <v>0</v>
      </c>
      <c r="G216">
        <f>5.41*$G$202</f>
        <v>0</v>
      </c>
      <c r="H216">
        <f>0*$H$202</f>
        <v>0</v>
      </c>
      <c r="I216">
        <f>1.874*$I$202</f>
        <v>0</v>
      </c>
      <c r="J216">
        <f>-31.276*$J$202</f>
        <v>0</v>
      </c>
      <c r="K216">
        <f>41.701*$K$202</f>
        <v>0</v>
      </c>
      <c r="L216">
        <f>-0.038*$L$202</f>
        <v>0</v>
      </c>
      <c r="M216">
        <f>0+D216+E216+G216+H216+I216+J216+K216+L216</f>
        <v>0</v>
      </c>
      <c r="N216">
        <f>0+D216+F216+G216+H216+I216+J216+K216+L216</f>
        <v>0</v>
      </c>
    </row>
    <row r="217" spans="3:14">
      <c r="C217" t="s">
        <v>28</v>
      </c>
      <c r="D217">
        <f>24.085*$D$202</f>
        <v>0</v>
      </c>
      <c r="E217">
        <f>123.885*$E$202</f>
        <v>0</v>
      </c>
      <c r="F217">
        <f>-92.381*$F$202</f>
        <v>0</v>
      </c>
      <c r="G217">
        <f>1.874*$G$202</f>
        <v>0</v>
      </c>
      <c r="H217">
        <f>0*$H$202</f>
        <v>0</v>
      </c>
      <c r="I217">
        <f>3.459*$I$202</f>
        <v>0</v>
      </c>
      <c r="J217">
        <f>-3.268*$J$202</f>
        <v>0</v>
      </c>
      <c r="K217">
        <f>4.358*$K$202</f>
        <v>0</v>
      </c>
      <c r="L217">
        <f>-0.037*$L$202</f>
        <v>0</v>
      </c>
      <c r="M217">
        <f>0+D217+E217+G217+H217+I217+J217+K217+L217</f>
        <v>0</v>
      </c>
      <c r="N217">
        <f>0+D217+F217+G217+H217+I217+J217+K217+L217</f>
        <v>0</v>
      </c>
    </row>
    <row r="218" spans="3:14">
      <c r="C218" t="s">
        <v>29</v>
      </c>
      <c r="D218">
        <f>30.896*$D$202</f>
        <v>0</v>
      </c>
      <c r="E218">
        <f>144.191*$E$202</f>
        <v>0</v>
      </c>
      <c r="F218">
        <f>-97.277*$F$202</f>
        <v>0</v>
      </c>
      <c r="G218">
        <f>-1.604*$G$202</f>
        <v>0</v>
      </c>
      <c r="H218">
        <f>0*$H$202</f>
        <v>0</v>
      </c>
      <c r="I218">
        <f>4.744*$I$202</f>
        <v>0</v>
      </c>
      <c r="J218">
        <f>21.208*$J$202</f>
        <v>0</v>
      </c>
      <c r="K218">
        <f>-28.277*$K$202</f>
        <v>0</v>
      </c>
      <c r="L218">
        <f>-0.037*$L$202</f>
        <v>0</v>
      </c>
      <c r="M218">
        <f>0+D218+E218+G218+H218+I218+J218+K218+L218</f>
        <v>0</v>
      </c>
      <c r="N218">
        <f>0+D218+F218+G218+H218+I218+J218+K218+L218</f>
        <v>0</v>
      </c>
    </row>
    <row r="219" spans="3:14">
      <c r="C219" t="s">
        <v>30</v>
      </c>
      <c r="D219">
        <f>33.5*$D$202</f>
        <v>0</v>
      </c>
      <c r="E219">
        <f>174.801*$E$202</f>
        <v>0</v>
      </c>
      <c r="F219">
        <f>-112.872*$F$202</f>
        <v>0</v>
      </c>
      <c r="G219">
        <f>-5.997*$G$202</f>
        <v>0</v>
      </c>
      <c r="H219">
        <f>0*$H$202</f>
        <v>0</v>
      </c>
      <c r="I219">
        <f>5.525*$I$202</f>
        <v>0</v>
      </c>
      <c r="J219">
        <f>32.82*$J$202</f>
        <v>0</v>
      </c>
      <c r="K219">
        <f>-43.759*$K$202</f>
        <v>0</v>
      </c>
      <c r="L219">
        <f>-0.038*$L$202</f>
        <v>0</v>
      </c>
      <c r="M219">
        <f>0+D219+E219+G219+H219+I219+J219+K219+L219</f>
        <v>0</v>
      </c>
      <c r="N219">
        <f>0+D219+F219+G219+H219+I219+J219+K219+L219</f>
        <v>0</v>
      </c>
    </row>
    <row r="220" spans="3:14">
      <c r="C220" t="s">
        <v>31</v>
      </c>
      <c r="D220">
        <f>39.294*$D$202</f>
        <v>0</v>
      </c>
      <c r="E220">
        <f>141.368*$E$202</f>
        <v>0</v>
      </c>
      <c r="F220">
        <f>-111.513*$F$202</f>
        <v>0</v>
      </c>
      <c r="G220">
        <f>13.724*$G$202</f>
        <v>0</v>
      </c>
      <c r="H220">
        <f>0*$H$202</f>
        <v>0</v>
      </c>
      <c r="I220">
        <f>4.826*$I$202</f>
        <v>0</v>
      </c>
      <c r="J220">
        <f>-51.994*$J$202</f>
        <v>0</v>
      </c>
      <c r="K220">
        <f>69.326*$K$202</f>
        <v>0</v>
      </c>
      <c r="L220">
        <f>-0.038*$L$202</f>
        <v>0</v>
      </c>
      <c r="M220">
        <f>0+D220+E220+G220+H220+I220+J220+K220+L220</f>
        <v>0</v>
      </c>
      <c r="N220">
        <f>0+D220+F220+G220+H220+I220+J220+K220+L220</f>
        <v>0</v>
      </c>
    </row>
    <row r="221" spans="3:14">
      <c r="C221" t="s">
        <v>32</v>
      </c>
      <c r="D221">
        <f>32.935*$D$202</f>
        <v>0</v>
      </c>
      <c r="E221">
        <f>140.812*$E$202</f>
        <v>0</v>
      </c>
      <c r="F221">
        <f>-102.284*$F$202</f>
        <v>0</v>
      </c>
      <c r="G221">
        <f>9.08*$G$202</f>
        <v>0</v>
      </c>
      <c r="H221">
        <f>0*$H$202</f>
        <v>0</v>
      </c>
      <c r="I221">
        <f>4.29*$I$202</f>
        <v>0</v>
      </c>
      <c r="J221">
        <f>-20.601*$J$202</f>
        <v>0</v>
      </c>
      <c r="K221">
        <f>27.469*$K$202</f>
        <v>0</v>
      </c>
      <c r="L221">
        <f>-0.036*$L$202</f>
        <v>0</v>
      </c>
      <c r="M221">
        <f>0+D221+E221+G221+H221+I221+J221+K221+L221</f>
        <v>0</v>
      </c>
      <c r="N221">
        <f>0+D221+F221+G221+H221+I221+J221+K221+L221</f>
        <v>0</v>
      </c>
    </row>
    <row r="222" spans="3:14">
      <c r="C222" t="s">
        <v>33</v>
      </c>
      <c r="D222">
        <f>19.645*$D$202</f>
        <v>0</v>
      </c>
      <c r="E222">
        <f>136.432*$E$202</f>
        <v>0</v>
      </c>
      <c r="F222">
        <f>-103.472*$F$202</f>
        <v>0</v>
      </c>
      <c r="G222">
        <f>4.049*$G$202</f>
        <v>0</v>
      </c>
      <c r="H222">
        <f>0*$H$202</f>
        <v>0</v>
      </c>
      <c r="I222">
        <f>2.743*$I$202</f>
        <v>0</v>
      </c>
      <c r="J222">
        <f>35.253*$J$202</f>
        <v>0</v>
      </c>
      <c r="K222">
        <f>-47.003*$K$202</f>
        <v>0</v>
      </c>
      <c r="L222">
        <f>-0.035*$L$202</f>
        <v>0</v>
      </c>
      <c r="M222">
        <f>0+D222+E222+G222+H222+I222+J222+K222+L222</f>
        <v>0</v>
      </c>
      <c r="N222">
        <f>0+D222+F222+G222+H222+I222+J222+K222+L222</f>
        <v>0</v>
      </c>
    </row>
    <row r="223" spans="3:14">
      <c r="C223" t="s">
        <v>34</v>
      </c>
      <c r="D223">
        <f>-5.657*$D$202</f>
        <v>0</v>
      </c>
      <c r="E223">
        <f>115.2*$E$202</f>
        <v>0</v>
      </c>
      <c r="F223">
        <f>-112.233*$F$202</f>
        <v>0</v>
      </c>
      <c r="G223">
        <f>-1.933*$G$202</f>
        <v>0</v>
      </c>
      <c r="H223">
        <f>0*$H$202</f>
        <v>0</v>
      </c>
      <c r="I223">
        <f>-0.459*$I$202</f>
        <v>0</v>
      </c>
      <c r="J223">
        <f>105.601*$J$202</f>
        <v>0</v>
      </c>
      <c r="K223">
        <f>-140.801*$K$202</f>
        <v>0</v>
      </c>
      <c r="L223">
        <f>-0.038*$L$202</f>
        <v>0</v>
      </c>
      <c r="M223">
        <f>0+D223+E223+G223+H223+I223+J223+K223+L223</f>
        <v>0</v>
      </c>
      <c r="N223">
        <f>0+D223+F223+G223+H223+I223+J223+K223+L223</f>
        <v>0</v>
      </c>
    </row>
    <row r="224" spans="3:14">
      <c r="C224" t="s">
        <v>35</v>
      </c>
      <c r="D224">
        <f>-48.495*$D$202</f>
        <v>0</v>
      </c>
      <c r="E224">
        <f>83.355*$E$202</f>
        <v>0</v>
      </c>
      <c r="F224">
        <f>-120.044*$F$202</f>
        <v>0</v>
      </c>
      <c r="G224">
        <f>-8.21*$G$202</f>
        <v>0</v>
      </c>
      <c r="H224">
        <f>0*$H$202</f>
        <v>0</v>
      </c>
      <c r="I224">
        <f>-6.069*$I$202</f>
        <v>0</v>
      </c>
      <c r="J224">
        <f>182.177*$J$202</f>
        <v>0</v>
      </c>
      <c r="K224">
        <f>-242.903*$K$202</f>
        <v>0</v>
      </c>
      <c r="L224">
        <f>-0.051*$L$202</f>
        <v>0</v>
      </c>
      <c r="M224">
        <f>0+D224+E224+G224+H224+I224+J224+K224+L224</f>
        <v>0</v>
      </c>
      <c r="N224">
        <f>0+D224+F224+G224+H224+I224+J224+K224+L224</f>
        <v>0</v>
      </c>
    </row>
    <row r="225" spans="3:14">
      <c r="C225" t="s">
        <v>36</v>
      </c>
      <c r="D225">
        <f>14.619*$D$202</f>
        <v>0</v>
      </c>
      <c r="E225">
        <f>42.614*$E$202</f>
        <v>0</v>
      </c>
      <c r="F225">
        <f>-26.045*$F$202</f>
        <v>0</v>
      </c>
      <c r="G225">
        <f>1.264*$G$202</f>
        <v>0</v>
      </c>
      <c r="H225">
        <f>0*$H$202</f>
        <v>0</v>
      </c>
      <c r="I225">
        <f>1.947*$I$202</f>
        <v>0</v>
      </c>
      <c r="J225">
        <f>-16.855*$J$202</f>
        <v>0</v>
      </c>
      <c r="K225">
        <f>22.473*$K$202</f>
        <v>0</v>
      </c>
      <c r="L225">
        <f>0.005694*$L$202</f>
        <v>0</v>
      </c>
      <c r="M225">
        <f>0+D225+E225+G225+H225+I225+J225+K225+L225</f>
        <v>0</v>
      </c>
      <c r="N225">
        <f>0+D225+F225+G225+H225+I225+J225+K225+L225</f>
        <v>0</v>
      </c>
    </row>
    <row r="226" spans="3:14">
      <c r="C226" t="s">
        <v>36</v>
      </c>
      <c r="D226">
        <f>-14.263*$D$202</f>
        <v>0</v>
      </c>
      <c r="E226">
        <f>14.671*$E$202</f>
        <v>0</v>
      </c>
      <c r="F226">
        <f>-30.931*$F$202</f>
        <v>0</v>
      </c>
      <c r="G226">
        <f>-1.324*$G$202</f>
        <v>0</v>
      </c>
      <c r="H226">
        <f>0*$H$202</f>
        <v>0</v>
      </c>
      <c r="I226">
        <f>-1.893*$I$202</f>
        <v>0</v>
      </c>
      <c r="J226">
        <f>16.133*$J$202</f>
        <v>0</v>
      </c>
      <c r="K226">
        <f>-21.511*$K$202</f>
        <v>0</v>
      </c>
      <c r="L226">
        <f>0.108*$L$202</f>
        <v>0</v>
      </c>
      <c r="M226">
        <f>0+D226+E226+G226+H226+I226+J226+K226+L226</f>
        <v>0</v>
      </c>
      <c r="N226">
        <f>0+D226+F226+G226+H226+I226+J226+K226+L226</f>
        <v>0</v>
      </c>
    </row>
    <row r="227" spans="3:14">
      <c r="C227" t="s">
        <v>37</v>
      </c>
      <c r="D227">
        <f>-14.263*$D$202</f>
        <v>0</v>
      </c>
      <c r="E227">
        <f>14.671*$E$202</f>
        <v>0</v>
      </c>
      <c r="F227">
        <f>-30.931*$F$202</f>
        <v>0</v>
      </c>
      <c r="G227">
        <f>-1.324*$G$202</f>
        <v>0</v>
      </c>
      <c r="H227">
        <f>0*$H$202</f>
        <v>0</v>
      </c>
      <c r="I227">
        <f>-1.893*$I$202</f>
        <v>0</v>
      </c>
      <c r="J227">
        <f>16.133*$J$202</f>
        <v>0</v>
      </c>
      <c r="K227">
        <f>-21.511*$K$202</f>
        <v>0</v>
      </c>
      <c r="L227">
        <f>0.108*$L$202</f>
        <v>0</v>
      </c>
      <c r="M227">
        <f>0+D227+E227+G227+H227+I227+J227+K227+L227</f>
        <v>0</v>
      </c>
      <c r="N227">
        <f>0+D227+F227+G227+H227+I227+J227+K227+L227</f>
        <v>0</v>
      </c>
    </row>
    <row r="228" spans="3:14">
      <c r="C228" t="s">
        <v>38</v>
      </c>
      <c r="D228">
        <f>29.207*$D$202</f>
        <v>0</v>
      </c>
      <c r="E228">
        <f>49.233*$E$202</f>
        <v>0</v>
      </c>
      <c r="F228">
        <f>-22.363*$F$202</f>
        <v>0</v>
      </c>
      <c r="G228">
        <f>4.57*$G$202</f>
        <v>0</v>
      </c>
      <c r="H228">
        <f>0*$H$202</f>
        <v>0</v>
      </c>
      <c r="I228">
        <f>3.605*$I$202</f>
        <v>0</v>
      </c>
      <c r="J228">
        <f>-152.661*$J$202</f>
        <v>0</v>
      </c>
      <c r="K228">
        <f>203.548*$K$202</f>
        <v>0</v>
      </c>
      <c r="L228">
        <f>-0.527*$L$202</f>
        <v>0</v>
      </c>
      <c r="M228">
        <f>0+D228+E228+G228+H228+I228+J228+K228+L228</f>
        <v>0</v>
      </c>
      <c r="N228">
        <f>0+D228+F228+G228+H228+I228+J228+K228+L228</f>
        <v>0</v>
      </c>
    </row>
    <row r="229" spans="3:14">
      <c r="C229" t="s">
        <v>39</v>
      </c>
      <c r="D229">
        <f>-5.488*$D$202</f>
        <v>0</v>
      </c>
      <c r="E229">
        <f>21.743*$E$202</f>
        <v>0</v>
      </c>
      <c r="F229">
        <f>-36.175*$F$202</f>
        <v>0</v>
      </c>
      <c r="G229">
        <f>-1.745*$G$202</f>
        <v>0</v>
      </c>
      <c r="H229">
        <f>0*$H$202</f>
        <v>0</v>
      </c>
      <c r="I229">
        <f>-0.877*$I$202</f>
        <v>0</v>
      </c>
      <c r="J229">
        <f>-74.851*$J$202</f>
        <v>0</v>
      </c>
      <c r="K229">
        <f>99.801*$K$202</f>
        <v>0</v>
      </c>
      <c r="L229">
        <f>0.018*$L$202</f>
        <v>0</v>
      </c>
      <c r="M229">
        <f>0+D229+E229+G229+H229+I229+J229+K229+L229</f>
        <v>0</v>
      </c>
      <c r="N229">
        <f>0+D229+F229+G229+H229+I229+J229+K229+L229</f>
        <v>0</v>
      </c>
    </row>
    <row r="230" spans="3:14">
      <c r="C230" t="s">
        <v>40</v>
      </c>
      <c r="D230">
        <f>-23.396*$D$202</f>
        <v>0</v>
      </c>
      <c r="E230">
        <f>20.086*$E$202</f>
        <v>0</v>
      </c>
      <c r="F230">
        <f>-51.382*$F$202</f>
        <v>0</v>
      </c>
      <c r="G230">
        <f>-7.2*$G$202</f>
        <v>0</v>
      </c>
      <c r="H230">
        <f>0*$H$202</f>
        <v>0</v>
      </c>
      <c r="I230">
        <f>-3.063*$I$202</f>
        <v>0</v>
      </c>
      <c r="J230">
        <f>-9.705*$J$202</f>
        <v>0</v>
      </c>
      <c r="K230">
        <f>12.94*$K$202</f>
        <v>0</v>
      </c>
      <c r="L230">
        <f>0.389*$L$202</f>
        <v>0</v>
      </c>
      <c r="M230">
        <f>0+D230+E230+G230+H230+I230+J230+K230+L230</f>
        <v>0</v>
      </c>
      <c r="N230">
        <f>0+D230+F230+G230+H230+I230+J230+K230+L230</f>
        <v>0</v>
      </c>
    </row>
    <row r="231" spans="3:14">
      <c r="C231" t="s">
        <v>41</v>
      </c>
      <c r="D231">
        <f>-32.678*$D$202</f>
        <v>0</v>
      </c>
      <c r="E231">
        <f>34.991*$E$202</f>
        <v>0</v>
      </c>
      <c r="F231">
        <f>-66.19*$F$202</f>
        <v>0</v>
      </c>
      <c r="G231">
        <f>-11.566*$G$202</f>
        <v>0</v>
      </c>
      <c r="H231">
        <f>0*$H$202</f>
        <v>0</v>
      </c>
      <c r="I231">
        <f>-4.069*$I$202</f>
        <v>0</v>
      </c>
      <c r="J231">
        <f>35.368*$J$202</f>
        <v>0</v>
      </c>
      <c r="K231">
        <f>-47.157*$K$202</f>
        <v>0</v>
      </c>
      <c r="L231">
        <f>0.72*$L$202</f>
        <v>0</v>
      </c>
      <c r="M231">
        <f>0+D231+E231+G231+H231+I231+J231+K231+L231</f>
        <v>0</v>
      </c>
      <c r="N231">
        <f>0+D231+F231+G231+H231+I231+J231+K231+L231</f>
        <v>0</v>
      </c>
    </row>
    <row r="232" spans="3:14">
      <c r="C232" t="s">
        <v>42</v>
      </c>
      <c r="D232">
        <f>-36.735*$D$202</f>
        <v>0</v>
      </c>
      <c r="E232">
        <f>60.282*$E$202</f>
        <v>0</v>
      </c>
      <c r="F232">
        <f>-89.079*$F$202</f>
        <v>0</v>
      </c>
      <c r="G232">
        <f>-16.044*$G$202</f>
        <v>0</v>
      </c>
      <c r="H232">
        <f>0*$H$202</f>
        <v>0</v>
      </c>
      <c r="I232">
        <f>-4.264*$I$202</f>
        <v>0</v>
      </c>
      <c r="J232">
        <f>55.528*$J$202</f>
        <v>0</v>
      </c>
      <c r="K232">
        <f>-74.037*$K$202</f>
        <v>0</v>
      </c>
      <c r="L232">
        <f>1.07*$L$202</f>
        <v>0</v>
      </c>
      <c r="M232">
        <f>0+D232+E232+G232+H232+I232+J232+K232+L232</f>
        <v>0</v>
      </c>
      <c r="N232">
        <f>0+D232+F232+G232+H232+I232+J232+K232+L232</f>
        <v>0</v>
      </c>
    </row>
    <row r="233" spans="3:14">
      <c r="C233" t="s">
        <v>43</v>
      </c>
      <c r="D233">
        <f>-26.346*$D$202</f>
        <v>0</v>
      </c>
      <c r="E233">
        <f>28.881*$E$202</f>
        <v>0</v>
      </c>
      <c r="F233">
        <f>-71.85*$F$202</f>
        <v>0</v>
      </c>
      <c r="G233">
        <f>3.223*$G$202</f>
        <v>0</v>
      </c>
      <c r="H233">
        <f>0*$H$202</f>
        <v>0</v>
      </c>
      <c r="I233">
        <f>-4.262*$I$202</f>
        <v>0</v>
      </c>
      <c r="J233">
        <f>-36.502*$J$202</f>
        <v>0</v>
      </c>
      <c r="K233">
        <f>48.67*$K$202</f>
        <v>0</v>
      </c>
      <c r="L233">
        <f>0.749*$L$202</f>
        <v>0</v>
      </c>
      <c r="M233">
        <f>0+D233+E233+G233+H233+I233+J233+K233+L233</f>
        <v>0</v>
      </c>
      <c r="N233">
        <f>0+D233+F233+G233+H233+I233+J233+K233+L233</f>
        <v>0</v>
      </c>
    </row>
    <row r="234" spans="3:14">
      <c r="C234" t="s">
        <v>44</v>
      </c>
      <c r="D234">
        <f>-21.799*$D$202</f>
        <v>0</v>
      </c>
      <c r="E234">
        <f>14.512*$E$202</f>
        <v>0</v>
      </c>
      <c r="F234">
        <f>-46.226*$F$202</f>
        <v>0</v>
      </c>
      <c r="G234">
        <f>-0.731*$G$202</f>
        <v>0</v>
      </c>
      <c r="H234">
        <f>0*$H$202</f>
        <v>0</v>
      </c>
      <c r="I234">
        <f>-3.251*$I$202</f>
        <v>0</v>
      </c>
      <c r="J234">
        <f>-18.217*$J$202</f>
        <v>0</v>
      </c>
      <c r="K234">
        <f>24.289*$K$202</f>
        <v>0</v>
      </c>
      <c r="L234">
        <f>1.082*$L$202</f>
        <v>0</v>
      </c>
      <c r="M234">
        <f>0+D234+E234+G234+H234+I234+J234+K234+L234</f>
        <v>0</v>
      </c>
      <c r="N234">
        <f>0+D234+F234+G234+H234+I234+J234+K234+L234</f>
        <v>0</v>
      </c>
    </row>
    <row r="235" spans="3:14">
      <c r="C235" t="s">
        <v>45</v>
      </c>
      <c r="D235">
        <f>-14.071*$D$202</f>
        <v>0</v>
      </c>
      <c r="E235">
        <f>17.859*$E$202</f>
        <v>0</v>
      </c>
      <c r="F235">
        <f>-36.846*$F$202</f>
        <v>0</v>
      </c>
      <c r="G235">
        <f>-4.444*$G$202</f>
        <v>0</v>
      </c>
      <c r="H235">
        <f>0*$H$202</f>
        <v>0</v>
      </c>
      <c r="I235">
        <f>-1.822*$I$202</f>
        <v>0</v>
      </c>
      <c r="J235">
        <f>9.432*$J$202</f>
        <v>0</v>
      </c>
      <c r="K235">
        <f>-12.575*$K$202</f>
        <v>0</v>
      </c>
      <c r="L235">
        <f>1.302*$L$202</f>
        <v>0</v>
      </c>
      <c r="M235">
        <f>0+D235+E235+G235+H235+I235+J235+K235+L235</f>
        <v>0</v>
      </c>
      <c r="N235">
        <f>0+D235+F235+G235+H235+I235+J235+K235+L235</f>
        <v>0</v>
      </c>
    </row>
    <row r="236" spans="3:14">
      <c r="C236" t="s">
        <v>46</v>
      </c>
      <c r="D236">
        <f>-4.089*$D$202</f>
        <v>0</v>
      </c>
      <c r="E236">
        <f>41.507*$E$202</f>
        <v>0</v>
      </c>
      <c r="F236">
        <f>-41.668*$F$202</f>
        <v>0</v>
      </c>
      <c r="G236">
        <f>-8.073*$G$202</f>
        <v>0</v>
      </c>
      <c r="H236">
        <f>0*$H$202</f>
        <v>0</v>
      </c>
      <c r="I236">
        <f>-0.071*$I$202</f>
        <v>0</v>
      </c>
      <c r="J236">
        <f>28.337*$J$202</f>
        <v>0</v>
      </c>
      <c r="K236">
        <f>-37.783*$K$202</f>
        <v>0</v>
      </c>
      <c r="L236">
        <f>1.375*$L$202</f>
        <v>0</v>
      </c>
      <c r="M236">
        <f>0+D236+E236+G236+H236+I236+J236+K236+L236</f>
        <v>0</v>
      </c>
      <c r="N236">
        <f>0+D236+F236+G236+H236+I236+J236+K236+L236</f>
        <v>0</v>
      </c>
    </row>
    <row r="237" spans="3:14">
      <c r="C237" t="s">
        <v>47</v>
      </c>
      <c r="D237">
        <f>8.639*$D$202</f>
        <v>0</v>
      </c>
      <c r="E237">
        <f>87.442*$E$202</f>
        <v>0</v>
      </c>
      <c r="F237">
        <f>-67.061*$F$202</f>
        <v>0</v>
      </c>
      <c r="G237">
        <f>-12.757*$G$202</f>
        <v>0</v>
      </c>
      <c r="H237">
        <f>0*$H$202</f>
        <v>0</v>
      </c>
      <c r="I237">
        <f>2.185*$I$202</f>
        <v>0</v>
      </c>
      <c r="J237">
        <f>24.73*$J$202</f>
        <v>0</v>
      </c>
      <c r="K237">
        <f>-32.973*$K$202</f>
        <v>0</v>
      </c>
      <c r="L237">
        <f>1.131*$L$202</f>
        <v>0</v>
      </c>
      <c r="M237">
        <f>0+D237+E237+G237+H237+I237+J237+K237+L237</f>
        <v>0</v>
      </c>
      <c r="N237">
        <f>0+D237+F237+G237+H237+I237+J237+K237+L237</f>
        <v>0</v>
      </c>
    </row>
    <row r="238" spans="3:14">
      <c r="C238" t="s">
        <v>48</v>
      </c>
      <c r="D238">
        <f>-2.418*$D$202</f>
        <v>0</v>
      </c>
      <c r="E238">
        <f>48.348*$E$202</f>
        <v>0</v>
      </c>
      <c r="F238">
        <f>-60.785*$F$202</f>
        <v>0</v>
      </c>
      <c r="G238">
        <f>9.792*$G$202</f>
        <v>0</v>
      </c>
      <c r="H238">
        <f>0*$H$202</f>
        <v>0</v>
      </c>
      <c r="I238">
        <f>-1.051*$I$202</f>
        <v>0</v>
      </c>
      <c r="J238">
        <f>-32.769*$J$202</f>
        <v>0</v>
      </c>
      <c r="K238">
        <f>43.692*$K$202</f>
        <v>0</v>
      </c>
      <c r="L238">
        <f>1.837*$L$202</f>
        <v>0</v>
      </c>
      <c r="M238">
        <f>0+D238+E238+G238+H238+I238+J238+K238+L238</f>
        <v>0</v>
      </c>
      <c r="N238">
        <f>0+D238+F238+G238+H238+I238+J238+K238+L238</f>
        <v>0</v>
      </c>
    </row>
    <row r="239" spans="3:14">
      <c r="C239" t="s">
        <v>49</v>
      </c>
      <c r="D239">
        <f>9.494*$D$202</f>
        <v>0</v>
      </c>
      <c r="E239">
        <f>39.026*$E$202</f>
        <v>0</v>
      </c>
      <c r="F239">
        <f>-23.187*$F$202</f>
        <v>0</v>
      </c>
      <c r="G239">
        <f>5.608*$G$202</f>
        <v>0</v>
      </c>
      <c r="H239">
        <f>0*$H$202</f>
        <v>0</v>
      </c>
      <c r="I239">
        <f>1.036*$I$202</f>
        <v>0</v>
      </c>
      <c r="J239">
        <f>-25.15*$J$202</f>
        <v>0</v>
      </c>
      <c r="K239">
        <f>33.533*$K$202</f>
        <v>0</v>
      </c>
      <c r="L239">
        <f>1.218*$L$202</f>
        <v>0</v>
      </c>
      <c r="M239">
        <f>0+D239+E239+G239+H239+I239+J239+K239+L239</f>
        <v>0</v>
      </c>
      <c r="N239">
        <f>0+D239+F239+G239+H239+I239+J239+K239+L239</f>
        <v>0</v>
      </c>
    </row>
    <row r="240" spans="3:14">
      <c r="C240" t="s">
        <v>50</v>
      </c>
      <c r="D240">
        <f>19.372*$D$202</f>
        <v>0</v>
      </c>
      <c r="E240">
        <f>48.42*$E$202</f>
        <v>0</v>
      </c>
      <c r="F240">
        <f>-20.086*$F$202</f>
        <v>0</v>
      </c>
      <c r="G240">
        <f>1.852*$G$202</f>
        <v>0</v>
      </c>
      <c r="H240">
        <f>0*$H$202</f>
        <v>0</v>
      </c>
      <c r="I240">
        <f>2.78*$I$202</f>
        <v>0</v>
      </c>
      <c r="J240">
        <f>0.086*$J$202</f>
        <v>0</v>
      </c>
      <c r="K240">
        <f>-0.114*$K$202</f>
        <v>0</v>
      </c>
      <c r="L240">
        <f>0.408*$L$202</f>
        <v>0</v>
      </c>
      <c r="M240">
        <f>0+D240+E240+G240+H240+I240+J240+K240+L240</f>
        <v>0</v>
      </c>
      <c r="N240">
        <f>0+D240+F240+G240+H240+I240+J240+K240+L240</f>
        <v>0</v>
      </c>
    </row>
    <row r="241" spans="3:14">
      <c r="C241" t="s">
        <v>51</v>
      </c>
      <c r="D241">
        <f>27.711*$D$202</f>
        <v>0</v>
      </c>
      <c r="E241">
        <f>69.286*$E$202</f>
        <v>0</v>
      </c>
      <c r="F241">
        <f>-27.751*$F$202</f>
        <v>0</v>
      </c>
      <c r="G241">
        <f>-1.699*$G$202</f>
        <v>0</v>
      </c>
      <c r="H241">
        <f>0*$H$202</f>
        <v>0</v>
      </c>
      <c r="I241">
        <f>4.293*$I$202</f>
        <v>0</v>
      </c>
      <c r="J241">
        <f>22.757*$J$202</f>
        <v>0</v>
      </c>
      <c r="K241">
        <f>-30.343*$K$202</f>
        <v>0</v>
      </c>
      <c r="L241">
        <f>-0.687*$L$202</f>
        <v>0</v>
      </c>
      <c r="M241">
        <f>0+D241+E241+G241+H241+I241+J241+K241+L241</f>
        <v>0</v>
      </c>
      <c r="N241">
        <f>0+D241+F241+G241+H241+I241+J241+K241+L241</f>
        <v>0</v>
      </c>
    </row>
    <row r="242" spans="3:14">
      <c r="C242" t="s">
        <v>52</v>
      </c>
      <c r="D242">
        <f>32.97*$D$202</f>
        <v>0</v>
      </c>
      <c r="E242">
        <f>106.134*$E$202</f>
        <v>0</v>
      </c>
      <c r="F242">
        <f>-52.543*$F$202</f>
        <v>0</v>
      </c>
      <c r="G242">
        <f>-5.988*$G$202</f>
        <v>0</v>
      </c>
      <c r="H242">
        <f>0*$H$202</f>
        <v>0</v>
      </c>
      <c r="I242">
        <f>5.458*$I$202</f>
        <v>0</v>
      </c>
      <c r="J242">
        <f>33.315*$J$202</f>
        <v>0</v>
      </c>
      <c r="K242">
        <f>-44.42*$K$202</f>
        <v>0</v>
      </c>
      <c r="L242">
        <f>-2.845*$L$202</f>
        <v>0</v>
      </c>
      <c r="M242">
        <f>0+D242+E242+G242+H242+I242+J242+K242+L242</f>
        <v>0</v>
      </c>
      <c r="N242">
        <f>0+D242+F242+G242+H242+I242+J242+K242+L242</f>
        <v>0</v>
      </c>
    </row>
    <row r="243" spans="3:14">
      <c r="C243" t="s">
        <v>53</v>
      </c>
      <c r="D243">
        <f>33.642*$D$202</f>
        <v>0</v>
      </c>
      <c r="E243">
        <f>80.176*$E$202</f>
        <v>0</v>
      </c>
      <c r="F243">
        <f>-44.182*$F$202</f>
        <v>0</v>
      </c>
      <c r="G243">
        <f>13.299*$G$202</f>
        <v>0</v>
      </c>
      <c r="H243">
        <f>0*$H$202</f>
        <v>0</v>
      </c>
      <c r="I243">
        <f>4.028*$I$202</f>
        <v>0</v>
      </c>
      <c r="J243">
        <f>-51.283*$J$202</f>
        <v>0</v>
      </c>
      <c r="K243">
        <f>68.377*$K$202</f>
        <v>0</v>
      </c>
      <c r="L243">
        <f>2.37*$L$202</f>
        <v>0</v>
      </c>
      <c r="M243">
        <f>0+D243+E243+G243+H243+I243+J243+K243+L243</f>
        <v>0</v>
      </c>
      <c r="N243">
        <f>0+D243+F243+G243+H243+I243+J243+K243+L243</f>
        <v>0</v>
      </c>
    </row>
    <row r="244" spans="3:14">
      <c r="C244" t="s">
        <v>54</v>
      </c>
      <c r="D244">
        <f>30.595*$D$202</f>
        <v>0</v>
      </c>
      <c r="E244">
        <f>66.721*$E$202</f>
        <v>0</v>
      </c>
      <c r="F244">
        <f>-26.826*$F$202</f>
        <v>0</v>
      </c>
      <c r="G244">
        <f>8.929*$G$202</f>
        <v>0</v>
      </c>
      <c r="H244">
        <f>0*$H$202</f>
        <v>0</v>
      </c>
      <c r="I244">
        <f>3.962*$I$202</f>
        <v>0</v>
      </c>
      <c r="J244">
        <f>-19.986*$J$202</f>
        <v>0</v>
      </c>
      <c r="K244">
        <f>26.648*$K$202</f>
        <v>0</v>
      </c>
      <c r="L244">
        <f>-1.643*$L$202</f>
        <v>0</v>
      </c>
      <c r="M244">
        <f>0+D244+E244+G244+H244+I244+J244+K244+L244</f>
        <v>0</v>
      </c>
      <c r="N244">
        <f>0+D244+F244+G244+H244+I244+J244+K244+L244</f>
        <v>0</v>
      </c>
    </row>
    <row r="245" spans="3:14">
      <c r="C245" t="s">
        <v>55</v>
      </c>
      <c r="D245">
        <f>21.136*$D$202</f>
        <v>0</v>
      </c>
      <c r="E245">
        <f>59.998*$E$202</f>
        <v>0</v>
      </c>
      <c r="F245">
        <f>-26.71*$F$202</f>
        <v>0</v>
      </c>
      <c r="G245">
        <f>4.262*$G$202</f>
        <v>0</v>
      </c>
      <c r="H245">
        <f>0*$H$202</f>
        <v>0</v>
      </c>
      <c r="I245">
        <f>2.957*$I$202</f>
        <v>0</v>
      </c>
      <c r="J245">
        <f>36.08*$J$202</f>
        <v>0</v>
      </c>
      <c r="K245">
        <f>-48.107*$K$202</f>
        <v>0</v>
      </c>
      <c r="L245">
        <f>-6.54*$L$202</f>
        <v>0</v>
      </c>
      <c r="M245">
        <f>0+D245+E245+G245+H245+I245+J245+K245+L245</f>
        <v>0</v>
      </c>
      <c r="N245">
        <f>0+D245+F245+G245+H245+I245+J245+K245+L245</f>
        <v>0</v>
      </c>
    </row>
    <row r="246" spans="3:14">
      <c r="C246" t="s">
        <v>56</v>
      </c>
      <c r="D246">
        <f>1.264*$D$202</f>
        <v>0</v>
      </c>
      <c r="E246">
        <f>43.122*$E$202</f>
        <v>0</v>
      </c>
      <c r="F246">
        <f>-39.614*$F$202</f>
        <v>0</v>
      </c>
      <c r="G246">
        <f>-1.177*$G$202</f>
        <v>0</v>
      </c>
      <c r="H246">
        <f>0*$H$202</f>
        <v>0</v>
      </c>
      <c r="I246">
        <f>0.525*$I$202</f>
        <v>0</v>
      </c>
      <c r="J246">
        <f>106.797*$J$202</f>
        <v>0</v>
      </c>
      <c r="K246">
        <f>-142.397*$K$202</f>
        <v>0</v>
      </c>
      <c r="L246">
        <f>-11.227*$L$202</f>
        <v>0</v>
      </c>
      <c r="M246">
        <f>0+D246+E246+G246+H246+I246+J246+K246+L246</f>
        <v>0</v>
      </c>
      <c r="N246">
        <f>0+D246+F246+G246+H246+I246+J246+K246+L246</f>
        <v>0</v>
      </c>
    </row>
    <row r="247" spans="3:14">
      <c r="C247" t="s">
        <v>57</v>
      </c>
      <c r="D247">
        <f>-33.27*$D$202</f>
        <v>0</v>
      </c>
      <c r="E247">
        <f>33.452*$E$202</f>
        <v>0</v>
      </c>
      <c r="F247">
        <f>-75.68*$F$202</f>
        <v>0</v>
      </c>
      <c r="G247">
        <f>-6.628*$G$202</f>
        <v>0</v>
      </c>
      <c r="H247">
        <f>0*$H$202</f>
        <v>0</v>
      </c>
      <c r="I247">
        <f>-3.904*$I$202</f>
        <v>0</v>
      </c>
      <c r="J247">
        <f>183.605*$J$202</f>
        <v>0</v>
      </c>
      <c r="K247">
        <f>-244.807*$K$202</f>
        <v>0</v>
      </c>
      <c r="L247">
        <f>-13.503*$L$202</f>
        <v>0</v>
      </c>
      <c r="M247">
        <f>0+D247+E247+G247+H247+I247+J247+K247+L247</f>
        <v>0</v>
      </c>
      <c r="N247">
        <f>0+D247+F247+G247+H247+I247+J247+K247+L247</f>
        <v>0</v>
      </c>
    </row>
    <row r="248" spans="3:14">
      <c r="C248" t="s">
        <v>58</v>
      </c>
      <c r="D248">
        <f>11.75*$D$202</f>
        <v>0</v>
      </c>
      <c r="E248">
        <f>35.481*$E$202</f>
        <v>0</v>
      </c>
      <c r="F248">
        <f>-18.895*$F$202</f>
        <v>0</v>
      </c>
      <c r="G248">
        <f>0.987*$G$202</f>
        <v>0</v>
      </c>
      <c r="H248">
        <f>0*$H$202</f>
        <v>0</v>
      </c>
      <c r="I248">
        <f>1.538*$I$202</f>
        <v>0</v>
      </c>
      <c r="J248">
        <f>-16.799*$J$202</f>
        <v>0</v>
      </c>
      <c r="K248">
        <f>22.399*$K$202</f>
        <v>0</v>
      </c>
      <c r="L248">
        <f>-0.802*$L$202</f>
        <v>0</v>
      </c>
      <c r="M248">
        <f>0+D248+E248+G248+H248+I248+J248+K248+L248</f>
        <v>0</v>
      </c>
      <c r="N248">
        <f>0+D248+F248+G248+H248+I248+J248+K248+L248</f>
        <v>0</v>
      </c>
    </row>
    <row r="249" spans="3:14">
      <c r="C249" t="s">
        <v>58</v>
      </c>
      <c r="D249">
        <f>-9.42*$D$202</f>
        <v>0</v>
      </c>
      <c r="E249">
        <f>13.101*$E$202</f>
        <v>0</v>
      </c>
      <c r="F249">
        <f>-25.93*$F$202</f>
        <v>0</v>
      </c>
      <c r="G249">
        <f>-0.966*$G$202</f>
        <v>0</v>
      </c>
      <c r="H249">
        <f>0*$H$202</f>
        <v>0</v>
      </c>
      <c r="I249">
        <f>-1.186*$I$202</f>
        <v>0</v>
      </c>
      <c r="J249">
        <f>11.679*$J$202</f>
        <v>0</v>
      </c>
      <c r="K249">
        <f>-15.572*$K$202</f>
        <v>0</v>
      </c>
      <c r="L249">
        <f>9.026*$L$202</f>
        <v>0</v>
      </c>
      <c r="M249">
        <f>0+D249+E249+G249+H249+I249+J249+K249+L249</f>
        <v>0</v>
      </c>
      <c r="N249">
        <f>0+D249+F249+G249+H249+I249+J249+K249+L249</f>
        <v>0</v>
      </c>
    </row>
    <row r="250" spans="3:14">
      <c r="C250" t="s">
        <v>59</v>
      </c>
      <c r="D250">
        <f>-9.42*$D$202</f>
        <v>0</v>
      </c>
      <c r="E250">
        <f>13.101*$E$202</f>
        <v>0</v>
      </c>
      <c r="F250">
        <f>-25.93*$F$202</f>
        <v>0</v>
      </c>
      <c r="G250">
        <f>-0.966*$G$202</f>
        <v>0</v>
      </c>
      <c r="H250">
        <f>0*$H$202</f>
        <v>0</v>
      </c>
      <c r="I250">
        <f>-1.186*$I$202</f>
        <v>0</v>
      </c>
      <c r="J250">
        <f>11.679*$J$202</f>
        <v>0</v>
      </c>
      <c r="K250">
        <f>-15.572*$K$202</f>
        <v>0</v>
      </c>
      <c r="L250">
        <f>9.026*$L$202</f>
        <v>0</v>
      </c>
      <c r="M250">
        <f>0+D250+E250+G250+H250+I250+J250+K250+L250</f>
        <v>0</v>
      </c>
      <c r="N250">
        <f>0+D250+F250+G250+H250+I250+J250+K250+L250</f>
        <v>0</v>
      </c>
    </row>
    <row r="251" spans="3:14">
      <c r="C251" t="s">
        <v>60</v>
      </c>
      <c r="D251">
        <f>31.201*$D$202</f>
        <v>0</v>
      </c>
      <c r="E251">
        <f>49.132*$E$202</f>
        <v>0</v>
      </c>
      <c r="F251">
        <f>-18.351*$F$202</f>
        <v>0</v>
      </c>
      <c r="G251">
        <f>4.093*$G$202</f>
        <v>0</v>
      </c>
      <c r="H251">
        <f>0*$H$202</f>
        <v>0</v>
      </c>
      <c r="I251">
        <f>3.974*$I$202</f>
        <v>0</v>
      </c>
      <c r="J251">
        <f>-175.558*$J$202</f>
        <v>0</v>
      </c>
      <c r="K251">
        <f>234.077*$K$202</f>
        <v>0</v>
      </c>
      <c r="L251">
        <f>21.196*$L$202</f>
        <v>0</v>
      </c>
      <c r="M251">
        <f>0+D251+E251+G251+H251+I251+J251+K251+L251</f>
        <v>0</v>
      </c>
      <c r="N251">
        <f>0+D251+F251+G251+H251+I251+J251+K251+L251</f>
        <v>0</v>
      </c>
    </row>
    <row r="252" spans="3:14">
      <c r="C252" t="s">
        <v>61</v>
      </c>
      <c r="D252">
        <f>10.538*$D$202</f>
        <v>0</v>
      </c>
      <c r="E252">
        <f>26.991*$E$202</f>
        <v>0</v>
      </c>
      <c r="F252">
        <f>-17.585*$F$202</f>
        <v>0</v>
      </c>
      <c r="G252">
        <f>-0.798*$G$202</f>
        <v>0</v>
      </c>
      <c r="H252">
        <f>0*$H$202</f>
        <v>0</v>
      </c>
      <c r="I252">
        <f>1.508*$I$202</f>
        <v>0</v>
      </c>
      <c r="J252">
        <f>-104.356*$J$202</f>
        <v>0</v>
      </c>
      <c r="K252">
        <f>139.141*$K$202</f>
        <v>0</v>
      </c>
      <c r="L252">
        <f>6.844*$L$202</f>
        <v>0</v>
      </c>
      <c r="M252">
        <f>0+D252+E252+G252+H252+I252+J252+K252+L252</f>
        <v>0</v>
      </c>
      <c r="N252">
        <f>0+D252+F252+G252+H252+I252+J252+K252+L252</f>
        <v>0</v>
      </c>
    </row>
    <row r="253" spans="3:14">
      <c r="C253" t="s">
        <v>62</v>
      </c>
      <c r="D253">
        <f>0.749*$D$202</f>
        <v>0</v>
      </c>
      <c r="E253">
        <f>29.486*$E$202</f>
        <v>0</v>
      </c>
      <c r="F253">
        <f>-26.361*$F$202</f>
        <v>0</v>
      </c>
      <c r="G253">
        <f>-4.671*$G$202</f>
        <v>0</v>
      </c>
      <c r="H253">
        <f>0*$H$202</f>
        <v>0</v>
      </c>
      <c r="I253">
        <f>0.446*$I$202</f>
        <v>0</v>
      </c>
      <c r="J253">
        <f>-37.772*$J$202</f>
        <v>0</v>
      </c>
      <c r="K253">
        <f>50.362*$K$202</f>
        <v>0</v>
      </c>
      <c r="L253">
        <f>-12.346*$L$202</f>
        <v>0</v>
      </c>
      <c r="M253">
        <f>0+D253+E253+G253+H253+I253+J253+K253+L253</f>
        <v>0</v>
      </c>
      <c r="N253">
        <f>0+D253+F253+G253+H253+I253+J253+K253+L253</f>
        <v>0</v>
      </c>
    </row>
    <row r="254" spans="3:14">
      <c r="C254" t="s">
        <v>63</v>
      </c>
      <c r="D254">
        <f>-4.853*$D$202</f>
        <v>0</v>
      </c>
      <c r="E254">
        <f>40.557*$E$202</f>
        <v>0</v>
      </c>
      <c r="F254">
        <f>-37.937*$F$202</f>
        <v>0</v>
      </c>
      <c r="G254">
        <f>-7.187*$G$202</f>
        <v>0</v>
      </c>
      <c r="H254">
        <f>0*$H$202</f>
        <v>0</v>
      </c>
      <c r="I254">
        <f>-0.117*$I$202</f>
        <v>0</v>
      </c>
      <c r="J254">
        <f>16.72*$J$202</f>
        <v>0</v>
      </c>
      <c r="K254">
        <f>-22.293*$K$202</f>
        <v>0</v>
      </c>
      <c r="L254">
        <f>-32.44*$L$202</f>
        <v>0</v>
      </c>
      <c r="M254">
        <f>0+D254+E254+G254+H254+I254+J254+K254+L254</f>
        <v>0</v>
      </c>
      <c r="N254">
        <f>0+D254+F254+G254+H254+I254+J254+K254+L254</f>
        <v>0</v>
      </c>
    </row>
    <row r="255" spans="3:14">
      <c r="C255" t="s">
        <v>64</v>
      </c>
      <c r="D255">
        <f>-8.756*$D$202</f>
        <v>0</v>
      </c>
      <c r="E255">
        <f>70.549*$E$202</f>
        <v>0</v>
      </c>
      <c r="F255">
        <f>-63.177*$F$202</f>
        <v>0</v>
      </c>
      <c r="G255">
        <f>-9.084*$G$202</f>
        <v>0</v>
      </c>
      <c r="H255">
        <f>0*$H$202</f>
        <v>0</v>
      </c>
      <c r="I255">
        <f>-0.443*$I$202</f>
        <v>0</v>
      </c>
      <c r="J255">
        <f>59.661*$J$202</f>
        <v>0</v>
      </c>
      <c r="K255">
        <f>-79.548*$K$202</f>
        <v>0</v>
      </c>
      <c r="L255">
        <f>-56.961*$L$202</f>
        <v>0</v>
      </c>
      <c r="M255">
        <f>0+D255+E255+G255+H255+I255+J255+K255+L255</f>
        <v>0</v>
      </c>
      <c r="N255">
        <f>0+D255+F255+G255+H255+I255+J255+K255+L255</f>
        <v>0</v>
      </c>
    </row>
    <row r="256" spans="3:14">
      <c r="C256" t="s">
        <v>65</v>
      </c>
      <c r="D256">
        <f>-0.687*$D$202</f>
        <v>0</v>
      </c>
      <c r="E256">
        <f>35.702*$E$202</f>
        <v>0</v>
      </c>
      <c r="F256">
        <f>-43.11*$F$202</f>
        <v>0</v>
      </c>
      <c r="G256">
        <f>4.915*$G$202</f>
        <v>0</v>
      </c>
      <c r="H256">
        <f>0*$H$202</f>
        <v>0</v>
      </c>
      <c r="I256">
        <f>-0.478*$I$202</f>
        <v>0</v>
      </c>
      <c r="J256">
        <f>-84.159*$J$202</f>
        <v>0</v>
      </c>
      <c r="K256">
        <f>112.212*$K$202</f>
        <v>0</v>
      </c>
      <c r="L256">
        <f>18.275*$L$202</f>
        <v>0</v>
      </c>
      <c r="M256">
        <f>0+D256+E256+G256+H256+I256+J256+K256+L256</f>
        <v>0</v>
      </c>
      <c r="N256">
        <f>0+D256+F256+G256+H256+I256+J256+K256+L256</f>
        <v>0</v>
      </c>
    </row>
    <row r="257" spans="3:14">
      <c r="C257" t="s">
        <v>66</v>
      </c>
      <c r="D257">
        <f>-1.333*$D$202</f>
        <v>0</v>
      </c>
      <c r="E257">
        <f>27.343*$E$202</f>
        <v>0</v>
      </c>
      <c r="F257">
        <f>-29.733*$F$202</f>
        <v>0</v>
      </c>
      <c r="G257">
        <f>3.477*$G$202</f>
        <v>0</v>
      </c>
      <c r="H257">
        <f>0*$H$202</f>
        <v>0</v>
      </c>
      <c r="I257">
        <f>-0.418*$I$202</f>
        <v>0</v>
      </c>
      <c r="J257">
        <f>-19.912*$J$202</f>
        <v>0</v>
      </c>
      <c r="K257">
        <f>26.55*$K$202</f>
        <v>0</v>
      </c>
      <c r="L257">
        <f>-2.477*$L$202</f>
        <v>0</v>
      </c>
      <c r="M257">
        <f>0+D257+E257+G257+H257+I257+J257+K257+L257</f>
        <v>0</v>
      </c>
      <c r="N257">
        <f>0+D257+F257+G257+H257+I257+J257+K257+L257</f>
        <v>0</v>
      </c>
    </row>
    <row r="258" spans="3:14">
      <c r="C258" t="s">
        <v>67</v>
      </c>
      <c r="D258">
        <f>-0.788*$D$202</f>
        <v>0</v>
      </c>
      <c r="E258">
        <f>30.288*$E$202</f>
        <v>0</v>
      </c>
      <c r="F258">
        <f>-29.283*$F$202</f>
        <v>0</v>
      </c>
      <c r="G258">
        <f>1.652*$G$202</f>
        <v>0</v>
      </c>
      <c r="H258">
        <f>0*$H$202</f>
        <v>0</v>
      </c>
      <c r="I258">
        <f>-0.214*$I$202</f>
        <v>0</v>
      </c>
      <c r="J258">
        <f>69.242*$J$202</f>
        <v>0</v>
      </c>
      <c r="K258">
        <f>-92.322*$K$202</f>
        <v>0</v>
      </c>
      <c r="L258">
        <f>-19.529*$L$202</f>
        <v>0</v>
      </c>
      <c r="M258">
        <f>0+D258+E258+G258+H258+I258+J258+K258+L258</f>
        <v>0</v>
      </c>
      <c r="N258">
        <f>0+D258+F258+G258+H258+I258+J258+K258+L258</f>
        <v>0</v>
      </c>
    </row>
    <row r="259" spans="3:14">
      <c r="C259" t="s">
        <v>68</v>
      </c>
      <c r="D259">
        <f>-0.494*$D$202</f>
        <v>0</v>
      </c>
      <c r="E259">
        <f>30.795*$E$202</f>
        <v>0</v>
      </c>
      <c r="F259">
        <f>-29.295*$F$202</f>
        <v>0</v>
      </c>
      <c r="G259">
        <f>-0.041*$G$202</f>
        <v>0</v>
      </c>
      <c r="H259">
        <f>0*$H$202</f>
        <v>0</v>
      </c>
      <c r="I259">
        <f>-0.048*$I$202</f>
        <v>0</v>
      </c>
      <c r="J259">
        <f>171.268*$J$202</f>
        <v>0</v>
      </c>
      <c r="K259">
        <f>-228.357*$K$202</f>
        <v>0</v>
      </c>
      <c r="L259">
        <f>-35.612*$L$202</f>
        <v>0</v>
      </c>
      <c r="M259">
        <f>0+D259+E259+G259+H259+I259+J259+K259+L259</f>
        <v>0</v>
      </c>
      <c r="N259">
        <f>0+D259+F259+G259+H259+I259+J259+K259+L259</f>
        <v>0</v>
      </c>
    </row>
    <row r="260" spans="3:14">
      <c r="C260" t="s">
        <v>69</v>
      </c>
      <c r="D260">
        <f>-1.408*$D$202</f>
        <v>0</v>
      </c>
      <c r="E260">
        <f>37.53*$E$202</f>
        <v>0</v>
      </c>
      <c r="F260">
        <f>-46.772*$F$202</f>
        <v>0</v>
      </c>
      <c r="G260">
        <f>1.633*$G$202</f>
        <v>0</v>
      </c>
      <c r="H260">
        <f>0*$H$202</f>
        <v>0</v>
      </c>
      <c r="I260">
        <f>-0.145*$I$202</f>
        <v>0</v>
      </c>
      <c r="J260">
        <f>292.194*$J$202</f>
        <v>0</v>
      </c>
      <c r="K260">
        <f>-389.592*$K$202</f>
        <v>0</v>
      </c>
      <c r="L260">
        <f>-21.465*$L$202</f>
        <v>0</v>
      </c>
      <c r="M260">
        <f>0+D260+E260+G260+H260+I260+J260+K260+L260</f>
        <v>0</v>
      </c>
      <c r="N260">
        <f>0+D260+F260+G260+H260+I260+J260+K260+L260</f>
        <v>0</v>
      </c>
    </row>
    <row r="265" spans="3:14">
      <c r="C265" t="s">
        <v>73</v>
      </c>
    </row>
    <row r="267" spans="3:14">
      <c r="C267" t="s">
        <v>2</v>
      </c>
    </row>
    <row r="268" spans="3:14">
      <c r="C268" t="s">
        <v>3</v>
      </c>
      <c r="D268" t="s">
        <v>4</v>
      </c>
      <c r="E268" t="s">
        <v>5</v>
      </c>
      <c r="F268" t="s">
        <v>6</v>
      </c>
      <c r="G268" t="s">
        <v>7</v>
      </c>
      <c r="H268" t="s">
        <v>8</v>
      </c>
      <c r="I268" t="s">
        <v>9</v>
      </c>
      <c r="J268" t="s">
        <v>10</v>
      </c>
      <c r="K268" t="s">
        <v>11</v>
      </c>
      <c r="L268" t="s">
        <v>12</v>
      </c>
      <c r="M268" t="s">
        <v>13</v>
      </c>
      <c r="N268" t="s">
        <v>14</v>
      </c>
    </row>
    <row r="269" spans="3:14">
      <c r="C269" t="s">
        <v>76</v>
      </c>
      <c r="D269">
        <f>-55.31*$D$267</f>
        <v>0</v>
      </c>
      <c r="E269">
        <f>161.125*$E$267</f>
        <v>0</v>
      </c>
      <c r="F269">
        <f>-256.52*$F$267</f>
        <v>0</v>
      </c>
      <c r="G269">
        <f>21.038*$G$267</f>
        <v>0</v>
      </c>
      <c r="H269">
        <f>0*$H$267</f>
        <v>0</v>
      </c>
      <c r="I269">
        <f>-9.754*$I$267</f>
        <v>0</v>
      </c>
      <c r="J269">
        <f>80.333*$J$267</f>
        <v>0</v>
      </c>
      <c r="K269">
        <f>-107.11*$K$267</f>
        <v>0</v>
      </c>
      <c r="L269">
        <f>-0.057*$L$267</f>
        <v>0</v>
      </c>
      <c r="M269">
        <f>0+D269+E269+G269+H269+I269+J269+K269+L269</f>
        <v>0</v>
      </c>
      <c r="N269">
        <f>0+D269+F269+G269+H269+I269+J269+K269+L269</f>
        <v>0</v>
      </c>
    </row>
    <row r="270" spans="3:14">
      <c r="C270" t="s">
        <v>16</v>
      </c>
      <c r="D270">
        <f>-57.521*$D$267</f>
        <v>0</v>
      </c>
      <c r="E270">
        <f>158.766*$E$267</f>
        <v>0</v>
      </c>
      <c r="F270">
        <f>-256.453*$F$267</f>
        <v>0</v>
      </c>
      <c r="G270">
        <f>19.898*$G$267</f>
        <v>0</v>
      </c>
      <c r="H270">
        <f>0*$H$267</f>
        <v>0</v>
      </c>
      <c r="I270">
        <f>-9.999*$I$267</f>
        <v>0</v>
      </c>
      <c r="J270">
        <f>27.288*$J$267</f>
        <v>0</v>
      </c>
      <c r="K270">
        <f>-36.384*$K$267</f>
        <v>0</v>
      </c>
      <c r="L270">
        <f>-0.057*$L$267</f>
        <v>0</v>
      </c>
      <c r="M270">
        <f>0+D270+E270+G270+H270+I270+J270+K270+L270</f>
        <v>0</v>
      </c>
      <c r="N270">
        <f>0+D270+F270+G270+H270+I270+J270+K270+L270</f>
        <v>0</v>
      </c>
    </row>
    <row r="271" spans="3:14">
      <c r="C271" t="s">
        <v>17</v>
      </c>
      <c r="D271">
        <f>-101.048*$D$267</f>
        <v>0</v>
      </c>
      <c r="E271">
        <f>129.296*$E$267</f>
        <v>0</v>
      </c>
      <c r="F271">
        <f>-291.168*$F$267</f>
        <v>0</v>
      </c>
      <c r="G271">
        <f>12.38*$G$267</f>
        <v>0</v>
      </c>
      <c r="H271">
        <f>0*$H$267</f>
        <v>0</v>
      </c>
      <c r="I271">
        <f>-16.005*$I$267</f>
        <v>0</v>
      </c>
      <c r="J271">
        <f>-119.507*$J$267</f>
        <v>0</v>
      </c>
      <c r="K271">
        <f>159.342*$K$267</f>
        <v>0</v>
      </c>
      <c r="L271">
        <f>-0.055*$L$267</f>
        <v>0</v>
      </c>
      <c r="M271">
        <f>0+D271+E271+G271+H271+I271+J271+K271+L271</f>
        <v>0</v>
      </c>
      <c r="N271">
        <f>0+D271+F271+G271+H271+I271+J271+K271+L271</f>
        <v>0</v>
      </c>
    </row>
    <row r="272" spans="3:14">
      <c r="C272" t="s">
        <v>18</v>
      </c>
      <c r="D272">
        <f>-150.373*$D$267</f>
        <v>0</v>
      </c>
      <c r="E272">
        <f>104.246*$E$267</f>
        <v>0</v>
      </c>
      <c r="F272">
        <f>-330.836*$F$267</f>
        <v>0</v>
      </c>
      <c r="G272">
        <f>2.134*$G$267</f>
        <v>0</v>
      </c>
      <c r="H272">
        <f>0*$H$267</f>
        <v>0</v>
      </c>
      <c r="I272">
        <f>-22.704*$I$267</f>
        <v>0</v>
      </c>
      <c r="J272">
        <f>-185.929*$J$267</f>
        <v>0</v>
      </c>
      <c r="K272">
        <f>247.906*$K$267</f>
        <v>0</v>
      </c>
      <c r="L272">
        <f>-0.054*$L$267</f>
        <v>0</v>
      </c>
      <c r="M272">
        <f>0+D272+E272+G272+H272+I272+J272+K272+L272</f>
        <v>0</v>
      </c>
      <c r="N272">
        <f>0+D272+F272+G272+H272+I272+J272+K272+L272</f>
        <v>0</v>
      </c>
    </row>
    <row r="273" spans="3:14">
      <c r="C273" t="s">
        <v>19</v>
      </c>
      <c r="D273">
        <f>-207.825*$D$267</f>
        <v>0</v>
      </c>
      <c r="E273">
        <f>76.54*$E$267</f>
        <v>0</v>
      </c>
      <c r="F273">
        <f>-376.037*$F$267</f>
        <v>0</v>
      </c>
      <c r="G273">
        <f>-10.901*$G$267</f>
        <v>0</v>
      </c>
      <c r="H273">
        <f>0*$H$267</f>
        <v>0</v>
      </c>
      <c r="I273">
        <f>-30.39*$I$267</f>
        <v>0</v>
      </c>
      <c r="J273">
        <f>-182.148*$J$267</f>
        <v>0</v>
      </c>
      <c r="K273">
        <f>242.864*$K$267</f>
        <v>0</v>
      </c>
      <c r="L273">
        <f>-0.053*$L$267</f>
        <v>0</v>
      </c>
      <c r="M273">
        <f>0+D273+E273+G273+H273+I273+J273+K273+L273</f>
        <v>0</v>
      </c>
      <c r="N273">
        <f>0+D273+F273+G273+H273+I273+J273+K273+L273</f>
        <v>0</v>
      </c>
    </row>
    <row r="274" spans="3:14">
      <c r="C274" t="s">
        <v>20</v>
      </c>
      <c r="D274">
        <f>-263.845*$D$267</f>
        <v>0</v>
      </c>
      <c r="E274">
        <f>52.419*$E$267</f>
        <v>0</v>
      </c>
      <c r="F274">
        <f>-418.316*$F$267</f>
        <v>0</v>
      </c>
      <c r="G274">
        <f>-23.451*$G$267</f>
        <v>0</v>
      </c>
      <c r="H274">
        <f>0*$H$267</f>
        <v>0</v>
      </c>
      <c r="I274">
        <f>-37.851*$I$267</f>
        <v>0</v>
      </c>
      <c r="J274">
        <f>-166.606*$J$267</f>
        <v>0</v>
      </c>
      <c r="K274">
        <f>222.142*$K$267</f>
        <v>0</v>
      </c>
      <c r="L274">
        <f>-0.052*$L$267</f>
        <v>0</v>
      </c>
      <c r="M274">
        <f>0+D274+E274+G274+H274+I274+J274+K274+L274</f>
        <v>0</v>
      </c>
      <c r="N274">
        <f>0+D274+F274+G274+H274+I274+J274+K274+L274</f>
        <v>0</v>
      </c>
    </row>
    <row r="275" spans="3:14">
      <c r="C275" t="s">
        <v>21</v>
      </c>
      <c r="D275">
        <f>-297.528*$D$267</f>
        <v>0</v>
      </c>
      <c r="E275">
        <f>41.636*$E$267</f>
        <v>0</v>
      </c>
      <c r="F275">
        <f>-449.922*$F$267</f>
        <v>0</v>
      </c>
      <c r="G275">
        <f>-28.859*$G$267</f>
        <v>0</v>
      </c>
      <c r="H275">
        <f>0*$H$267</f>
        <v>0</v>
      </c>
      <c r="I275">
        <f>-42.568*$I$267</f>
        <v>0</v>
      </c>
      <c r="J275">
        <f>-184.126*$J$267</f>
        <v>0</v>
      </c>
      <c r="K275">
        <f>245.501*$K$267</f>
        <v>0</v>
      </c>
      <c r="L275">
        <f>-0.05*$L$267</f>
        <v>0</v>
      </c>
      <c r="M275">
        <f>0+D275+E275+G275+H275+I275+J275+K275+L275</f>
        <v>0</v>
      </c>
      <c r="N275">
        <f>0+D275+F275+G275+H275+I275+J275+K275+L275</f>
        <v>0</v>
      </c>
    </row>
    <row r="276" spans="3:14">
      <c r="C276" t="s">
        <v>22</v>
      </c>
      <c r="D276">
        <f>-329.731*$D$267</f>
        <v>0</v>
      </c>
      <c r="E276">
        <f>35.374*$E$267</f>
        <v>0</v>
      </c>
      <c r="F276">
        <f>-488.93*$F$267</f>
        <v>0</v>
      </c>
      <c r="G276">
        <f>-31.631*$G$267</f>
        <v>0</v>
      </c>
      <c r="H276">
        <f>0*$H$267</f>
        <v>0</v>
      </c>
      <c r="I276">
        <f>-47.263*$I$267</f>
        <v>0</v>
      </c>
      <c r="J276">
        <f>-232.218*$J$267</f>
        <v>0</v>
      </c>
      <c r="K276">
        <f>309.624*$K$267</f>
        <v>0</v>
      </c>
      <c r="L276">
        <f>-0.049*$L$267</f>
        <v>0</v>
      </c>
      <c r="M276">
        <f>0+D276+E276+G276+H276+I276+J276+K276+L276</f>
        <v>0</v>
      </c>
      <c r="N276">
        <f>0+D276+F276+G276+H276+I276+J276+K276+L276</f>
        <v>0</v>
      </c>
    </row>
    <row r="277" spans="3:14">
      <c r="C277" t="s">
        <v>23</v>
      </c>
      <c r="D277">
        <f>-356.737*$D$267</f>
        <v>0</v>
      </c>
      <c r="E277">
        <f>31.081*$E$267</f>
        <v>0</v>
      </c>
      <c r="F277">
        <f>-517.472*$F$267</f>
        <v>0</v>
      </c>
      <c r="G277">
        <f>-36.015*$G$267</f>
        <v>0</v>
      </c>
      <c r="H277">
        <f>0*$H$267</f>
        <v>0</v>
      </c>
      <c r="I277">
        <f>-51.074*$I$267</f>
        <v>0</v>
      </c>
      <c r="J277">
        <f>-251.656*$J$267</f>
        <v>0</v>
      </c>
      <c r="K277">
        <f>335.541*$K$267</f>
        <v>0</v>
      </c>
      <c r="L277">
        <f>-0.05*$L$267</f>
        <v>0</v>
      </c>
      <c r="M277">
        <f>0+D277+E277+G277+H277+I277+J277+K277+L277</f>
        <v>0</v>
      </c>
      <c r="N277">
        <f>0+D277+F277+G277+H277+I277+J277+K277+L277</f>
        <v>0</v>
      </c>
    </row>
    <row r="278" spans="3:14">
      <c r="C278" t="s">
        <v>24</v>
      </c>
      <c r="D278">
        <f>-363.134*$D$267</f>
        <v>0</v>
      </c>
      <c r="E278">
        <f>25.178*$E$267</f>
        <v>0</v>
      </c>
      <c r="F278">
        <f>-514.359*$F$267</f>
        <v>0</v>
      </c>
      <c r="G278">
        <f>-41.889*$G$267</f>
        <v>0</v>
      </c>
      <c r="H278">
        <f>0*$H$267</f>
        <v>0</v>
      </c>
      <c r="I278">
        <f>-51.614*$I$267</f>
        <v>0</v>
      </c>
      <c r="J278">
        <f>-239.955*$J$267</f>
        <v>0</v>
      </c>
      <c r="K278">
        <f>319.94*$K$267</f>
        <v>0</v>
      </c>
      <c r="L278">
        <f>-0.051*$L$267</f>
        <v>0</v>
      </c>
      <c r="M278">
        <f>0+D278+E278+G278+H278+I278+J278+K278+L278</f>
        <v>0</v>
      </c>
      <c r="N278">
        <f>0+D278+F278+G278+H278+I278+J278+K278+L278</f>
        <v>0</v>
      </c>
    </row>
    <row r="279" spans="3:14">
      <c r="C279" t="s">
        <v>25</v>
      </c>
      <c r="D279">
        <f>-363.734*$D$267</f>
        <v>0</v>
      </c>
      <c r="E279">
        <f>23.461*$E$267</f>
        <v>0</v>
      </c>
      <c r="F279">
        <f>-509.519*$F$267</f>
        <v>0</v>
      </c>
      <c r="G279">
        <f>-46.655*$G$267</f>
        <v>0</v>
      </c>
      <c r="H279">
        <f>0*$H$267</f>
        <v>0</v>
      </c>
      <c r="I279">
        <f>-51.36*$I$267</f>
        <v>0</v>
      </c>
      <c r="J279">
        <f>-224.046*$J$267</f>
        <v>0</v>
      </c>
      <c r="K279">
        <f>298.727*$K$267</f>
        <v>0</v>
      </c>
      <c r="L279">
        <f>-0.052*$L$267</f>
        <v>0</v>
      </c>
      <c r="M279">
        <f>0+D279+E279+G279+H279+I279+J279+K279+L279</f>
        <v>0</v>
      </c>
      <c r="N279">
        <f>0+D279+F279+G279+H279+I279+J279+K279+L279</f>
        <v>0</v>
      </c>
    </row>
    <row r="280" spans="3:14">
      <c r="C280" t="s">
        <v>26</v>
      </c>
      <c r="D280">
        <f>-356.651*$D$267</f>
        <v>0</v>
      </c>
      <c r="E280">
        <f>25.848*$E$267</f>
        <v>0</v>
      </c>
      <c r="F280">
        <f>-500.848*$F$267</f>
        <v>0</v>
      </c>
      <c r="G280">
        <f>-45.035*$G$267</f>
        <v>0</v>
      </c>
      <c r="H280">
        <f>0*$H$267</f>
        <v>0</v>
      </c>
      <c r="I280">
        <f>-50.447*$I$267</f>
        <v>0</v>
      </c>
      <c r="J280">
        <f>-234.135*$J$267</f>
        <v>0</v>
      </c>
      <c r="K280">
        <f>312.179*$K$267</f>
        <v>0</v>
      </c>
      <c r="L280">
        <f>-0.054*$L$267</f>
        <v>0</v>
      </c>
      <c r="M280">
        <f>0+D280+E280+G280+H280+I280+J280+K280+L280</f>
        <v>0</v>
      </c>
      <c r="N280">
        <f>0+D280+F280+G280+H280+I280+J280+K280+L280</f>
        <v>0</v>
      </c>
    </row>
    <row r="281" spans="3:14">
      <c r="C281" t="s">
        <v>27</v>
      </c>
      <c r="D281">
        <f>-342.915*$D$267</f>
        <v>0</v>
      </c>
      <c r="E281">
        <f>27.781*$E$267</f>
        <v>0</v>
      </c>
      <c r="F281">
        <f>-488.97*$F$267</f>
        <v>0</v>
      </c>
      <c r="G281">
        <f>-39.072*$G$267</f>
        <v>0</v>
      </c>
      <c r="H281">
        <f>0*$H$267</f>
        <v>0</v>
      </c>
      <c r="I281">
        <f>-48.875*$I$267</f>
        <v>0</v>
      </c>
      <c r="J281">
        <f>-263.645*$J$267</f>
        <v>0</v>
      </c>
      <c r="K281">
        <f>351.526*$K$267</f>
        <v>0</v>
      </c>
      <c r="L281">
        <f>-0.057*$L$267</f>
        <v>0</v>
      </c>
      <c r="M281">
        <f>0+D281+E281+G281+H281+I281+J281+K281+L281</f>
        <v>0</v>
      </c>
      <c r="N281">
        <f>0+D281+F281+G281+H281+I281+J281+K281+L281</f>
        <v>0</v>
      </c>
    </row>
    <row r="282" spans="3:14">
      <c r="C282" t="s">
        <v>28</v>
      </c>
      <c r="D282">
        <f>-322.296*$D$267</f>
        <v>0</v>
      </c>
      <c r="E282">
        <f>29.277*$E$267</f>
        <v>0</v>
      </c>
      <c r="F282">
        <f>-467.372*$F$267</f>
        <v>0</v>
      </c>
      <c r="G282">
        <f>-35.476*$G$267</f>
        <v>0</v>
      </c>
      <c r="H282">
        <f>0*$H$267</f>
        <v>0</v>
      </c>
      <c r="I282">
        <f>-46.103*$I$267</f>
        <v>0</v>
      </c>
      <c r="J282">
        <f>-272.846*$J$267</f>
        <v>0</v>
      </c>
      <c r="K282">
        <f>363.794*$K$267</f>
        <v>0</v>
      </c>
      <c r="L282">
        <f>-0.059*$L$267</f>
        <v>0</v>
      </c>
      <c r="M282">
        <f>0+D282+E282+G282+H282+I282+J282+K282+L282</f>
        <v>0</v>
      </c>
      <c r="N282">
        <f>0+D282+F282+G282+H282+I282+J282+K282+L282</f>
        <v>0</v>
      </c>
    </row>
    <row r="283" spans="3:14">
      <c r="C283" t="s">
        <v>29</v>
      </c>
      <c r="D283">
        <f>-282.78*$D$267</f>
        <v>0</v>
      </c>
      <c r="E283">
        <f>30.315*$E$267</f>
        <v>0</v>
      </c>
      <c r="F283">
        <f>-410.726*$F$267</f>
        <v>0</v>
      </c>
      <c r="G283">
        <f>-33.951*$G$267</f>
        <v>0</v>
      </c>
      <c r="H283">
        <f>0*$H$267</f>
        <v>0</v>
      </c>
      <c r="I283">
        <f>-40.248*$I$267</f>
        <v>0</v>
      </c>
      <c r="J283">
        <f>-255.676*$J$267</f>
        <v>0</v>
      </c>
      <c r="K283">
        <f>340.901*$K$267</f>
        <v>0</v>
      </c>
      <c r="L283">
        <f>-0.059*$L$267</f>
        <v>0</v>
      </c>
      <c r="M283">
        <f>0+D283+E283+G283+H283+I283+J283+K283+L283</f>
        <v>0</v>
      </c>
      <c r="N283">
        <f>0+D283+F283+G283+H283+I283+J283+K283+L283</f>
        <v>0</v>
      </c>
    </row>
    <row r="284" spans="3:14">
      <c r="C284" t="s">
        <v>30</v>
      </c>
      <c r="D284">
        <f>-242.055*$D$267</f>
        <v>0</v>
      </c>
      <c r="E284">
        <f>29.532*$E$267</f>
        <v>0</v>
      </c>
      <c r="F284">
        <f>-347.381*$F$267</f>
        <v>0</v>
      </c>
      <c r="G284">
        <f>-32.079*$G$267</f>
        <v>0</v>
      </c>
      <c r="H284">
        <f>0*$H$267</f>
        <v>0</v>
      </c>
      <c r="I284">
        <f>-34.232*$I$267</f>
        <v>0</v>
      </c>
      <c r="J284">
        <f>-236.262*$J$267</f>
        <v>0</v>
      </c>
      <c r="K284">
        <f>315.016*$K$267</f>
        <v>0</v>
      </c>
      <c r="L284">
        <f>-0.058*$L$267</f>
        <v>0</v>
      </c>
      <c r="M284">
        <f>0+D284+E284+G284+H284+I284+J284+K284+L284</f>
        <v>0</v>
      </c>
      <c r="N284">
        <f>0+D284+F284+G284+H284+I284+J284+K284+L284</f>
        <v>0</v>
      </c>
    </row>
    <row r="285" spans="3:14">
      <c r="C285" t="s">
        <v>31</v>
      </c>
      <c r="D285">
        <f>-200.128*$D$267</f>
        <v>0</v>
      </c>
      <c r="E285">
        <f>32.641*$E$267</f>
        <v>0</v>
      </c>
      <c r="F285">
        <f>-291.656*$F$267</f>
        <v>0</v>
      </c>
      <c r="G285">
        <f>-26.445*$G$267</f>
        <v>0</v>
      </c>
      <c r="H285">
        <f>0*$H$267</f>
        <v>0</v>
      </c>
      <c r="I285">
        <f>-28.368*$I$267</f>
        <v>0</v>
      </c>
      <c r="J285">
        <f>-248.327*$J$267</f>
        <v>0</v>
      </c>
      <c r="K285">
        <f>331.102*$K$267</f>
        <v>0</v>
      </c>
      <c r="L285">
        <f>-0.061*$L$267</f>
        <v>0</v>
      </c>
      <c r="M285">
        <f>0+D285+E285+G285+H285+I285+J285+K285+L285</f>
        <v>0</v>
      </c>
      <c r="N285">
        <f>0+D285+F285+G285+H285+I285+J285+K285+L285</f>
        <v>0</v>
      </c>
    </row>
    <row r="286" spans="3:14">
      <c r="C286" t="s">
        <v>32</v>
      </c>
      <c r="D286">
        <f>-138.143*$D$267</f>
        <v>0</v>
      </c>
      <c r="E286">
        <f>34.944*$E$267</f>
        <v>0</v>
      </c>
      <c r="F286">
        <f>-214.624*$F$267</f>
        <v>0</v>
      </c>
      <c r="G286">
        <f>-15.2*$G$267</f>
        <v>0</v>
      </c>
      <c r="H286">
        <f>0*$H$267</f>
        <v>0</v>
      </c>
      <c r="I286">
        <f>-19.977*$I$267</f>
        <v>0</v>
      </c>
      <c r="J286">
        <f>-277.233*$J$267</f>
        <v>0</v>
      </c>
      <c r="K286">
        <f>369.644*$K$267</f>
        <v>0</v>
      </c>
      <c r="L286">
        <f>-0.061*$L$267</f>
        <v>0</v>
      </c>
      <c r="M286">
        <f>0+D286+E286+G286+H286+I286+J286+K286+L286</f>
        <v>0</v>
      </c>
      <c r="N286">
        <f>0+D286+F286+G286+H286+I286+J286+K286+L286</f>
        <v>0</v>
      </c>
    </row>
    <row r="287" spans="3:14">
      <c r="C287" t="s">
        <v>33</v>
      </c>
      <c r="D287">
        <f>-90.299*$D$267</f>
        <v>0</v>
      </c>
      <c r="E287">
        <f>32.198*$E$267</f>
        <v>0</v>
      </c>
      <c r="F287">
        <f>-149.155*$F$267</f>
        <v>0</v>
      </c>
      <c r="G287">
        <f>-7.464*$G$267</f>
        <v>0</v>
      </c>
      <c r="H287">
        <f>0*$H$267</f>
        <v>0</v>
      </c>
      <c r="I287">
        <f>-13.354*$I$267</f>
        <v>0</v>
      </c>
      <c r="J287">
        <f>-277.722*$J$267</f>
        <v>0</v>
      </c>
      <c r="K287">
        <f>370.296*$K$267</f>
        <v>0</v>
      </c>
      <c r="L287">
        <f>-0.054*$L$267</f>
        <v>0</v>
      </c>
      <c r="M287">
        <f>0+D287+E287+G287+H287+I287+J287+K287+L287</f>
        <v>0</v>
      </c>
      <c r="N287">
        <f>0+D287+F287+G287+H287+I287+J287+K287+L287</f>
        <v>0</v>
      </c>
    </row>
    <row r="288" spans="3:14">
      <c r="C288" t="s">
        <v>34</v>
      </c>
      <c r="D288">
        <f>-57.578*$D$267</f>
        <v>0</v>
      </c>
      <c r="E288">
        <f>23.357*$E$267</f>
        <v>0</v>
      </c>
      <c r="F288">
        <f>-98.665*$F$267</f>
        <v>0</v>
      </c>
      <c r="G288">
        <f>-3.653*$G$267</f>
        <v>0</v>
      </c>
      <c r="H288">
        <f>0*$H$267</f>
        <v>0</v>
      </c>
      <c r="I288">
        <f>-8.636*$I$267</f>
        <v>0</v>
      </c>
      <c r="J288">
        <f>-234.369*$J$267</f>
        <v>0</v>
      </c>
      <c r="K288">
        <f>312.492*$K$267</f>
        <v>0</v>
      </c>
      <c r="L288">
        <f>-0.034*$L$267</f>
        <v>0</v>
      </c>
      <c r="M288">
        <f>0+D288+E288+G288+H288+I288+J288+K288+L288</f>
        <v>0</v>
      </c>
      <c r="N288">
        <f>0+D288+F288+G288+H288+I288+J288+K288+L288</f>
        <v>0</v>
      </c>
    </row>
    <row r="289" spans="3:14">
      <c r="C289" t="s">
        <v>35</v>
      </c>
      <c r="D289">
        <f>-13.466*$D$267</f>
        <v>0</v>
      </c>
      <c r="E289">
        <f>12.713*$E$267</f>
        <v>0</v>
      </c>
      <c r="F289">
        <f>-27.814*$F$267</f>
        <v>0</v>
      </c>
      <c r="G289">
        <f>-0.101*$G$267</f>
        <v>0</v>
      </c>
      <c r="H289">
        <f>0*$H$267</f>
        <v>0</v>
      </c>
      <c r="I289">
        <f>-2.102*$I$267</f>
        <v>0</v>
      </c>
      <c r="J289">
        <f>-175.947*$J$267</f>
        <v>0</v>
      </c>
      <c r="K289">
        <f>234.596*$K$267</f>
        <v>0</v>
      </c>
      <c r="L289">
        <f>-0.01*$L$267</f>
        <v>0</v>
      </c>
      <c r="M289">
        <f>0+D289+E289+G289+H289+I289+J289+K289+L289</f>
        <v>0</v>
      </c>
      <c r="N289">
        <f>0+D289+F289+G289+H289+I289+J289+K289+L289</f>
        <v>0</v>
      </c>
    </row>
    <row r="290" spans="3:14">
      <c r="C290" t="s">
        <v>36</v>
      </c>
      <c r="D290">
        <f>-14.287*$D$267</f>
        <v>0</v>
      </c>
      <c r="E290">
        <f>8.846*$E$267</f>
        <v>0</v>
      </c>
      <c r="F290">
        <f>-24.316*$F$267</f>
        <v>0</v>
      </c>
      <c r="G290">
        <f>-1.185*$G$267</f>
        <v>0</v>
      </c>
      <c r="H290">
        <f>0*$H$267</f>
        <v>0</v>
      </c>
      <c r="I290">
        <f>-2.112*$I$267</f>
        <v>0</v>
      </c>
      <c r="J290">
        <f>-153.111*$J$267</f>
        <v>0</v>
      </c>
      <c r="K290">
        <f>204.148*$K$267</f>
        <v>0</v>
      </c>
      <c r="L290">
        <f>-0.003298*$L$267</f>
        <v>0</v>
      </c>
      <c r="M290">
        <f>0+D290+E290+G290+H290+I290+J290+K290+L290</f>
        <v>0</v>
      </c>
      <c r="N290">
        <f>0+D290+F290+G290+H290+I290+J290+K290+L290</f>
        <v>0</v>
      </c>
    </row>
    <row r="291" spans="3:14">
      <c r="C291" t="s">
        <v>36</v>
      </c>
      <c r="D291">
        <f>-11.868*$D$267</f>
        <v>0</v>
      </c>
      <c r="E291">
        <f>4.235*$E$267</f>
        <v>0</v>
      </c>
      <c r="F291">
        <f>-24.018*$F$267</f>
        <v>0</v>
      </c>
      <c r="G291">
        <f>-1.412*$G$267</f>
        <v>0</v>
      </c>
      <c r="H291">
        <f>0*$H$267</f>
        <v>0</v>
      </c>
      <c r="I291">
        <f>-1.748*$I$267</f>
        <v>0</v>
      </c>
      <c r="J291">
        <f>-156.379*$J$267</f>
        <v>0</v>
      </c>
      <c r="K291">
        <f>208.505*$K$267</f>
        <v>0</v>
      </c>
      <c r="L291">
        <f>0.284*$L$267</f>
        <v>0</v>
      </c>
      <c r="M291">
        <f>0+D291+E291+G291+H291+I291+J291+K291+L291</f>
        <v>0</v>
      </c>
      <c r="N291">
        <f>0+D291+F291+G291+H291+I291+J291+K291+L291</f>
        <v>0</v>
      </c>
    </row>
    <row r="292" spans="3:14">
      <c r="C292" t="s">
        <v>37</v>
      </c>
      <c r="D292">
        <f>-11.868*$D$267</f>
        <v>0</v>
      </c>
      <c r="E292">
        <f>4.235*$E$267</f>
        <v>0</v>
      </c>
      <c r="F292">
        <f>-24.018*$F$267</f>
        <v>0</v>
      </c>
      <c r="G292">
        <f>-1.412*$G$267</f>
        <v>0</v>
      </c>
      <c r="H292">
        <f>0*$H$267</f>
        <v>0</v>
      </c>
      <c r="I292">
        <f>-1.748*$I$267</f>
        <v>0</v>
      </c>
      <c r="J292">
        <f>-156.379*$J$267</f>
        <v>0</v>
      </c>
      <c r="K292">
        <f>208.505*$K$267</f>
        <v>0</v>
      </c>
      <c r="L292">
        <f>0.284*$L$267</f>
        <v>0</v>
      </c>
      <c r="M292">
        <f>0+D292+E292+G292+H292+I292+J292+K292+L292</f>
        <v>0</v>
      </c>
      <c r="N292">
        <f>0+D292+F292+G292+H292+I292+J292+K292+L292</f>
        <v>0</v>
      </c>
    </row>
    <row r="293" spans="3:14">
      <c r="C293" t="s">
        <v>38</v>
      </c>
      <c r="D293">
        <f>-26.624*$D$267</f>
        <v>0</v>
      </c>
      <c r="E293">
        <f>48.959*$E$267</f>
        <v>0</v>
      </c>
      <c r="F293">
        <f>-89.635*$F$267</f>
        <v>0</v>
      </c>
      <c r="G293">
        <f>3.021*$G$267</f>
        <v>0</v>
      </c>
      <c r="H293">
        <f>0*$H$267</f>
        <v>0</v>
      </c>
      <c r="I293">
        <f>-4.237*$I$267</f>
        <v>0</v>
      </c>
      <c r="J293">
        <f>-175.092*$J$267</f>
        <v>0</v>
      </c>
      <c r="K293">
        <f>233.456*$K$267</f>
        <v>0</v>
      </c>
      <c r="L293">
        <f>-1.806*$L$267</f>
        <v>0</v>
      </c>
      <c r="M293">
        <f>0+D293+E293+G293+H293+I293+J293+K293+L293</f>
        <v>0</v>
      </c>
      <c r="N293">
        <f>0+D293+F293+G293+H293+I293+J293+K293+L293</f>
        <v>0</v>
      </c>
    </row>
    <row r="294" spans="3:14">
      <c r="C294" t="s">
        <v>39</v>
      </c>
      <c r="D294">
        <f>-69.951*$D$267</f>
        <v>0</v>
      </c>
      <c r="E294">
        <f>26.361*$E$267</f>
        <v>0</v>
      </c>
      <c r="F294">
        <f>-135.092*$F$267</f>
        <v>0</v>
      </c>
      <c r="G294">
        <f>-1.083*$G$267</f>
        <v>0</v>
      </c>
      <c r="H294">
        <f>0*$H$267</f>
        <v>0</v>
      </c>
      <c r="I294">
        <f>-10.638*$I$267</f>
        <v>0</v>
      </c>
      <c r="J294">
        <f>-236.82*$J$267</f>
        <v>0</v>
      </c>
      <c r="K294">
        <f>315.76*$K$267</f>
        <v>0</v>
      </c>
      <c r="L294">
        <f>-0.995*$L$267</f>
        <v>0</v>
      </c>
      <c r="M294">
        <f>0+D294+E294+G294+H294+I294+J294+K294+L294</f>
        <v>0</v>
      </c>
      <c r="N294">
        <f>0+D294+F294+G294+H294+I294+J294+K294+L294</f>
        <v>0</v>
      </c>
    </row>
    <row r="295" spans="3:14">
      <c r="C295" t="s">
        <v>40</v>
      </c>
      <c r="D295">
        <f>-104.382*$D$267</f>
        <v>0</v>
      </c>
      <c r="E295">
        <f>23.241*$E$267</f>
        <v>0</v>
      </c>
      <c r="F295">
        <f>-170.677*$F$267</f>
        <v>0</v>
      </c>
      <c r="G295">
        <f>-6.777*$G$267</f>
        <v>0</v>
      </c>
      <c r="H295">
        <f>0*$H$267</f>
        <v>0</v>
      </c>
      <c r="I295">
        <f>-15.462*$I$267</f>
        <v>0</v>
      </c>
      <c r="J295">
        <f>-257.648*$J$267</f>
        <v>0</v>
      </c>
      <c r="K295">
        <f>343.531*$K$267</f>
        <v>0</v>
      </c>
      <c r="L295">
        <f>-0.132*$L$267</f>
        <v>0</v>
      </c>
      <c r="M295">
        <f>0+D295+E295+G295+H295+I295+J295+K295+L295</f>
        <v>0</v>
      </c>
      <c r="N295">
        <f>0+D295+F295+G295+H295+I295+J295+K295+L295</f>
        <v>0</v>
      </c>
    </row>
    <row r="296" spans="3:14">
      <c r="C296" t="s">
        <v>41</v>
      </c>
      <c r="D296">
        <f>-150.818*$D$267</f>
        <v>0</v>
      </c>
      <c r="E296">
        <f>20.913*$E$267</f>
        <v>0</v>
      </c>
      <c r="F296">
        <f>-225.663*$F$267</f>
        <v>0</v>
      </c>
      <c r="G296">
        <f>-16.04*$G$267</f>
        <v>0</v>
      </c>
      <c r="H296">
        <f>0*$H$267</f>
        <v>0</v>
      </c>
      <c r="I296">
        <f>-21.759*$I$267</f>
        <v>0</v>
      </c>
      <c r="J296">
        <f>-238.77*$J$267</f>
        <v>0</v>
      </c>
      <c r="K296">
        <f>318.36*$K$267</f>
        <v>0</v>
      </c>
      <c r="L296">
        <f>0.861*$L$267</f>
        <v>0</v>
      </c>
      <c r="M296">
        <f>0+D296+E296+G296+H296+I296+J296+K296+L296</f>
        <v>0</v>
      </c>
      <c r="N296">
        <f>0+D296+F296+G296+H296+I296+J296+K296+L296</f>
        <v>0</v>
      </c>
    </row>
    <row r="297" spans="3:14">
      <c r="C297" t="s">
        <v>42</v>
      </c>
      <c r="D297">
        <f>-207.652*$D$267</f>
        <v>0</v>
      </c>
      <c r="E297">
        <f>18.44*$E$267</f>
        <v>0</v>
      </c>
      <c r="F297">
        <f>-293.068*$F$267</f>
        <v>0</v>
      </c>
      <c r="G297">
        <f>-25.898*$G$267</f>
        <v>0</v>
      </c>
      <c r="H297">
        <f>0*$H$267</f>
        <v>0</v>
      </c>
      <c r="I297">
        <f>-29.496*$I$267</f>
        <v>0</v>
      </c>
      <c r="J297">
        <f>-216.374*$J$267</f>
        <v>0</v>
      </c>
      <c r="K297">
        <f>288.499*$K$267</f>
        <v>0</v>
      </c>
      <c r="L297">
        <f>1.958*$L$267</f>
        <v>0</v>
      </c>
      <c r="M297">
        <f>0+D297+E297+G297+H297+I297+J297+K297+L297</f>
        <v>0</v>
      </c>
      <c r="N297">
        <f>0+D297+F297+G297+H297+I297+J297+K297+L297</f>
        <v>0</v>
      </c>
    </row>
    <row r="298" spans="3:14">
      <c r="C298" t="s">
        <v>43</v>
      </c>
      <c r="D298">
        <f>-243.903*$D$267</f>
        <v>0</v>
      </c>
      <c r="E298">
        <f>16.897*$E$267</f>
        <v>0</v>
      </c>
      <c r="F298">
        <f>-342.44*$F$267</f>
        <v>0</v>
      </c>
      <c r="G298">
        <f>-29.152*$G$267</f>
        <v>0</v>
      </c>
      <c r="H298">
        <f>0*$H$267</f>
        <v>0</v>
      </c>
      <c r="I298">
        <f>-34.729*$I$267</f>
        <v>0</v>
      </c>
      <c r="J298">
        <f>-218.749*$J$267</f>
        <v>0</v>
      </c>
      <c r="K298">
        <f>291.665*$K$267</f>
        <v>0</v>
      </c>
      <c r="L298">
        <f>3.284*$L$267</f>
        <v>0</v>
      </c>
      <c r="M298">
        <f>0+D298+E298+G298+H298+I298+J298+K298+L298</f>
        <v>0</v>
      </c>
      <c r="N298">
        <f>0+D298+F298+G298+H298+I298+J298+K298+L298</f>
        <v>0</v>
      </c>
    </row>
    <row r="299" spans="3:14">
      <c r="C299" t="s">
        <v>44</v>
      </c>
      <c r="D299">
        <f>-277.158*$D$267</f>
        <v>0</v>
      </c>
      <c r="E299">
        <f>18.004*$E$267</f>
        <v>0</v>
      </c>
      <c r="F299">
        <f>-395.869*$F$267</f>
        <v>0</v>
      </c>
      <c r="G299">
        <f>-29.702*$G$267</f>
        <v>0</v>
      </c>
      <c r="H299">
        <f>0*$H$267</f>
        <v>0</v>
      </c>
      <c r="I299">
        <f>-39.748*$I$267</f>
        <v>0</v>
      </c>
      <c r="J299">
        <f>-246.219*$J$267</f>
        <v>0</v>
      </c>
      <c r="K299">
        <f>328.291*$K$267</f>
        <v>0</v>
      </c>
      <c r="L299">
        <f>4.855*$L$267</f>
        <v>0</v>
      </c>
      <c r="M299">
        <f>0+D299+E299+G299+H299+I299+J299+K299+L299</f>
        <v>0</v>
      </c>
      <c r="N299">
        <f>0+D299+F299+G299+H299+I299+J299+K299+L299</f>
        <v>0</v>
      </c>
    </row>
    <row r="300" spans="3:14">
      <c r="C300" t="s">
        <v>45</v>
      </c>
      <c r="D300">
        <f>-308.014*$D$267</f>
        <v>0</v>
      </c>
      <c r="E300">
        <f>17.885*$E$267</f>
        <v>0</v>
      </c>
      <c r="F300">
        <f>-435.4*$F$267</f>
        <v>0</v>
      </c>
      <c r="G300">
        <f>-32.915*$G$267</f>
        <v>0</v>
      </c>
      <c r="H300">
        <f>0*$H$267</f>
        <v>0</v>
      </c>
      <c r="I300">
        <f>-44.211*$I$267</f>
        <v>0</v>
      </c>
      <c r="J300">
        <f>-252.345*$J$267</f>
        <v>0</v>
      </c>
      <c r="K300">
        <f>336.46*$K$267</f>
        <v>0</v>
      </c>
      <c r="L300">
        <f>6.691*$L$267</f>
        <v>0</v>
      </c>
      <c r="M300">
        <f>0+D300+E300+G300+H300+I300+J300+K300+L300</f>
        <v>0</v>
      </c>
      <c r="N300">
        <f>0+D300+F300+G300+H300+I300+J300+K300+L300</f>
        <v>0</v>
      </c>
    </row>
    <row r="301" spans="3:14">
      <c r="C301" t="s">
        <v>46</v>
      </c>
      <c r="D301">
        <f>-319.827*$D$267</f>
        <v>0</v>
      </c>
      <c r="E301">
        <f>17.036*$E$267</f>
        <v>0</v>
      </c>
      <c r="F301">
        <f>-440.354*$F$267</f>
        <v>0</v>
      </c>
      <c r="G301">
        <f>-38.387*$G$267</f>
        <v>0</v>
      </c>
      <c r="H301">
        <f>0*$H$267</f>
        <v>0</v>
      </c>
      <c r="I301">
        <f>-45.564*$I$267</f>
        <v>0</v>
      </c>
      <c r="J301">
        <f>-233.825*$J$267</f>
        <v>0</v>
      </c>
      <c r="K301">
        <f>311.767*$K$267</f>
        <v>0</v>
      </c>
      <c r="L301">
        <f>9.179*$L$267</f>
        <v>0</v>
      </c>
      <c r="M301">
        <f>0+D301+E301+G301+H301+I301+J301+K301+L301</f>
        <v>0</v>
      </c>
      <c r="N301">
        <f>0+D301+F301+G301+H301+I301+J301+K301+L301</f>
        <v>0</v>
      </c>
    </row>
    <row r="302" spans="3:14">
      <c r="C302" t="s">
        <v>47</v>
      </c>
      <c r="D302">
        <f>-326.4*$D$267</f>
        <v>0</v>
      </c>
      <c r="E302">
        <f>18.105*$E$267</f>
        <v>0</v>
      </c>
      <c r="F302">
        <f>-443.187*$F$267</f>
        <v>0</v>
      </c>
      <c r="G302">
        <f>-43.185*$G$267</f>
        <v>0</v>
      </c>
      <c r="H302">
        <f>0*$H$267</f>
        <v>0</v>
      </c>
      <c r="I302">
        <f>-46.173*$I$267</f>
        <v>0</v>
      </c>
      <c r="J302">
        <f>-214.647*$J$267</f>
        <v>0</v>
      </c>
      <c r="K302">
        <f>286.196*$K$267</f>
        <v>0</v>
      </c>
      <c r="L302">
        <f>12.164*$L$267</f>
        <v>0</v>
      </c>
      <c r="M302">
        <f>0+D302+E302+G302+H302+I302+J302+K302+L302</f>
        <v>0</v>
      </c>
      <c r="N302">
        <f>0+D302+F302+G302+H302+I302+J302+K302+L302</f>
        <v>0</v>
      </c>
    </row>
    <row r="303" spans="3:14">
      <c r="C303" t="s">
        <v>48</v>
      </c>
      <c r="D303">
        <f>-326.194*$D$267</f>
        <v>0</v>
      </c>
      <c r="E303">
        <f>20.131*$E$267</f>
        <v>0</v>
      </c>
      <c r="F303">
        <f>-444.027*$F$267</f>
        <v>0</v>
      </c>
      <c r="G303">
        <f>-41.842*$G$267</f>
        <v>0</v>
      </c>
      <c r="H303">
        <f>0*$H$267</f>
        <v>0</v>
      </c>
      <c r="I303">
        <f>-46.245*$I$267</f>
        <v>0</v>
      </c>
      <c r="J303">
        <f>-222.646*$J$267</f>
        <v>0</v>
      </c>
      <c r="K303">
        <f>296.861*$K$267</f>
        <v>0</v>
      </c>
      <c r="L303">
        <f>15.364*$L$267</f>
        <v>0</v>
      </c>
      <c r="M303">
        <f>0+D303+E303+G303+H303+I303+J303+K303+L303</f>
        <v>0</v>
      </c>
      <c r="N303">
        <f>0+D303+F303+G303+H303+I303+J303+K303+L303</f>
        <v>0</v>
      </c>
    </row>
    <row r="304" spans="3:14">
      <c r="C304" t="s">
        <v>49</v>
      </c>
      <c r="D304">
        <f>-318.382*$D$267</f>
        <v>0</v>
      </c>
      <c r="E304">
        <f>21.939*$E$267</f>
        <v>0</v>
      </c>
      <c r="F304">
        <f>-440.382*$F$267</f>
        <v>0</v>
      </c>
      <c r="G304">
        <f>-36.072*$G$267</f>
        <v>0</v>
      </c>
      <c r="H304">
        <f>0*$H$267</f>
        <v>0</v>
      </c>
      <c r="I304">
        <f>-45.522*$I$267</f>
        <v>0</v>
      </c>
      <c r="J304">
        <f>-250.002*$J$267</f>
        <v>0</v>
      </c>
      <c r="K304">
        <f>333.336*$K$267</f>
        <v>0</v>
      </c>
      <c r="L304">
        <f>18.915*$L$267</f>
        <v>0</v>
      </c>
      <c r="M304">
        <f>0+D304+E304+G304+H304+I304+J304+K304+L304</f>
        <v>0</v>
      </c>
      <c r="N304">
        <f>0+D304+F304+G304+H304+I304+J304+K304+L304</f>
        <v>0</v>
      </c>
    </row>
    <row r="305" spans="3:14">
      <c r="C305" t="s">
        <v>50</v>
      </c>
      <c r="D305">
        <f>-303.183*$D$267</f>
        <v>0</v>
      </c>
      <c r="E305">
        <f>23.598*$E$267</f>
        <v>0</v>
      </c>
      <c r="F305">
        <f>-425.091*$F$267</f>
        <v>0</v>
      </c>
      <c r="G305">
        <f>-32.848*$G$267</f>
        <v>0</v>
      </c>
      <c r="H305">
        <f>0*$H$267</f>
        <v>0</v>
      </c>
      <c r="I305">
        <f>-43.512*$I$267</f>
        <v>0</v>
      </c>
      <c r="J305">
        <f>-259.111*$J$267</f>
        <v>0</v>
      </c>
      <c r="K305">
        <f>345.482*$K$267</f>
        <v>0</v>
      </c>
      <c r="L305">
        <f>22.182*$L$267</f>
        <v>0</v>
      </c>
      <c r="M305">
        <f>0+D305+E305+G305+H305+I305+J305+K305+L305</f>
        <v>0</v>
      </c>
      <c r="N305">
        <f>0+D305+F305+G305+H305+I305+J305+K305+L305</f>
        <v>0</v>
      </c>
    </row>
    <row r="306" spans="3:14">
      <c r="C306" t="s">
        <v>51</v>
      </c>
      <c r="D306">
        <f>-268.613*$D$267</f>
        <v>0</v>
      </c>
      <c r="E306">
        <f>24.738*$E$267</f>
        <v>0</v>
      </c>
      <c r="F306">
        <f>-375.783*$F$267</f>
        <v>0</v>
      </c>
      <c r="G306">
        <f>-31.809*$G$267</f>
        <v>0</v>
      </c>
      <c r="H306">
        <f>0*$H$267</f>
        <v>0</v>
      </c>
      <c r="I306">
        <f>-38.347*$I$267</f>
        <v>0</v>
      </c>
      <c r="J306">
        <f>-243.065*$J$267</f>
        <v>0</v>
      </c>
      <c r="K306">
        <f>324.087*$K$267</f>
        <v>0</v>
      </c>
      <c r="L306">
        <f>23.643*$L$267</f>
        <v>0</v>
      </c>
      <c r="M306">
        <f>0+D306+E306+G306+H306+I306+J306+K306+L306</f>
        <v>0</v>
      </c>
      <c r="N306">
        <f>0+D306+F306+G306+H306+I306+J306+K306+L306</f>
        <v>0</v>
      </c>
    </row>
    <row r="307" spans="3:14">
      <c r="C307" t="s">
        <v>52</v>
      </c>
      <c r="D307">
        <f>-232.066*$D$267</f>
        <v>0</v>
      </c>
      <c r="E307">
        <f>25.358*$E$267</f>
        <v>0</v>
      </c>
      <c r="F307">
        <f>-318.31*$F$267</f>
        <v>0</v>
      </c>
      <c r="G307">
        <f>-30.439*$G$267</f>
        <v>0</v>
      </c>
      <c r="H307">
        <f>0*$H$267</f>
        <v>0</v>
      </c>
      <c r="I307">
        <f>-32.905*$I$267</f>
        <v>0</v>
      </c>
      <c r="J307">
        <f>-225.698*$J$267</f>
        <v>0</v>
      </c>
      <c r="K307">
        <f>300.931*$K$267</f>
        <v>0</v>
      </c>
      <c r="L307">
        <f>24.768*$L$267</f>
        <v>0</v>
      </c>
      <c r="M307">
        <f>0+D307+E307+G307+H307+I307+J307+K307+L307</f>
        <v>0</v>
      </c>
      <c r="N307">
        <f>0+D307+F307+G307+H307+I307+J307+K307+L307</f>
        <v>0</v>
      </c>
    </row>
    <row r="308" spans="3:14">
      <c r="C308" t="s">
        <v>53</v>
      </c>
      <c r="D308">
        <f>-194.846*$D$267</f>
        <v>0</v>
      </c>
      <c r="E308">
        <f>27.271*$E$267</f>
        <v>0</v>
      </c>
      <c r="F308">
        <f>-268.994*$F$267</f>
        <v>0</v>
      </c>
      <c r="G308">
        <f>-25.399*$G$267</f>
        <v>0</v>
      </c>
      <c r="H308">
        <f>0*$H$267</f>
        <v>0</v>
      </c>
      <c r="I308">
        <f>-27.688*$I$267</f>
        <v>0</v>
      </c>
      <c r="J308">
        <f>-240.096*$J$267</f>
        <v>0</v>
      </c>
      <c r="K308">
        <f>320.129*$K$267</f>
        <v>0</v>
      </c>
      <c r="L308">
        <f>28.766*$L$267</f>
        <v>0</v>
      </c>
      <c r="M308">
        <f>0+D308+E308+G308+H308+I308+J308+K308+L308</f>
        <v>0</v>
      </c>
      <c r="N308">
        <f>0+D308+F308+G308+H308+I308+J308+K308+L308</f>
        <v>0</v>
      </c>
    </row>
    <row r="309" spans="3:14">
      <c r="C309" t="s">
        <v>54</v>
      </c>
      <c r="D309">
        <f>-137.849*$D$267</f>
        <v>0</v>
      </c>
      <c r="E309">
        <f>28.217*$E$267</f>
        <v>0</v>
      </c>
      <c r="F309">
        <f>-199.56*$F$267</f>
        <v>0</v>
      </c>
      <c r="G309">
        <f>-14.749*$G$267</f>
        <v>0</v>
      </c>
      <c r="H309">
        <f>0*$H$267</f>
        <v>0</v>
      </c>
      <c r="I309">
        <f>-19.99*$I$267</f>
        <v>0</v>
      </c>
      <c r="J309">
        <f>-270.977*$J$267</f>
        <v>0</v>
      </c>
      <c r="K309">
        <f>361.303*$K$267</f>
        <v>0</v>
      </c>
      <c r="L309">
        <f>31.62*$L$267</f>
        <v>0</v>
      </c>
      <c r="M309">
        <f>0+D309+E309+G309+H309+I309+J309+K309+L309</f>
        <v>0</v>
      </c>
      <c r="N309">
        <f>0+D309+F309+G309+H309+I309+J309+K309+L309</f>
        <v>0</v>
      </c>
    </row>
    <row r="310" spans="3:14">
      <c r="C310" t="s">
        <v>55</v>
      </c>
      <c r="D310">
        <f>-92.734*$D$267</f>
        <v>0</v>
      </c>
      <c r="E310">
        <f>25.648*$E$267</f>
        <v>0</v>
      </c>
      <c r="F310">
        <f>-139.359*$F$267</f>
        <v>0</v>
      </c>
      <c r="G310">
        <f>-7.417*$G$267</f>
        <v>0</v>
      </c>
      <c r="H310">
        <f>0*$H$267</f>
        <v>0</v>
      </c>
      <c r="I310">
        <f>-13.737*$I$267</f>
        <v>0</v>
      </c>
      <c r="J310">
        <f>-273.628*$J$267</f>
        <v>0</v>
      </c>
      <c r="K310">
        <f>364.837*$K$267</f>
        <v>0</v>
      </c>
      <c r="L310">
        <f>29.544*$L$267</f>
        <v>0</v>
      </c>
      <c r="M310">
        <f>0+D310+E310+G310+H310+I310+J310+K310+L310</f>
        <v>0</v>
      </c>
      <c r="N310">
        <f>0+D310+F310+G310+H310+I310+J310+K310+L310</f>
        <v>0</v>
      </c>
    </row>
    <row r="311" spans="3:14">
      <c r="C311" t="s">
        <v>56</v>
      </c>
      <c r="D311">
        <f>-59.82*$D$267</f>
        <v>0</v>
      </c>
      <c r="E311">
        <f>19.679*$E$267</f>
        <v>0</v>
      </c>
      <c r="F311">
        <f>-94.076*$F$267</f>
        <v>0</v>
      </c>
      <c r="G311">
        <f>-3.729*$G$267</f>
        <v>0</v>
      </c>
      <c r="H311">
        <f>0*$H$267</f>
        <v>0</v>
      </c>
      <c r="I311">
        <f>-8.973*$I$267</f>
        <v>0</v>
      </c>
      <c r="J311">
        <f>-232.374*$J$267</f>
        <v>0</v>
      </c>
      <c r="K311">
        <f>309.832*$K$267</f>
        <v>0</v>
      </c>
      <c r="L311">
        <f>19.268*$L$267</f>
        <v>0</v>
      </c>
      <c r="M311">
        <f>0+D311+E311+G311+H311+I311+J311+K311+L311</f>
        <v>0</v>
      </c>
      <c r="N311">
        <f>0+D311+F311+G311+H311+I311+J311+K311+L311</f>
        <v>0</v>
      </c>
    </row>
    <row r="312" spans="3:14">
      <c r="C312" t="s">
        <v>57</v>
      </c>
      <c r="D312">
        <f>-14.514*$D$267</f>
        <v>0</v>
      </c>
      <c r="E312">
        <f>11.452*$E$267</f>
        <v>0</v>
      </c>
      <c r="F312">
        <f>-26.894*$F$267</f>
        <v>0</v>
      </c>
      <c r="G312">
        <f>-0.166*$G$267</f>
        <v>0</v>
      </c>
      <c r="H312">
        <f>0*$H$267</f>
        <v>0</v>
      </c>
      <c r="I312">
        <f>-2.256*$I$267</f>
        <v>0</v>
      </c>
      <c r="J312">
        <f>-175.447*$J$267</f>
        <v>0</v>
      </c>
      <c r="K312">
        <f>233.929*$K$267</f>
        <v>0</v>
      </c>
      <c r="L312">
        <f>6.142*$L$267</f>
        <v>0</v>
      </c>
      <c r="M312">
        <f>0+D312+E312+G312+H312+I312+J312+K312+L312</f>
        <v>0</v>
      </c>
      <c r="N312">
        <f>0+D312+F312+G312+H312+I312+J312+K312+L312</f>
        <v>0</v>
      </c>
    </row>
    <row r="313" spans="3:14">
      <c r="C313" t="s">
        <v>58</v>
      </c>
      <c r="D313">
        <f>-14.469*$D$267</f>
        <v>0</v>
      </c>
      <c r="E313">
        <f>8.387*$E$267</f>
        <v>0</v>
      </c>
      <c r="F313">
        <f>-23.96*$F$267</f>
        <v>0</v>
      </c>
      <c r="G313">
        <f>-1.203*$G$267</f>
        <v>0</v>
      </c>
      <c r="H313">
        <f>0*$H$267</f>
        <v>0</v>
      </c>
      <c r="I313">
        <f>-2.138*$I$267</f>
        <v>0</v>
      </c>
      <c r="J313">
        <f>-153.09*$J$267</f>
        <v>0</v>
      </c>
      <c r="K313">
        <f>204.12*$K$267</f>
        <v>0</v>
      </c>
      <c r="L313">
        <f>2.16*$L$267</f>
        <v>0</v>
      </c>
      <c r="M313">
        <f>0+D313+E313+G313+H313+I313+J313+K313+L313</f>
        <v>0</v>
      </c>
      <c r="N313">
        <f>0+D313+F313+G313+H313+I313+J313+K313+L313</f>
        <v>0</v>
      </c>
    </row>
    <row r="314" spans="3:14">
      <c r="C314" t="s">
        <v>58</v>
      </c>
      <c r="D314">
        <f>-4.832*$D$267</f>
        <v>0</v>
      </c>
      <c r="E314">
        <f>4.137*$E$267</f>
        <v>0</v>
      </c>
      <c r="F314">
        <f>-18.507*$F$267</f>
        <v>0</v>
      </c>
      <c r="G314">
        <f>-0.344*$G$267</f>
        <v>0</v>
      </c>
      <c r="H314">
        <f>0*$H$267</f>
        <v>0</v>
      </c>
      <c r="I314">
        <f>-0.772*$I$267</f>
        <v>0</v>
      </c>
      <c r="J314">
        <f>-145.899*$J$267</f>
        <v>0</v>
      </c>
      <c r="K314">
        <f>194.532*$K$267</f>
        <v>0</v>
      </c>
      <c r="L314">
        <f>-8.436*$L$267</f>
        <v>0</v>
      </c>
      <c r="M314">
        <f>0+D314+E314+G314+H314+I314+J314+K314+L314</f>
        <v>0</v>
      </c>
      <c r="N314">
        <f>0+D314+F314+G314+H314+I314+J314+K314+L314</f>
        <v>0</v>
      </c>
    </row>
    <row r="315" spans="3:14">
      <c r="C315" t="s">
        <v>59</v>
      </c>
      <c r="D315">
        <f>-4.832*$D$267</f>
        <v>0</v>
      </c>
      <c r="E315">
        <f>4.137*$E$267</f>
        <v>0</v>
      </c>
      <c r="F315">
        <f>-18.507*$F$267</f>
        <v>0</v>
      </c>
      <c r="G315">
        <f>-0.344*$G$267</f>
        <v>0</v>
      </c>
      <c r="H315">
        <f>0*$H$267</f>
        <v>0</v>
      </c>
      <c r="I315">
        <f>-0.772*$I$267</f>
        <v>0</v>
      </c>
      <c r="J315">
        <f>-145.899*$J$267</f>
        <v>0</v>
      </c>
      <c r="K315">
        <f>194.532*$K$267</f>
        <v>0</v>
      </c>
      <c r="L315">
        <f>-8.436*$L$267</f>
        <v>0</v>
      </c>
      <c r="M315">
        <f>0+D315+E315+G315+H315+I315+J315+K315+L315</f>
        <v>0</v>
      </c>
      <c r="N315">
        <f>0+D315+F315+G315+H315+I315+J315+K315+L315</f>
        <v>0</v>
      </c>
    </row>
    <row r="316" spans="3:14">
      <c r="C316" t="s">
        <v>60</v>
      </c>
      <c r="D316">
        <f>-17.687*$D$267</f>
        <v>0</v>
      </c>
      <c r="E316">
        <f>34.282*$E$267</f>
        <v>0</v>
      </c>
      <c r="F316">
        <f>-69.968*$F$267</f>
        <v>0</v>
      </c>
      <c r="G316">
        <f>2.188*$G$267</f>
        <v>0</v>
      </c>
      <c r="H316">
        <f>0*$H$267</f>
        <v>0</v>
      </c>
      <c r="I316">
        <f>-2.861*$I$267</f>
        <v>0</v>
      </c>
      <c r="J316">
        <f>-190.536*$J$267</f>
        <v>0</v>
      </c>
      <c r="K316">
        <f>254.049*$K$267</f>
        <v>0</v>
      </c>
      <c r="L316">
        <f>-7.688*$L$267</f>
        <v>0</v>
      </c>
      <c r="M316">
        <f>0+D316+E316+G316+H316+I316+J316+K316+L316</f>
        <v>0</v>
      </c>
      <c r="N316">
        <f>0+D316+F316+G316+H316+I316+J316+K316+L316</f>
        <v>0</v>
      </c>
    </row>
    <row r="317" spans="3:14">
      <c r="C317" t="s">
        <v>61</v>
      </c>
      <c r="D317">
        <f>-26.493*$D$267</f>
        <v>0</v>
      </c>
      <c r="E317">
        <f>22.509*$E$267</f>
        <v>0</v>
      </c>
      <c r="F317">
        <f>-90.577*$F$267</f>
        <v>0</v>
      </c>
      <c r="G317">
        <f>1.081*$G$267</f>
        <v>0</v>
      </c>
      <c r="H317">
        <f>0*$H$267</f>
        <v>0</v>
      </c>
      <c r="I317">
        <f>-4.288*$I$267</f>
        <v>0</v>
      </c>
      <c r="J317">
        <f>-267.038*$J$267</f>
        <v>0</v>
      </c>
      <c r="K317">
        <f>356.051*$K$267</f>
        <v>0</v>
      </c>
      <c r="L317">
        <f>-39.953*$L$267</f>
        <v>0</v>
      </c>
      <c r="M317">
        <f>0+D317+E317+G317+H317+I317+J317+K317+L317</f>
        <v>0</v>
      </c>
      <c r="N317">
        <f>0+D317+F317+G317+H317+I317+J317+K317+L317</f>
        <v>0</v>
      </c>
    </row>
    <row r="318" spans="3:14">
      <c r="C318" t="s">
        <v>62</v>
      </c>
      <c r="D318">
        <f>-32.213*$D$267</f>
        <v>0</v>
      </c>
      <c r="E318">
        <f>21.333*$E$267</f>
        <v>0</v>
      </c>
      <c r="F318">
        <f>-94.343*$F$267</f>
        <v>0</v>
      </c>
      <c r="G318">
        <f>-2.002*$G$267</f>
        <v>0</v>
      </c>
      <c r="H318">
        <f>0*$H$267</f>
        <v>0</v>
      </c>
      <c r="I318">
        <f>-4.981*$I$267</f>
        <v>0</v>
      </c>
      <c r="J318">
        <f>-308.175*$J$267</f>
        <v>0</v>
      </c>
      <c r="K318">
        <f>410.9*$K$267</f>
        <v>0</v>
      </c>
      <c r="L318">
        <f>-77.71*$L$267</f>
        <v>0</v>
      </c>
      <c r="M318">
        <f>0+D318+E318+G318+H318+I318+J318+K318+L318</f>
        <v>0</v>
      </c>
      <c r="N318">
        <f>0+D318+F318+G318+H318+I318+J318+K318+L318</f>
        <v>0</v>
      </c>
    </row>
    <row r="319" spans="3:14">
      <c r="C319" t="s">
        <v>63</v>
      </c>
      <c r="D319">
        <f>-43.84*$D$267</f>
        <v>0</v>
      </c>
      <c r="E319">
        <f>17.41*$E$267</f>
        <v>0</v>
      </c>
      <c r="F319">
        <f>-106.203*$F$267</f>
        <v>0</v>
      </c>
      <c r="G319">
        <f>-7.277*$G$267</f>
        <v>0</v>
      </c>
      <c r="H319">
        <f>0*$H$267</f>
        <v>0</v>
      </c>
      <c r="I319">
        <f>-6.28*$I$267</f>
        <v>0</v>
      </c>
      <c r="J319">
        <f>-299.88*$J$267</f>
        <v>0</v>
      </c>
      <c r="K319">
        <f>399.84*$K$267</f>
        <v>0</v>
      </c>
      <c r="L319">
        <f>-126.63*$L$267</f>
        <v>0</v>
      </c>
      <c r="M319">
        <f>0+D319+E319+G319+H319+I319+J319+K319+L319</f>
        <v>0</v>
      </c>
      <c r="N319">
        <f>0+D319+F319+G319+H319+I319+J319+K319+L319</f>
        <v>0</v>
      </c>
    </row>
    <row r="320" spans="3:14">
      <c r="C320" t="s">
        <v>64</v>
      </c>
      <c r="D320">
        <f>-51.59*$D$267</f>
        <v>0</v>
      </c>
      <c r="E320">
        <f>16.473*$E$267</f>
        <v>0</v>
      </c>
      <c r="F320">
        <f>-109.573*$F$267</f>
        <v>0</v>
      </c>
      <c r="G320">
        <f>-11.26*$G$267</f>
        <v>0</v>
      </c>
      <c r="H320">
        <f>0*$H$267</f>
        <v>0</v>
      </c>
      <c r="I320">
        <f>-7.063*$I$267</f>
        <v>0</v>
      </c>
      <c r="J320">
        <f>-287.726*$J$267</f>
        <v>0</v>
      </c>
      <c r="K320">
        <f>383.634*$K$267</f>
        <v>0</v>
      </c>
      <c r="L320">
        <f>-160.208*$L$267</f>
        <v>0</v>
      </c>
      <c r="M320">
        <f>0+D320+E320+G320+H320+I320+J320+K320+L320</f>
        <v>0</v>
      </c>
      <c r="N320">
        <f>0+D320+F320+G320+H320+I320+J320+K320+L320</f>
        <v>0</v>
      </c>
    </row>
    <row r="321" spans="3:14">
      <c r="C321" t="s">
        <v>65</v>
      </c>
      <c r="D321">
        <f>-55.368*$D$267</f>
        <v>0</v>
      </c>
      <c r="E321">
        <f>10.973*$E$267</f>
        <v>0</v>
      </c>
      <c r="F321">
        <f>-111.23*$F$267</f>
        <v>0</v>
      </c>
      <c r="G321">
        <f>-11.32*$G$267</f>
        <v>0</v>
      </c>
      <c r="H321">
        <f>0*$H$267</f>
        <v>0</v>
      </c>
      <c r="I321">
        <f>-7.595*$I$267</f>
        <v>0</v>
      </c>
      <c r="J321">
        <f>-313.038*$J$267</f>
        <v>0</v>
      </c>
      <c r="K321">
        <f>417.384*$K$267</f>
        <v>0</v>
      </c>
      <c r="L321">
        <f>-159.775*$L$267</f>
        <v>0</v>
      </c>
      <c r="M321">
        <f>0+D321+E321+G321+H321+I321+J321+K321+L321</f>
        <v>0</v>
      </c>
      <c r="N321">
        <f>0+D321+F321+G321+H321+I321+J321+K321+L321</f>
        <v>0</v>
      </c>
    </row>
    <row r="322" spans="3:14">
      <c r="C322" t="s">
        <v>66</v>
      </c>
      <c r="D322">
        <f>-52.027*$D$267</f>
        <v>0</v>
      </c>
      <c r="E322">
        <f>10.188*$E$267</f>
        <v>0</v>
      </c>
      <c r="F322">
        <f>-111.173*$F$267</f>
        <v>0</v>
      </c>
      <c r="G322">
        <f>-7.616*$G$267</f>
        <v>0</v>
      </c>
      <c r="H322">
        <f>0*$H$267</f>
        <v>0</v>
      </c>
      <c r="I322">
        <f>-7.399*$I$267</f>
        <v>0</v>
      </c>
      <c r="J322">
        <f>-357.363*$J$267</f>
        <v>0</v>
      </c>
      <c r="K322">
        <f>476.485*$K$267</f>
        <v>0</v>
      </c>
      <c r="L322">
        <f>-125.005*$L$267</f>
        <v>0</v>
      </c>
      <c r="M322">
        <f>0+D322+E322+G322+H322+I322+J322+K322+L322</f>
        <v>0</v>
      </c>
      <c r="N322">
        <f>0+D322+F322+G322+H322+I322+J322+K322+L322</f>
        <v>0</v>
      </c>
    </row>
    <row r="323" spans="3:14">
      <c r="C323" t="s">
        <v>67</v>
      </c>
      <c r="D323">
        <f>-43.604*$D$267</f>
        <v>0</v>
      </c>
      <c r="E323">
        <f>8.564*$E$267</f>
        <v>0</v>
      </c>
      <c r="F323">
        <f>-97.464*$F$267</f>
        <v>0</v>
      </c>
      <c r="G323">
        <f>-4.221*$G$267</f>
        <v>0</v>
      </c>
      <c r="H323">
        <f>0*$H$267</f>
        <v>0</v>
      </c>
      <c r="I323">
        <f>-6.394*$I$267</f>
        <v>0</v>
      </c>
      <c r="J323">
        <f>-346.796*$J$267</f>
        <v>0</v>
      </c>
      <c r="K323">
        <f>462.395*$K$267</f>
        <v>0</v>
      </c>
      <c r="L323">
        <f>-83.827*$L$267</f>
        <v>0</v>
      </c>
      <c r="M323">
        <f>0+D323+E323+G323+H323+I323+J323+K323+L323</f>
        <v>0</v>
      </c>
      <c r="N323">
        <f>0+D323+F323+G323+H323+I323+J323+K323+L323</f>
        <v>0</v>
      </c>
    </row>
    <row r="324" spans="3:14">
      <c r="C324" t="s">
        <v>68</v>
      </c>
      <c r="D324">
        <f>-30.334*$D$267</f>
        <v>0</v>
      </c>
      <c r="E324">
        <f>4.877*$E$267</f>
        <v>0</v>
      </c>
      <c r="F324">
        <f>-70.135*$F$267</f>
        <v>0</v>
      </c>
      <c r="G324">
        <f>-1.699*$G$267</f>
        <v>0</v>
      </c>
      <c r="H324">
        <f>0*$H$267</f>
        <v>0</v>
      </c>
      <c r="I324">
        <f>-4.531*$I$267</f>
        <v>0</v>
      </c>
      <c r="J324">
        <f>-246.014*$J$267</f>
        <v>0</v>
      </c>
      <c r="K324">
        <f>328.019*$K$267</f>
        <v>0</v>
      </c>
      <c r="L324">
        <f>-42.242*$L$267</f>
        <v>0</v>
      </c>
      <c r="M324">
        <f>0+D324+E324+G324+H324+I324+J324+K324+L324</f>
        <v>0</v>
      </c>
      <c r="N324">
        <f>0+D324+F324+G324+H324+I324+J324+K324+L324</f>
        <v>0</v>
      </c>
    </row>
    <row r="325" spans="3:14">
      <c r="C325" t="s">
        <v>69</v>
      </c>
      <c r="D325">
        <f>-16.681*$D$267</f>
        <v>0</v>
      </c>
      <c r="E325">
        <f>0.633*$E$267</f>
        <v>0</v>
      </c>
      <c r="F325">
        <f>-39.109*$F$267</f>
        <v>0</v>
      </c>
      <c r="G325">
        <f>0.043*$G$267</f>
        <v>0</v>
      </c>
      <c r="H325">
        <f>0*$H$267</f>
        <v>0</v>
      </c>
      <c r="I325">
        <f>-2.572*$I$267</f>
        <v>0</v>
      </c>
      <c r="J325">
        <f>-132.169*$J$267</f>
        <v>0</v>
      </c>
      <c r="K325">
        <f>176.226*$K$267</f>
        <v>0</v>
      </c>
      <c r="L325">
        <f>-12.567*$L$267</f>
        <v>0</v>
      </c>
      <c r="M325">
        <f>0+D325+E325+G325+H325+I325+J325+K325+L325</f>
        <v>0</v>
      </c>
      <c r="N325">
        <f>0+D325+F325+G325+H325+I325+J325+K325+L325</f>
        <v>0</v>
      </c>
    </row>
    <row r="330" spans="3:14">
      <c r="C330" t="s">
        <v>74</v>
      </c>
    </row>
    <row r="332" spans="3:14">
      <c r="C332" t="s">
        <v>2</v>
      </c>
    </row>
    <row r="333" spans="3:14">
      <c r="C333" t="s">
        <v>3</v>
      </c>
      <c r="D333" t="s">
        <v>4</v>
      </c>
      <c r="E333" t="s">
        <v>5</v>
      </c>
      <c r="F333" t="s">
        <v>6</v>
      </c>
      <c r="G333" t="s">
        <v>7</v>
      </c>
      <c r="H333" t="s">
        <v>8</v>
      </c>
      <c r="I333" t="s">
        <v>9</v>
      </c>
      <c r="J333" t="s">
        <v>10</v>
      </c>
      <c r="K333" t="s">
        <v>11</v>
      </c>
      <c r="L333" t="s">
        <v>12</v>
      </c>
      <c r="M333" t="s">
        <v>13</v>
      </c>
      <c r="N333" t="s">
        <v>14</v>
      </c>
    </row>
    <row r="334" spans="3:14">
      <c r="C334" t="s">
        <v>76</v>
      </c>
      <c r="D334">
        <f>2.0884*$D$332</f>
        <v>0</v>
      </c>
      <c r="E334">
        <f>124.1748*$E$332</f>
        <v>0</v>
      </c>
      <c r="F334">
        <f>-113.8225*$F$332</f>
        <v>0</v>
      </c>
      <c r="G334">
        <f>-2.5375*$G$332</f>
        <v>0</v>
      </c>
      <c r="H334">
        <f>0*$H$332</f>
        <v>0</v>
      </c>
      <c r="I334">
        <f>0.4764*$I$332</f>
        <v>0</v>
      </c>
      <c r="J334">
        <f>-32.3677*$J$332</f>
        <v>0</v>
      </c>
      <c r="K334">
        <f>43.1569*$K$332</f>
        <v>0</v>
      </c>
      <c r="L334">
        <f>-0.0275*$L$332</f>
        <v>0</v>
      </c>
      <c r="M334">
        <f>0+D334+E334+G334+H334+I334+J334+K334+L334</f>
        <v>0</v>
      </c>
      <c r="N334">
        <f>0+D334+F334+G334+H334+I334+J334+K334+L334</f>
        <v>0</v>
      </c>
    </row>
    <row r="335" spans="3:14">
      <c r="C335" t="s">
        <v>16</v>
      </c>
      <c r="D335">
        <f>1.1599*$D$332</f>
        <v>0</v>
      </c>
      <c r="E335">
        <f>121.1148*$E$332</f>
        <v>0</v>
      </c>
      <c r="F335">
        <f>-114.8421*$F$332</f>
        <v>0</v>
      </c>
      <c r="G335">
        <f>-2.4209*$G$332</f>
        <v>0</v>
      </c>
      <c r="H335">
        <f>0*$H$332</f>
        <v>0</v>
      </c>
      <c r="I335">
        <f>0.3334*$I$332</f>
        <v>0</v>
      </c>
      <c r="J335">
        <f>-33.8118*$J$332</f>
        <v>0</v>
      </c>
      <c r="K335">
        <f>45.0824*$K$332</f>
        <v>0</v>
      </c>
      <c r="L335">
        <f>-0.0302*$L$332</f>
        <v>0</v>
      </c>
      <c r="M335">
        <f>0+D335+E335+G335+H335+I335+J335+K335+L335</f>
        <v>0</v>
      </c>
      <c r="N335">
        <f>0+D335+F335+G335+H335+I335+J335+K335+L335</f>
        <v>0</v>
      </c>
    </row>
    <row r="336" spans="3:14">
      <c r="C336" t="s">
        <v>17</v>
      </c>
      <c r="D336">
        <f>0.095*$D$332</f>
        <v>0</v>
      </c>
      <c r="E336">
        <f>126.7513*$E$332</f>
        <v>0</v>
      </c>
      <c r="F336">
        <f>-126.4383*$F$332</f>
        <v>0</v>
      </c>
      <c r="G336">
        <f>-3.705*$G$332</f>
        <v>0</v>
      </c>
      <c r="H336">
        <f>0*$H$332</f>
        <v>0</v>
      </c>
      <c r="I336">
        <f>0.2605*$I$332</f>
        <v>0</v>
      </c>
      <c r="J336">
        <f>-40.2149*$J$332</f>
        <v>0</v>
      </c>
      <c r="K336">
        <f>53.6198*$K$332</f>
        <v>0</v>
      </c>
      <c r="L336">
        <f>-0.0379*$L$332</f>
        <v>0</v>
      </c>
      <c r="M336">
        <f>0+D336+E336+G336+H336+I336+J336+K336+L336</f>
        <v>0</v>
      </c>
      <c r="N336">
        <f>0+D336+F336+G336+H336+I336+J336+K336+L336</f>
        <v>0</v>
      </c>
    </row>
    <row r="337" spans="3:14">
      <c r="C337" t="s">
        <v>18</v>
      </c>
      <c r="D337">
        <f>-0.8936*$D$332</f>
        <v>0</v>
      </c>
      <c r="E337">
        <f>128.878*$E$332</f>
        <v>0</v>
      </c>
      <c r="F337">
        <f>-133.5949*$F$332</f>
        <v>0</v>
      </c>
      <c r="G337">
        <f>-4.6025*$G$332</f>
        <v>0</v>
      </c>
      <c r="H337">
        <f>0*$H$332</f>
        <v>0</v>
      </c>
      <c r="I337">
        <f>0.1577*$I$332</f>
        <v>0</v>
      </c>
      <c r="J337">
        <f>-38.2097*$J$332</f>
        <v>0</v>
      </c>
      <c r="K337">
        <f>50.9462*$K$332</f>
        <v>0</v>
      </c>
      <c r="L337">
        <f>-0.0441*$L$332</f>
        <v>0</v>
      </c>
      <c r="M337">
        <f>0+D337+E337+G337+H337+I337+J337+K337+L337</f>
        <v>0</v>
      </c>
      <c r="N337">
        <f>0+D337+F337+G337+H337+I337+J337+K337+L337</f>
        <v>0</v>
      </c>
    </row>
    <row r="338" spans="3:14">
      <c r="C338" t="s">
        <v>19</v>
      </c>
      <c r="D338">
        <f>-1.6351*$D$332</f>
        <v>0</v>
      </c>
      <c r="E338">
        <f>126.8109*$E$332</f>
        <v>0</v>
      </c>
      <c r="F338">
        <f>-138.7389*$F$332</f>
        <v>0</v>
      </c>
      <c r="G338">
        <f>-4.6579*$G$332</f>
        <v>0</v>
      </c>
      <c r="H338">
        <f>0*$H$332</f>
        <v>0</v>
      </c>
      <c r="I338">
        <f>0.0362*$I$332</f>
        <v>0</v>
      </c>
      <c r="J338">
        <f>-33.8883*$J$332</f>
        <v>0</v>
      </c>
      <c r="K338">
        <f>45.1844*$K$332</f>
        <v>0</v>
      </c>
      <c r="L338">
        <f>-0.05*$L$332</f>
        <v>0</v>
      </c>
      <c r="M338">
        <f>0+D338+E338+G338+H338+I338+J338+K338+L338</f>
        <v>0</v>
      </c>
      <c r="N338">
        <f>0+D338+F338+G338+H338+I338+J338+K338+L338</f>
        <v>0</v>
      </c>
    </row>
    <row r="339" spans="3:14">
      <c r="C339" t="s">
        <v>20</v>
      </c>
      <c r="D339">
        <f>-2.0162*$D$332</f>
        <v>0</v>
      </c>
      <c r="E339">
        <f>124.3705*$E$332</f>
        <v>0</v>
      </c>
      <c r="F339">
        <f>-141.0103*$F$332</f>
        <v>0</v>
      </c>
      <c r="G339">
        <f>-3.9566*$G$332</f>
        <v>0</v>
      </c>
      <c r="H339">
        <f>0*$H$332</f>
        <v>0</v>
      </c>
      <c r="I339">
        <f>-0.0518*$I$332</f>
        <v>0</v>
      </c>
      <c r="J339">
        <f>-32.6875*$J$332</f>
        <v>0</v>
      </c>
      <c r="K339">
        <f>43.5833*$K$332</f>
        <v>0</v>
      </c>
      <c r="L339">
        <f>-0.0548*$L$332</f>
        <v>0</v>
      </c>
      <c r="M339">
        <f>0+D339+E339+G339+H339+I339+J339+K339+L339</f>
        <v>0</v>
      </c>
      <c r="N339">
        <f>0+D339+F339+G339+H339+I339+J339+K339+L339</f>
        <v>0</v>
      </c>
    </row>
    <row r="340" spans="3:14">
      <c r="C340" t="s">
        <v>21</v>
      </c>
      <c r="D340">
        <f>-0.4467*$D$332</f>
        <v>0</v>
      </c>
      <c r="E340">
        <f>118.8065*$E$332</f>
        <v>0</v>
      </c>
      <c r="F340">
        <f>-132.745*$F$332</f>
        <v>0</v>
      </c>
      <c r="G340">
        <f>-2.5281*$G$332</f>
        <v>0</v>
      </c>
      <c r="H340">
        <f>0*$H$332</f>
        <v>0</v>
      </c>
      <c r="I340">
        <f>0.1038*$I$332</f>
        <v>0</v>
      </c>
      <c r="J340">
        <f>-26.9369*$J$332</f>
        <v>0</v>
      </c>
      <c r="K340">
        <f>35.9159*$K$332</f>
        <v>0</v>
      </c>
      <c r="L340">
        <f>-0.0573*$L$332</f>
        <v>0</v>
      </c>
      <c r="M340">
        <f>0+D340+E340+G340+H340+I340+J340+K340+L340</f>
        <v>0</v>
      </c>
      <c r="N340">
        <f>0+D340+F340+G340+H340+I340+J340+K340+L340</f>
        <v>0</v>
      </c>
    </row>
    <row r="341" spans="3:14">
      <c r="C341" t="s">
        <v>22</v>
      </c>
      <c r="D341">
        <f>-0.8088*$D$332</f>
        <v>0</v>
      </c>
      <c r="E341">
        <f>107.0603*$E$332</f>
        <v>0</v>
      </c>
      <c r="F341">
        <f>-124.0851*$F$332</f>
        <v>0</v>
      </c>
      <c r="G341">
        <f>-1.9956*$G$332</f>
        <v>0</v>
      </c>
      <c r="H341">
        <f>0*$H$332</f>
        <v>0</v>
      </c>
      <c r="I341">
        <f>0.0143*$I$332</f>
        <v>0</v>
      </c>
      <c r="J341">
        <f>-21.6765*$J$332</f>
        <v>0</v>
      </c>
      <c r="K341">
        <f>28.902*$K$332</f>
        <v>0</v>
      </c>
      <c r="L341">
        <f>-0.0588*$L$332</f>
        <v>0</v>
      </c>
      <c r="M341">
        <f>0+D341+E341+G341+H341+I341+J341+K341+L341</f>
        <v>0</v>
      </c>
      <c r="N341">
        <f>0+D341+F341+G341+H341+I341+J341+K341+L341</f>
        <v>0</v>
      </c>
    </row>
    <row r="342" spans="3:14">
      <c r="C342" t="s">
        <v>23</v>
      </c>
      <c r="D342">
        <f>-1.1976*$D$332</f>
        <v>0</v>
      </c>
      <c r="E342">
        <f>97.7336*$E$332</f>
        <v>0</v>
      </c>
      <c r="F342">
        <f>-116.0728*$F$332</f>
        <v>0</v>
      </c>
      <c r="G342">
        <f>-1.7673*$G$332</f>
        <v>0</v>
      </c>
      <c r="H342">
        <f>0*$H$332</f>
        <v>0</v>
      </c>
      <c r="I342">
        <f>-0.0703*$I$332</f>
        <v>0</v>
      </c>
      <c r="J342">
        <f>-13.0882*$J$332</f>
        <v>0</v>
      </c>
      <c r="K342">
        <f>17.4509*$K$332</f>
        <v>0</v>
      </c>
      <c r="L342">
        <f>-0.0612*$L$332</f>
        <v>0</v>
      </c>
      <c r="M342">
        <f>0+D342+E342+G342+H342+I342+J342+K342+L342</f>
        <v>0</v>
      </c>
      <c r="N342">
        <f>0+D342+F342+G342+H342+I342+J342+K342+L342</f>
        <v>0</v>
      </c>
    </row>
    <row r="343" spans="3:14">
      <c r="C343" t="s">
        <v>24</v>
      </c>
      <c r="D343">
        <f>-1.6399*$D$332</f>
        <v>0</v>
      </c>
      <c r="E343">
        <f>95.4143*$E$332</f>
        <v>0</v>
      </c>
      <c r="F343">
        <f>-110.1699*$F$332</f>
        <v>0</v>
      </c>
      <c r="G343">
        <f>-1.3183*$G$332</f>
        <v>0</v>
      </c>
      <c r="H343">
        <f>0*$H$332</f>
        <v>0</v>
      </c>
      <c r="I343">
        <f>-0.1752*$I$332</f>
        <v>0</v>
      </c>
      <c r="J343">
        <f>-6.1747*$J$332</f>
        <v>0</v>
      </c>
      <c r="K343">
        <f>8.2329*$K$332</f>
        <v>0</v>
      </c>
      <c r="L343">
        <f>-0.0651*$L$332</f>
        <v>0</v>
      </c>
      <c r="M343">
        <f>0+D343+E343+G343+H343+I343+J343+K343+L343</f>
        <v>0</v>
      </c>
      <c r="N343">
        <f>0+D343+F343+G343+H343+I343+J343+K343+L343</f>
        <v>0</v>
      </c>
    </row>
    <row r="344" spans="3:14">
      <c r="C344" t="s">
        <v>25</v>
      </c>
      <c r="D344">
        <f>-1.8133*$D$332</f>
        <v>0</v>
      </c>
      <c r="E344">
        <f>89.3557*$E$332</f>
        <v>0</v>
      </c>
      <c r="F344">
        <f>-104.5824*$F$332</f>
        <v>0</v>
      </c>
      <c r="G344">
        <f>-0.5164*$G$332</f>
        <v>0</v>
      </c>
      <c r="H344">
        <f>0*$H$332</f>
        <v>0</v>
      </c>
      <c r="I344">
        <f>-0.2338*$I$332</f>
        <v>0</v>
      </c>
      <c r="J344">
        <f>-4.9187*$J$332</f>
        <v>0</v>
      </c>
      <c r="K344">
        <f>6.5583*$K$332</f>
        <v>0</v>
      </c>
      <c r="L344">
        <f>-0.0685*$L$332</f>
        <v>0</v>
      </c>
      <c r="M344">
        <f>0+D344+E344+G344+H344+I344+J344+K344+L344</f>
        <v>0</v>
      </c>
      <c r="N344">
        <f>0+D344+F344+G344+H344+I344+J344+K344+L344</f>
        <v>0</v>
      </c>
    </row>
    <row r="345" spans="3:14">
      <c r="C345" t="s">
        <v>26</v>
      </c>
      <c r="D345">
        <f>0.6785*$D$332</f>
        <v>0</v>
      </c>
      <c r="E345">
        <f>92.8158*$E$332</f>
        <v>0</v>
      </c>
      <c r="F345">
        <f>-90.0719*$F$332</f>
        <v>0</v>
      </c>
      <c r="G345">
        <f>0.0408*$G$332</f>
        <v>0</v>
      </c>
      <c r="H345">
        <f>0*$H$332</f>
        <v>0</v>
      </c>
      <c r="I345">
        <f>0.1233*$I$332</f>
        <v>0</v>
      </c>
      <c r="J345">
        <f>-8.5553*$J$332</f>
        <v>0</v>
      </c>
      <c r="K345">
        <f>11.4071*$K$332</f>
        <v>0</v>
      </c>
      <c r="L345">
        <f>-0.0687*$L$332</f>
        <v>0</v>
      </c>
      <c r="M345">
        <f>0+D345+E345+G345+H345+I345+J345+K345+L345</f>
        <v>0</v>
      </c>
      <c r="N345">
        <f>0+D345+F345+G345+H345+I345+J345+K345+L345</f>
        <v>0</v>
      </c>
    </row>
    <row r="346" spans="3:14">
      <c r="C346" t="s">
        <v>27</v>
      </c>
      <c r="D346">
        <f>-0.0807*$D$332</f>
        <v>0</v>
      </c>
      <c r="E346">
        <f>93.9398*$E$332</f>
        <v>0</v>
      </c>
      <c r="F346">
        <f>-86.2308*$F$332</f>
        <v>0</v>
      </c>
      <c r="G346">
        <f>0.4667*$G$332</f>
        <v>0</v>
      </c>
      <c r="H346">
        <f>0*$H$332</f>
        <v>0</v>
      </c>
      <c r="I346">
        <f>-0.013*$I$332</f>
        <v>0</v>
      </c>
      <c r="J346">
        <f>-3.9808*$J$332</f>
        <v>0</v>
      </c>
      <c r="K346">
        <f>5.3077*$K$332</f>
        <v>0</v>
      </c>
      <c r="L346">
        <f>-0.068*$L$332</f>
        <v>0</v>
      </c>
      <c r="M346">
        <f>0+D346+E346+G346+H346+I346+J346+K346+L346</f>
        <v>0</v>
      </c>
      <c r="N346">
        <f>0+D346+F346+G346+H346+I346+J346+K346+L346</f>
        <v>0</v>
      </c>
    </row>
    <row r="347" spans="3:14">
      <c r="C347" t="s">
        <v>28</v>
      </c>
      <c r="D347">
        <f>-1.1763*$D$332</f>
        <v>0</v>
      </c>
      <c r="E347">
        <f>97.7831*$E$332</f>
        <v>0</v>
      </c>
      <c r="F347">
        <f>-87.9565*$F$332</f>
        <v>0</v>
      </c>
      <c r="G347">
        <f>0.5826*$G$332</f>
        <v>0</v>
      </c>
      <c r="H347">
        <f>0*$H$332</f>
        <v>0</v>
      </c>
      <c r="I347">
        <f>-0.1893*$I$332</f>
        <v>0</v>
      </c>
      <c r="J347">
        <f>4.0261*$J$332</f>
        <v>0</v>
      </c>
      <c r="K347">
        <f>-5.3681*$K$332</f>
        <v>0</v>
      </c>
      <c r="L347">
        <f>-0.0688*$L$332</f>
        <v>0</v>
      </c>
      <c r="M347">
        <f>0+D347+E347+G347+H347+I347+J347+K347+L347</f>
        <v>0</v>
      </c>
      <c r="N347">
        <f>0+D347+F347+G347+H347+I347+J347+K347+L347</f>
        <v>0</v>
      </c>
    </row>
    <row r="348" spans="3:14">
      <c r="C348" t="s">
        <v>29</v>
      </c>
      <c r="D348">
        <f>-2.4669*$D$332</f>
        <v>0</v>
      </c>
      <c r="E348">
        <f>107.4997*$E$332</f>
        <v>0</v>
      </c>
      <c r="F348">
        <f>-96.6497*$F$332</f>
        <v>0</v>
      </c>
      <c r="G348">
        <f>0.9097*$G$332</f>
        <v>0</v>
      </c>
      <c r="H348">
        <f>0*$H$332</f>
        <v>0</v>
      </c>
      <c r="I348">
        <f>-0.4066*$I$332</f>
        <v>0</v>
      </c>
      <c r="J348">
        <f>10.3953*$J$332</f>
        <v>0</v>
      </c>
      <c r="K348">
        <f>-13.8604*$K$332</f>
        <v>0</v>
      </c>
      <c r="L348">
        <f>-0.0715*$L$332</f>
        <v>0</v>
      </c>
      <c r="M348">
        <f>0+D348+E348+G348+H348+I348+J348+K348+L348</f>
        <v>0</v>
      </c>
      <c r="N348">
        <f>0+D348+F348+G348+H348+I348+J348+K348+L348</f>
        <v>0</v>
      </c>
    </row>
    <row r="349" spans="3:14">
      <c r="C349" t="s">
        <v>30</v>
      </c>
      <c r="D349">
        <f>-4.122*$D$332</f>
        <v>0</v>
      </c>
      <c r="E349">
        <f>120.0324*$E$332</f>
        <v>0</v>
      </c>
      <c r="F349">
        <f>-118.0204*$F$332</f>
        <v>0</v>
      </c>
      <c r="G349">
        <f>1.5868*$G$332</f>
        <v>0</v>
      </c>
      <c r="H349">
        <f>0*$H$332</f>
        <v>0</v>
      </c>
      <c r="I349">
        <f>-0.6694*$I$332</f>
        <v>0</v>
      </c>
      <c r="J349">
        <f>12.1677*$J$332</f>
        <v>0</v>
      </c>
      <c r="K349">
        <f>-16.2236*$K$332</f>
        <v>0</v>
      </c>
      <c r="L349">
        <f>-0.0741*$L$332</f>
        <v>0</v>
      </c>
      <c r="M349">
        <f>0+D349+E349+G349+H349+I349+J349+K349+L349</f>
        <v>0</v>
      </c>
      <c r="N349">
        <f>0+D349+F349+G349+H349+I349+J349+K349+L349</f>
        <v>0</v>
      </c>
    </row>
    <row r="350" spans="3:14">
      <c r="C350" t="s">
        <v>31</v>
      </c>
      <c r="D350">
        <f>-6.4123*$D$332</f>
        <v>0</v>
      </c>
      <c r="E350">
        <f>127.4111*$E$332</f>
        <v>0</v>
      </c>
      <c r="F350">
        <f>-118.1101*$F$332</f>
        <v>0</v>
      </c>
      <c r="G350">
        <f>2.0161*$G$332</f>
        <v>0</v>
      </c>
      <c r="H350">
        <f>0*$H$332</f>
        <v>0</v>
      </c>
      <c r="I350">
        <f>-0.9885*$I$332</f>
        <v>0</v>
      </c>
      <c r="J350">
        <f>12.4288*$J$332</f>
        <v>0</v>
      </c>
      <c r="K350">
        <f>-16.5717*$K$332</f>
        <v>0</v>
      </c>
      <c r="L350">
        <f>-0.0742*$L$332</f>
        <v>0</v>
      </c>
      <c r="M350">
        <f>0+D350+E350+G350+H350+I350+J350+K350+L350</f>
        <v>0</v>
      </c>
      <c r="N350">
        <f>0+D350+F350+G350+H350+I350+J350+K350+L350</f>
        <v>0</v>
      </c>
    </row>
    <row r="351" spans="3:14">
      <c r="C351" t="s">
        <v>32</v>
      </c>
      <c r="D351">
        <f>-8.4788*$D$332</f>
        <v>0</v>
      </c>
      <c r="E351">
        <f>129.2113*$E$332</f>
        <v>0</v>
      </c>
      <c r="F351">
        <f>-126.9954*$F$332</f>
        <v>0</v>
      </c>
      <c r="G351">
        <f>2.2923*$G$332</f>
        <v>0</v>
      </c>
      <c r="H351">
        <f>0*$H$332</f>
        <v>0</v>
      </c>
      <c r="I351">
        <f>-1.302*$I$332</f>
        <v>0</v>
      </c>
      <c r="J351">
        <f>17.4321*$J$332</f>
        <v>0</v>
      </c>
      <c r="K351">
        <f>-23.2428*$K$332</f>
        <v>0</v>
      </c>
      <c r="L351">
        <f>-0.0726*$L$332</f>
        <v>0</v>
      </c>
      <c r="M351">
        <f>0+D351+E351+G351+H351+I351+J351+K351+L351</f>
        <v>0</v>
      </c>
      <c r="N351">
        <f>0+D351+F351+G351+H351+I351+J351+K351+L351</f>
        <v>0</v>
      </c>
    </row>
    <row r="352" spans="3:14">
      <c r="C352" t="s">
        <v>33</v>
      </c>
      <c r="D352">
        <f>-10.7981*$D$332</f>
        <v>0</v>
      </c>
      <c r="E352">
        <f>133.437*$E$332</f>
        <v>0</v>
      </c>
      <c r="F352">
        <f>-139.9523*$F$332</f>
        <v>0</v>
      </c>
      <c r="G352">
        <f>2.182*$G$332</f>
        <v>0</v>
      </c>
      <c r="H352">
        <f>0*$H$332</f>
        <v>0</v>
      </c>
      <c r="I352">
        <f>-1.6411*$I$332</f>
        <v>0</v>
      </c>
      <c r="J352">
        <f>26.2188*$J$332</f>
        <v>0</v>
      </c>
      <c r="K352">
        <f>-34.9584*$K$332</f>
        <v>0</v>
      </c>
      <c r="L352">
        <f>-0.0717*$L$332</f>
        <v>0</v>
      </c>
      <c r="M352">
        <f>0+D352+E352+G352+H352+I352+J352+K352+L352</f>
        <v>0</v>
      </c>
      <c r="N352">
        <f>0+D352+F352+G352+H352+I352+J352+K352+L352</f>
        <v>0</v>
      </c>
    </row>
    <row r="353" spans="3:14">
      <c r="C353" t="s">
        <v>34</v>
      </c>
      <c r="D353">
        <f>-12.6661*$D$332</f>
        <v>0</v>
      </c>
      <c r="E353">
        <f>140.8218*$E$332</f>
        <v>0</v>
      </c>
      <c r="F353">
        <f>-159.4314*$F$332</f>
        <v>0</v>
      </c>
      <c r="G353">
        <f>1.9522*$G$332</f>
        <v>0</v>
      </c>
      <c r="H353">
        <f>0*$H$332</f>
        <v>0</v>
      </c>
      <c r="I353">
        <f>-1.9121*$I$332</f>
        <v>0</v>
      </c>
      <c r="J353">
        <f>33.1189*$J$332</f>
        <v>0</v>
      </c>
      <c r="K353">
        <f>-44.1585*$K$332</f>
        <v>0</v>
      </c>
      <c r="L353">
        <f>-0.0715*$L$332</f>
        <v>0</v>
      </c>
      <c r="M353">
        <f>0+D353+E353+G353+H353+I353+J353+K353+L353</f>
        <v>0</v>
      </c>
      <c r="N353">
        <f>0+D353+F353+G353+H353+I353+J353+K353+L353</f>
        <v>0</v>
      </c>
    </row>
    <row r="354" spans="3:14">
      <c r="C354" t="s">
        <v>35</v>
      </c>
      <c r="D354">
        <f>-11.9608*$D$332</f>
        <v>0</v>
      </c>
      <c r="E354">
        <f>145.3498*$E$332</f>
        <v>0</v>
      </c>
      <c r="F354">
        <f>-179.8184*$F$332</f>
        <v>0</v>
      </c>
      <c r="G354">
        <f>1.6825*$G$332</f>
        <v>0</v>
      </c>
      <c r="H354">
        <f>0*$H$332</f>
        <v>0</v>
      </c>
      <c r="I354">
        <f>-1.8098*$I$332</f>
        <v>0</v>
      </c>
      <c r="J354">
        <f>29.444*$J$332</f>
        <v>0</v>
      </c>
      <c r="K354">
        <f>-39.2587*$K$332</f>
        <v>0</v>
      </c>
      <c r="L354">
        <f>-0.0657*$L$332</f>
        <v>0</v>
      </c>
      <c r="M354">
        <f>0+D354+E354+G354+H354+I354+J354+K354+L354</f>
        <v>0</v>
      </c>
      <c r="N354">
        <f>0+D354+F354+G354+H354+I354+J354+K354+L354</f>
        <v>0</v>
      </c>
    </row>
    <row r="355" spans="3:14">
      <c r="C355" t="s">
        <v>36</v>
      </c>
      <c r="D355">
        <f>-15.5957*$D$332</f>
        <v>0</v>
      </c>
      <c r="E355">
        <f>140.8533*$E$332</f>
        <v>0</v>
      </c>
      <c r="F355">
        <f>-170.2227*$F$332</f>
        <v>0</v>
      </c>
      <c r="G355">
        <f>1.0928*$G$332</f>
        <v>0</v>
      </c>
      <c r="H355">
        <f>0*$H$332</f>
        <v>0</v>
      </c>
      <c r="I355">
        <f>-2.277*$I$332</f>
        <v>0</v>
      </c>
      <c r="J355">
        <f>30.2999*$J$332</f>
        <v>0</v>
      </c>
      <c r="K355">
        <f>-40.3999*$K$332</f>
        <v>0</v>
      </c>
      <c r="L355">
        <f>-0.0735*$L$332</f>
        <v>0</v>
      </c>
      <c r="M355">
        <f>0+D355+E355+G355+H355+I355+J355+K355+L355</f>
        <v>0</v>
      </c>
      <c r="N355">
        <f>0+D355+F355+G355+H355+I355+J355+K355+L355</f>
        <v>0</v>
      </c>
    </row>
    <row r="356" spans="3:14">
      <c r="C356" t="s">
        <v>36</v>
      </c>
      <c r="D356">
        <f>13.4187*$D$332</f>
        <v>0</v>
      </c>
      <c r="E356">
        <f>127.4777*$E$332</f>
        <v>0</v>
      </c>
      <c r="F356">
        <f>-112.6074*$F$332</f>
        <v>0</v>
      </c>
      <c r="G356">
        <f>-1.1438*$G$332</f>
        <v>0</v>
      </c>
      <c r="H356">
        <f>0*$H$332</f>
        <v>0</v>
      </c>
      <c r="I356">
        <f>1.967*$I$332</f>
        <v>0</v>
      </c>
      <c r="J356">
        <f>-30.0129*$J$332</f>
        <v>0</v>
      </c>
      <c r="K356">
        <f>40.0172*$K$332</f>
        <v>0</v>
      </c>
      <c r="L356">
        <f>-1.7797*$L$332</f>
        <v>0</v>
      </c>
      <c r="M356">
        <f>0+D356+E356+G356+H356+I356+J356+K356+L356</f>
        <v>0</v>
      </c>
      <c r="N356">
        <f>0+D356+F356+G356+H356+I356+J356+K356+L356</f>
        <v>0</v>
      </c>
    </row>
    <row r="357" spans="3:14">
      <c r="C357" t="s">
        <v>37</v>
      </c>
      <c r="D357">
        <f>13.4187*$D$332</f>
        <v>0</v>
      </c>
      <c r="E357">
        <f>127.4777*$E$332</f>
        <v>0</v>
      </c>
      <c r="F357">
        <f>-112.6076*$F$332</f>
        <v>0</v>
      </c>
      <c r="G357">
        <f>-1.1438*$G$332</f>
        <v>0</v>
      </c>
      <c r="H357">
        <f>0*$H$332</f>
        <v>0</v>
      </c>
      <c r="I357">
        <f>1.967*$I$332</f>
        <v>0</v>
      </c>
      <c r="J357">
        <f>-30.0129*$J$332</f>
        <v>0</v>
      </c>
      <c r="K357">
        <f>40.0172*$K$332</f>
        <v>0</v>
      </c>
      <c r="L357">
        <f>-1.7797*$L$332</f>
        <v>0</v>
      </c>
      <c r="M357">
        <f>0+D357+E357+G357+H357+I357+J357+K357+L357</f>
        <v>0</v>
      </c>
      <c r="N357">
        <f>0+D357+F357+G357+H357+I357+J357+K357+L357</f>
        <v>0</v>
      </c>
    </row>
    <row r="358" spans="3:14">
      <c r="C358" t="s">
        <v>38</v>
      </c>
      <c r="D358">
        <f>11.5754*$D$332</f>
        <v>0</v>
      </c>
      <c r="E358">
        <f>177.8731*$E$332</f>
        <v>0</v>
      </c>
      <c r="F358">
        <f>-151.5459*$F$332</f>
        <v>0</v>
      </c>
      <c r="G358">
        <f>-1.5493*$G$332</f>
        <v>0</v>
      </c>
      <c r="H358">
        <f>0*$H$332</f>
        <v>0</v>
      </c>
      <c r="I358">
        <f>1.7271*$I$332</f>
        <v>0</v>
      </c>
      <c r="J358">
        <f>-34.5035*$J$332</f>
        <v>0</v>
      </c>
      <c r="K358">
        <f>46.0047*$K$332</f>
        <v>0</v>
      </c>
      <c r="L358">
        <f>-1.7282*$L$332</f>
        <v>0</v>
      </c>
      <c r="M358">
        <f>0+D358+E358+G358+H358+I358+J358+K358+L358</f>
        <v>0</v>
      </c>
      <c r="N358">
        <f>0+D358+F358+G358+H358+I358+J358+K358+L358</f>
        <v>0</v>
      </c>
    </row>
    <row r="359" spans="3:14">
      <c r="C359" t="s">
        <v>39</v>
      </c>
      <c r="D359">
        <f>11.2979*$D$332</f>
        <v>0</v>
      </c>
      <c r="E359">
        <f>166.5003*$E$332</f>
        <v>0</v>
      </c>
      <c r="F359">
        <f>-152.9285*$F$332</f>
        <v>0</v>
      </c>
      <c r="G359">
        <f>-2.0202*$G$332</f>
        <v>0</v>
      </c>
      <c r="H359">
        <f>0*$H$332</f>
        <v>0</v>
      </c>
      <c r="I359">
        <f>1.7054*$I$332</f>
        <v>0</v>
      </c>
      <c r="J359">
        <f>-31.8707*$J$332</f>
        <v>0</v>
      </c>
      <c r="K359">
        <f>42.4943*$K$332</f>
        <v>0</v>
      </c>
      <c r="L359">
        <f>-1.8469*$L$332</f>
        <v>0</v>
      </c>
      <c r="M359">
        <f>0+D359+E359+G359+H359+I359+J359+K359+L359</f>
        <v>0</v>
      </c>
      <c r="N359">
        <f>0+D359+F359+G359+H359+I359+J359+K359+L359</f>
        <v>0</v>
      </c>
    </row>
    <row r="360" spans="3:14">
      <c r="C360" t="s">
        <v>40</v>
      </c>
      <c r="D360">
        <f>9.7107*$D$332</f>
        <v>0</v>
      </c>
      <c r="E360">
        <f>154.4871*$E$332</f>
        <v>0</v>
      </c>
      <c r="F360">
        <f>-151.8489*$F$332</f>
        <v>0</v>
      </c>
      <c r="G360">
        <f>-2.3426*$G$332</f>
        <v>0</v>
      </c>
      <c r="H360">
        <f>0*$H$332</f>
        <v>0</v>
      </c>
      <c r="I360">
        <f>1.4836*$I$332</f>
        <v>0</v>
      </c>
      <c r="J360">
        <f>-24.0439*$J$332</f>
        <v>0</v>
      </c>
      <c r="K360">
        <f>32.0586*$K$332</f>
        <v>0</v>
      </c>
      <c r="L360">
        <f>-1.9602*$L$332</f>
        <v>0</v>
      </c>
      <c r="M360">
        <f>0+D360+E360+G360+H360+I360+J360+K360+L360</f>
        <v>0</v>
      </c>
      <c r="N360">
        <f>0+D360+F360+G360+H360+I360+J360+K360+L360</f>
        <v>0</v>
      </c>
    </row>
    <row r="361" spans="3:14">
      <c r="C361" t="s">
        <v>41</v>
      </c>
      <c r="D361">
        <f>7.9708*$D$332</f>
        <v>0</v>
      </c>
      <c r="E361">
        <f>145.0184*$E$332</f>
        <v>0</v>
      </c>
      <c r="F361">
        <f>-151.5061*$F$332</f>
        <v>0</v>
      </c>
      <c r="G361">
        <f>-2.2152*$G$332</f>
        <v>0</v>
      </c>
      <c r="H361">
        <f>0*$H$332</f>
        <v>0</v>
      </c>
      <c r="I361">
        <f>1.2144*$I$332</f>
        <v>0</v>
      </c>
      <c r="J361">
        <f>-18.1102*$J$332</f>
        <v>0</v>
      </c>
      <c r="K361">
        <f>24.147*$K$332</f>
        <v>0</v>
      </c>
      <c r="L361">
        <f>-2.1194*$L$332</f>
        <v>0</v>
      </c>
      <c r="M361">
        <f>0+D361+E361+G361+H361+I361+J361+K361+L361</f>
        <v>0</v>
      </c>
      <c r="N361">
        <f>0+D361+F361+G361+H361+I361+J361+K361+L361</f>
        <v>0</v>
      </c>
    </row>
    <row r="362" spans="3:14">
      <c r="C362" t="s">
        <v>42</v>
      </c>
      <c r="D362">
        <f>6.3556*$D$332</f>
        <v>0</v>
      </c>
      <c r="E362">
        <f>137.483*$E$332</f>
        <v>0</v>
      </c>
      <c r="F362">
        <f>-149.244*$F$332</f>
        <v>0</v>
      </c>
      <c r="G362">
        <f>-1.648*$G$332</f>
        <v>0</v>
      </c>
      <c r="H362">
        <f>0*$H$332</f>
        <v>0</v>
      </c>
      <c r="I362">
        <f>0.9634*$I$332</f>
        <v>0</v>
      </c>
      <c r="J362">
        <f>-17.065*$J$332</f>
        <v>0</v>
      </c>
      <c r="K362">
        <f>22.7534*$K$332</f>
        <v>0</v>
      </c>
      <c r="L362">
        <f>-2.2518*$L$332</f>
        <v>0</v>
      </c>
      <c r="M362">
        <f>0+D362+E362+G362+H362+I362+J362+K362+L362</f>
        <v>0</v>
      </c>
      <c r="N362">
        <f>0+D362+F362+G362+H362+I362+J362+K362+L362</f>
        <v>0</v>
      </c>
    </row>
    <row r="363" spans="3:14">
      <c r="C363" t="s">
        <v>43</v>
      </c>
      <c r="D363">
        <f>3.8379*$D$332</f>
        <v>0</v>
      </c>
      <c r="E363">
        <f>124.7682*$E$332</f>
        <v>0</v>
      </c>
      <c r="F363">
        <f>-135.5877*$F$332</f>
        <v>0</v>
      </c>
      <c r="G363">
        <f>-1.1998*$G$332</f>
        <v>0</v>
      </c>
      <c r="H363">
        <f>0*$H$332</f>
        <v>0</v>
      </c>
      <c r="I363">
        <f>0.6118*$I$332</f>
        <v>0</v>
      </c>
      <c r="J363">
        <f>-16.4346*$J$332</f>
        <v>0</v>
      </c>
      <c r="K363">
        <f>21.9128*$K$332</f>
        <v>0</v>
      </c>
      <c r="L363">
        <f>-2.2512*$L$332</f>
        <v>0</v>
      </c>
      <c r="M363">
        <f>0+D363+E363+G363+H363+I363+J363+K363+L363</f>
        <v>0</v>
      </c>
      <c r="N363">
        <f>0+D363+F363+G363+H363+I363+J363+K363+L363</f>
        <v>0</v>
      </c>
    </row>
    <row r="364" spans="3:14">
      <c r="C364" t="s">
        <v>44</v>
      </c>
      <c r="D364">
        <f>2.4122*$D$332</f>
        <v>0</v>
      </c>
      <c r="E364">
        <f>107.9876*$E$332</f>
        <v>0</v>
      </c>
      <c r="F364">
        <f>-122.0006*$F$332</f>
        <v>0</v>
      </c>
      <c r="G364">
        <f>-0.8619*$G$332</f>
        <v>0</v>
      </c>
      <c r="H364">
        <f>0*$H$332</f>
        <v>0</v>
      </c>
      <c r="I364">
        <f>0.3865*$I$332</f>
        <v>0</v>
      </c>
      <c r="J364">
        <f>-12.0171*$J$332</f>
        <v>0</v>
      </c>
      <c r="K364">
        <f>16.0228*$K$332</f>
        <v>0</v>
      </c>
      <c r="L364">
        <f>-2.2947*$L$332</f>
        <v>0</v>
      </c>
      <c r="M364">
        <f>0+D364+E364+G364+H364+I364+J364+K364+L364</f>
        <v>0</v>
      </c>
      <c r="N364">
        <f>0+D364+F364+G364+H364+I364+J364+K364+L364</f>
        <v>0</v>
      </c>
    </row>
    <row r="365" spans="3:14">
      <c r="C365" t="s">
        <v>45</v>
      </c>
      <c r="D365">
        <f>1.1762*$D$332</f>
        <v>0</v>
      </c>
      <c r="E365">
        <f>95.8406*$E$332</f>
        <v>0</v>
      </c>
      <c r="F365">
        <f>-110.7572*$F$332</f>
        <v>0</v>
      </c>
      <c r="G365">
        <f>-0.8066*$G$332</f>
        <v>0</v>
      </c>
      <c r="H365">
        <f>0*$H$332</f>
        <v>0</v>
      </c>
      <c r="I365">
        <f>0.1954*$I$332</f>
        <v>0</v>
      </c>
      <c r="J365">
        <f>-4.5618*$J$332</f>
        <v>0</v>
      </c>
      <c r="K365">
        <f>6.0824*$K$332</f>
        <v>0</v>
      </c>
      <c r="L365">
        <f>-2.4199*$L$332</f>
        <v>0</v>
      </c>
      <c r="M365">
        <f>0+D365+E365+G365+H365+I365+J365+K365+L365</f>
        <v>0</v>
      </c>
      <c r="N365">
        <f>0+D365+F365+G365+H365+I365+J365+K365+L365</f>
        <v>0</v>
      </c>
    </row>
    <row r="366" spans="3:14">
      <c r="C366" t="s">
        <v>46</v>
      </c>
      <c r="D366">
        <f>0.0694*$D$332</f>
        <v>0</v>
      </c>
      <c r="E366">
        <f>92.1046*$E$332</f>
        <v>0</v>
      </c>
      <c r="F366">
        <f>-103.254*$F$332</f>
        <v>0</v>
      </c>
      <c r="G366">
        <f>-0.5154*$G$332</f>
        <v>0</v>
      </c>
      <c r="H366">
        <f>0*$H$332</f>
        <v>0</v>
      </c>
      <c r="I366">
        <f>0.0087*$I$332</f>
        <v>0</v>
      </c>
      <c r="J366">
        <f>1.1337*$J$332</f>
        <v>0</v>
      </c>
      <c r="K366">
        <f>-1.5116*$K$332</f>
        <v>0</v>
      </c>
      <c r="L366">
        <f>-2.6503*$L$332</f>
        <v>0</v>
      </c>
      <c r="M366">
        <f>0+D366+E366+G366+H366+I366+J366+K366+L366</f>
        <v>0</v>
      </c>
      <c r="N366">
        <f>0+D366+F366+G366+H366+I366+J366+K366+L366</f>
        <v>0</v>
      </c>
    </row>
    <row r="367" spans="3:14">
      <c r="C367" t="s">
        <v>47</v>
      </c>
      <c r="D367">
        <f>-0.5405*$D$332</f>
        <v>0</v>
      </c>
      <c r="E367">
        <f>98.1117*$E$332</f>
        <v>0</v>
      </c>
      <c r="F367">
        <f>-101.3639*$F$332</f>
        <v>0</v>
      </c>
      <c r="G367">
        <f>0.1514*$G$332</f>
        <v>0</v>
      </c>
      <c r="H367">
        <f>0*$H$332</f>
        <v>0</v>
      </c>
      <c r="I367">
        <f>-0.1011*$I$332</f>
        <v>0</v>
      </c>
      <c r="J367">
        <f>1.2409*$J$332</f>
        <v>0</v>
      </c>
      <c r="K367">
        <f>-1.6545*$K$332</f>
        <v>0</v>
      </c>
      <c r="L367">
        <f>-2.9181*$L$332</f>
        <v>0</v>
      </c>
      <c r="M367">
        <f>0+D367+E367+G367+H367+I367+J367+K367+L367</f>
        <v>0</v>
      </c>
      <c r="N367">
        <f>0+D367+F367+G367+H367+I367+J367+K367+L367</f>
        <v>0</v>
      </c>
    </row>
    <row r="368" spans="3:14">
      <c r="C368" t="s">
        <v>48</v>
      </c>
      <c r="D368">
        <f>1.4556*$D$332</f>
        <v>0</v>
      </c>
      <c r="E368">
        <f>101.8203*$E$332</f>
        <v>0</v>
      </c>
      <c r="F368">
        <f>-88.4667*$F$332</f>
        <v>0</v>
      </c>
      <c r="G368">
        <f>0.4707*$G$332</f>
        <v>0</v>
      </c>
      <c r="H368">
        <f>0*$H$332</f>
        <v>0</v>
      </c>
      <c r="I368">
        <f>0.204*$I$332</f>
        <v>0</v>
      </c>
      <c r="J368">
        <f>-4.5753*$J$332</f>
        <v>0</v>
      </c>
      <c r="K368">
        <f>6.1004*$K$332</f>
        <v>0</v>
      </c>
      <c r="L368">
        <f>-3.2306*$L$332</f>
        <v>0</v>
      </c>
      <c r="M368">
        <f>0+D368+E368+G368+H368+I368+J368+K368+L368</f>
        <v>0</v>
      </c>
      <c r="N368">
        <f>0+D368+F368+G368+H368+I368+J368+K368+L368</f>
        <v>0</v>
      </c>
    </row>
    <row r="369" spans="3:14">
      <c r="C369" t="s">
        <v>49</v>
      </c>
      <c r="D369">
        <f>0.6214*$D$332</f>
        <v>0</v>
      </c>
      <c r="E369">
        <f>106.3682*$E$332</f>
        <v>0</v>
      </c>
      <c r="F369">
        <f>-93.8137*$F$332</f>
        <v>0</v>
      </c>
      <c r="G369">
        <f>0.8225*$G$332</f>
        <v>0</v>
      </c>
      <c r="H369">
        <f>0*$H$332</f>
        <v>0</v>
      </c>
      <c r="I369">
        <f>0.0641*$I$332</f>
        <v>0</v>
      </c>
      <c r="J369">
        <f>-0.8082*$J$332</f>
        <v>0</v>
      </c>
      <c r="K369">
        <f>1.0776*$K$332</f>
        <v>0</v>
      </c>
      <c r="L369">
        <f>-3.453*$L$332</f>
        <v>0</v>
      </c>
      <c r="M369">
        <f>0+D369+E369+G369+H369+I369+J369+K369+L369</f>
        <v>0</v>
      </c>
      <c r="N369">
        <f>0+D369+F369+G369+H369+I369+J369+K369+L369</f>
        <v>0</v>
      </c>
    </row>
    <row r="370" spans="3:14">
      <c r="C370" t="s">
        <v>50</v>
      </c>
      <c r="D370">
        <f>-0.3844*$D$332</f>
        <v>0</v>
      </c>
      <c r="E370">
        <f>115.3795*$E$332</f>
        <v>0</v>
      </c>
      <c r="F370">
        <f>-99.8794*$F$332</f>
        <v>0</v>
      </c>
      <c r="G370">
        <f>0.8939*$G$332</f>
        <v>0</v>
      </c>
      <c r="H370">
        <f>0*$H$332</f>
        <v>0</v>
      </c>
      <c r="I370">
        <f>-0.0939*$I$332</f>
        <v>0</v>
      </c>
      <c r="J370">
        <f>6.5723*$J$332</f>
        <v>0</v>
      </c>
      <c r="K370">
        <f>-8.763*$K$332</f>
        <v>0</v>
      </c>
      <c r="L370">
        <f>-3.7854*$L$332</f>
        <v>0</v>
      </c>
      <c r="M370">
        <f>0+D370+E370+G370+H370+I370+J370+K370+L370</f>
        <v>0</v>
      </c>
      <c r="N370">
        <f>0+D370+F370+G370+H370+I370+J370+K370+L370</f>
        <v>0</v>
      </c>
    </row>
    <row r="371" spans="3:14">
      <c r="C371" t="s">
        <v>51</v>
      </c>
      <c r="D371">
        <f>-1.4824*$D$332</f>
        <v>0</v>
      </c>
      <c r="E371">
        <f>129.0227*$E$332</f>
        <v>0</v>
      </c>
      <c r="F371">
        <f>-115.1191*$F$332</f>
        <v>0</v>
      </c>
      <c r="G371">
        <f>1.1993*$G$332</f>
        <v>0</v>
      </c>
      <c r="H371">
        <f>0*$H$332</f>
        <v>0</v>
      </c>
      <c r="I371">
        <f>-0.2798*$I$332</f>
        <v>0</v>
      </c>
      <c r="J371">
        <f>12.4875*$J$332</f>
        <v>0</v>
      </c>
      <c r="K371">
        <f>-16.65*$K$332</f>
        <v>0</v>
      </c>
      <c r="L371">
        <f>-4.1848*$L$332</f>
        <v>0</v>
      </c>
      <c r="M371">
        <f>0+D371+E371+G371+H371+I371+J371+K371+L371</f>
        <v>0</v>
      </c>
      <c r="N371">
        <f>0+D371+F371+G371+H371+I371+J371+K371+L371</f>
        <v>0</v>
      </c>
    </row>
    <row r="372" spans="3:14">
      <c r="C372" t="s">
        <v>52</v>
      </c>
      <c r="D372">
        <f>-2.7963*$D$332</f>
        <v>0</v>
      </c>
      <c r="E372">
        <f>142.8487*$E$332</f>
        <v>0</v>
      </c>
      <c r="F372">
        <f>-133.8575*$F$332</f>
        <v>0</v>
      </c>
      <c r="G372">
        <f>1.8809*$G$332</f>
        <v>0</v>
      </c>
      <c r="H372">
        <f>0*$H$332</f>
        <v>0</v>
      </c>
      <c r="I372">
        <f>-0.4916*$I$332</f>
        <v>0</v>
      </c>
      <c r="J372">
        <f>13.9642*$J$332</f>
        <v>0</v>
      </c>
      <c r="K372">
        <f>-18.619*$K$332</f>
        <v>0</v>
      </c>
      <c r="L372">
        <f>-4.6181*$L$332</f>
        <v>0</v>
      </c>
      <c r="M372">
        <f>0+D372+E372+G372+H372+I372+J372+K372+L372</f>
        <v>0</v>
      </c>
      <c r="N372">
        <f>0+D372+F372+G372+H372+I372+J372+K372+L372</f>
        <v>0</v>
      </c>
    </row>
    <row r="373" spans="3:14">
      <c r="C373" t="s">
        <v>53</v>
      </c>
      <c r="D373">
        <f>-4.0821*$D$332</f>
        <v>0</v>
      </c>
      <c r="E373">
        <f>150.656*$E$332</f>
        <v>0</v>
      </c>
      <c r="F373">
        <f>-138.2856*$F$332</f>
        <v>0</v>
      </c>
      <c r="G373">
        <f>2.3706*$G$332</f>
        <v>0</v>
      </c>
      <c r="H373">
        <f>0*$H$332</f>
        <v>0</v>
      </c>
      <c r="I373">
        <f>-0.6654*$I$332</f>
        <v>0</v>
      </c>
      <c r="J373">
        <f>13.9159*$J$332</f>
        <v>0</v>
      </c>
      <c r="K373">
        <f>-18.5545*$K$332</f>
        <v>0</v>
      </c>
      <c r="L373">
        <f>-5.3888*$L$332</f>
        <v>0</v>
      </c>
      <c r="M373">
        <f>0+D373+E373+G373+H373+I373+J373+K373+L373</f>
        <v>0</v>
      </c>
      <c r="N373">
        <f>0+D373+F373+G373+H373+I373+J373+K373+L373</f>
        <v>0</v>
      </c>
    </row>
    <row r="374" spans="3:14">
      <c r="C374" t="s">
        <v>54</v>
      </c>
      <c r="D374">
        <f>-5.7705*$D$332</f>
        <v>0</v>
      </c>
      <c r="E374">
        <f>151.796*$E$332</f>
        <v>0</v>
      </c>
      <c r="F374">
        <f>-147.6305*$F$332</f>
        <v>0</v>
      </c>
      <c r="G374">
        <f>2.6676*$G$332</f>
        <v>0</v>
      </c>
      <c r="H374">
        <f>0*$H$332</f>
        <v>0</v>
      </c>
      <c r="I374">
        <f>-0.9237*$I$332</f>
        <v>0</v>
      </c>
      <c r="J374">
        <f>18.7555*$J$332</f>
        <v>0</v>
      </c>
      <c r="K374">
        <f>-25.0074*$K$332</f>
        <v>0</v>
      </c>
      <c r="L374">
        <f>-5.8174*$L$332</f>
        <v>0</v>
      </c>
      <c r="M374">
        <f>0+D374+E374+G374+H374+I374+J374+K374+L374</f>
        <v>0</v>
      </c>
      <c r="N374">
        <f>0+D374+F374+G374+H374+I374+J374+K374+L374</f>
        <v>0</v>
      </c>
    </row>
    <row r="375" spans="3:14">
      <c r="C375" t="s">
        <v>55</v>
      </c>
      <c r="D375">
        <f>-7.7027*$D$332</f>
        <v>0</v>
      </c>
      <c r="E375">
        <f>154.6215*$E$332</f>
        <v>0</v>
      </c>
      <c r="F375">
        <f>-161.0253*$F$332</f>
        <v>0</v>
      </c>
      <c r="G375">
        <f>2.583*$G$332</f>
        <v>0</v>
      </c>
      <c r="H375">
        <f>0*$H$332</f>
        <v>0</v>
      </c>
      <c r="I375">
        <f>-1.2067*$I$332</f>
        <v>0</v>
      </c>
      <c r="J375">
        <f>27.4161*$J$332</f>
        <v>0</v>
      </c>
      <c r="K375">
        <f>-36.5548*$K$332</f>
        <v>0</v>
      </c>
      <c r="L375">
        <f>-6.4894*$L$332</f>
        <v>0</v>
      </c>
      <c r="M375">
        <f>0+D375+E375+G375+H375+I375+J375+K375+L375</f>
        <v>0</v>
      </c>
      <c r="N375">
        <f>0+D375+F375+G375+H375+I375+J375+K375+L375</f>
        <v>0</v>
      </c>
    </row>
    <row r="376" spans="3:14">
      <c r="C376" t="s">
        <v>56</v>
      </c>
      <c r="D376">
        <f>-9.3885*$D$332</f>
        <v>0</v>
      </c>
      <c r="E376">
        <f>158.1482*$E$332</f>
        <v>0</v>
      </c>
      <c r="F376">
        <f>-178.5406*$F$332</f>
        <v>0</v>
      </c>
      <c r="G376">
        <f>2.3573*$G$332</f>
        <v>0</v>
      </c>
      <c r="H376">
        <f>0*$H$332</f>
        <v>0</v>
      </c>
      <c r="I376">
        <f>-1.4506*$I$332</f>
        <v>0</v>
      </c>
      <c r="J376">
        <f>34.1479*$J$332</f>
        <v>0</v>
      </c>
      <c r="K376">
        <f>-45.5305*$K$332</f>
        <v>0</v>
      </c>
      <c r="L376">
        <f>-7.112*$L$332</f>
        <v>0</v>
      </c>
      <c r="M376">
        <f>0+D376+E376+G376+H376+I376+J376+K376+L376</f>
        <v>0</v>
      </c>
      <c r="N376">
        <f>0+D376+F376+G376+H376+I376+J376+K376+L376</f>
        <v>0</v>
      </c>
    </row>
    <row r="377" spans="3:14">
      <c r="C377" t="s">
        <v>57</v>
      </c>
      <c r="D377">
        <f>-9.3312*$D$332</f>
        <v>0</v>
      </c>
      <c r="E377">
        <f>153.4981*$E$332</f>
        <v>0</v>
      </c>
      <c r="F377">
        <f>-188.1084*$F$332</f>
        <v>0</v>
      </c>
      <c r="G377">
        <f>1.9933*$G$332</f>
        <v>0</v>
      </c>
      <c r="H377">
        <f>0*$H$332</f>
        <v>0</v>
      </c>
      <c r="I377">
        <f>-1.4378*$I$332</f>
        <v>0</v>
      </c>
      <c r="J377">
        <f>30.0282*$J$332</f>
        <v>0</v>
      </c>
      <c r="K377">
        <f>-40.0376*$K$332</f>
        <v>0</v>
      </c>
      <c r="L377">
        <f>-6.5751*$L$332</f>
        <v>0</v>
      </c>
      <c r="M377">
        <f>0+D377+E377+G377+H377+I377+J377+K377+L377</f>
        <v>0</v>
      </c>
      <c r="N377">
        <f>0+D377+F377+G377+H377+I377+J377+K377+L377</f>
        <v>0</v>
      </c>
    </row>
    <row r="378" spans="3:14">
      <c r="C378" t="s">
        <v>58</v>
      </c>
      <c r="D378">
        <f>-11.5389*$D$332</f>
        <v>0</v>
      </c>
      <c r="E378">
        <f>170.9641*$E$332</f>
        <v>0</v>
      </c>
      <c r="F378">
        <f>-194.9079*$F$332</f>
        <v>0</v>
      </c>
      <c r="G378">
        <f>1.6144*$G$332</f>
        <v>0</v>
      </c>
      <c r="H378">
        <f>0*$H$332</f>
        <v>0</v>
      </c>
      <c r="I378">
        <f>-1.7099*$I$332</f>
        <v>0</v>
      </c>
      <c r="J378">
        <f>31.9753*$J$332</f>
        <v>0</v>
      </c>
      <c r="K378">
        <f>-42.6338*$K$332</f>
        <v>0</v>
      </c>
      <c r="L378">
        <f>-6.2957*$L$332</f>
        <v>0</v>
      </c>
      <c r="M378">
        <f>0+D378+E378+G378+H378+I378+J378+K378+L378</f>
        <v>0</v>
      </c>
      <c r="N378">
        <f>0+D378+F378+G378+H378+I378+J378+K378+L378</f>
        <v>0</v>
      </c>
    </row>
    <row r="379" spans="3:14">
      <c r="C379" t="s">
        <v>58</v>
      </c>
      <c r="D379">
        <f>10.7549*$D$332</f>
        <v>0</v>
      </c>
      <c r="E379">
        <f>48.8354*$E$332</f>
        <v>0</v>
      </c>
      <c r="F379">
        <f>-31.487*$F$332</f>
        <v>0</v>
      </c>
      <c r="G379">
        <f>-0.8218*$G$332</f>
        <v>0</v>
      </c>
      <c r="H379">
        <f>0*$H$332</f>
        <v>0</v>
      </c>
      <c r="I379">
        <f>1.5555*$I$332</f>
        <v>0</v>
      </c>
      <c r="J379">
        <f>-24.282*$J$332</f>
        <v>0</v>
      </c>
      <c r="K379">
        <f>32.376*$K$332</f>
        <v>0</v>
      </c>
      <c r="L379">
        <f>-60.7936*$L$332</f>
        <v>0</v>
      </c>
      <c r="M379">
        <f>0+D379+E379+G379+H379+I379+J379+K379+L379</f>
        <v>0</v>
      </c>
      <c r="N379">
        <f>0+D379+F379+G379+H379+I379+J379+K379+L379</f>
        <v>0</v>
      </c>
    </row>
    <row r="380" spans="3:14">
      <c r="C380" t="s">
        <v>59</v>
      </c>
      <c r="D380">
        <f>10.7549*$D$332</f>
        <v>0</v>
      </c>
      <c r="E380">
        <f>48.8354*$E$332</f>
        <v>0</v>
      </c>
      <c r="F380">
        <f>-31.487*$F$332</f>
        <v>0</v>
      </c>
      <c r="G380">
        <f>-0.8218*$G$332</f>
        <v>0</v>
      </c>
      <c r="H380">
        <f>0*$H$332</f>
        <v>0</v>
      </c>
      <c r="I380">
        <f>1.5555*$I$332</f>
        <v>0</v>
      </c>
      <c r="J380">
        <f>-24.282*$J$332</f>
        <v>0</v>
      </c>
      <c r="K380">
        <f>32.376*$K$332</f>
        <v>0</v>
      </c>
      <c r="L380">
        <f>-60.7936*$L$332</f>
        <v>0</v>
      </c>
      <c r="M380">
        <f>0+D380+E380+G380+H380+I380+J380+K380+L380</f>
        <v>0</v>
      </c>
      <c r="N380">
        <f>0+D380+F380+G380+H380+I380+J380+K380+L380</f>
        <v>0</v>
      </c>
    </row>
    <row r="381" spans="3:14">
      <c r="C381" t="s">
        <v>60</v>
      </c>
      <c r="D381">
        <f>10.0773*$D$332</f>
        <v>0</v>
      </c>
      <c r="E381">
        <f>94.4211*$E$332</f>
        <v>0</v>
      </c>
      <c r="F381">
        <f>-85.3762*$F$332</f>
        <v>0</v>
      </c>
      <c r="G381">
        <f>-1.0405*$G$332</f>
        <v>0</v>
      </c>
      <c r="H381">
        <f>0*$H$332</f>
        <v>0</v>
      </c>
      <c r="I381">
        <f>1.4828*$I$332</f>
        <v>0</v>
      </c>
      <c r="J381">
        <f>-29.0837*$J$332</f>
        <v>0</v>
      </c>
      <c r="K381">
        <f>38.7783*$K$332</f>
        <v>0</v>
      </c>
      <c r="L381">
        <f>-72.6473*$L$332</f>
        <v>0</v>
      </c>
      <c r="M381">
        <f>0+D381+E381+G381+H381+I381+J381+K381+L381</f>
        <v>0</v>
      </c>
      <c r="N381">
        <f>0+D381+F381+G381+H381+I381+J381+K381+L381</f>
        <v>0</v>
      </c>
    </row>
    <row r="382" spans="3:14">
      <c r="C382" t="s">
        <v>61</v>
      </c>
      <c r="D382">
        <f>10.5962*$D$332</f>
        <v>0</v>
      </c>
      <c r="E382">
        <f>89.2487*$E$332</f>
        <v>0</v>
      </c>
      <c r="F382">
        <f>-81.3126*$F$332</f>
        <v>0</v>
      </c>
      <c r="G382">
        <f>-1.27*$G$332</f>
        <v>0</v>
      </c>
      <c r="H382">
        <f>0*$H$332</f>
        <v>0</v>
      </c>
      <c r="I382">
        <f>1.5662*$I$332</f>
        <v>0</v>
      </c>
      <c r="J382">
        <f>-25.6184*$J$332</f>
        <v>0</v>
      </c>
      <c r="K382">
        <f>34.1578*$K$332</f>
        <v>0</v>
      </c>
      <c r="L382">
        <f>-62.9692*$L$332</f>
        <v>0</v>
      </c>
      <c r="M382">
        <f>0+D382+E382+G382+H382+I382+J382+K382+L382</f>
        <v>0</v>
      </c>
      <c r="N382">
        <f>0+D382+F382+G382+H382+I382+J382+K382+L382</f>
        <v>0</v>
      </c>
    </row>
    <row r="383" spans="3:14">
      <c r="C383" t="s">
        <v>62</v>
      </c>
      <c r="D383">
        <f>9.7832*$D$332</f>
        <v>0</v>
      </c>
      <c r="E383">
        <f>82.8281*$E$332</f>
        <v>0</v>
      </c>
      <c r="F383">
        <f>-77.6841*$F$332</f>
        <v>0</v>
      </c>
      <c r="G383">
        <f>-1.2444*$G$332</f>
        <v>0</v>
      </c>
      <c r="H383">
        <f>0*$H$332</f>
        <v>0</v>
      </c>
      <c r="I383">
        <f>1.4377*$I$332</f>
        <v>0</v>
      </c>
      <c r="J383">
        <f>-15.8785*$J$332</f>
        <v>0</v>
      </c>
      <c r="K383">
        <f>21.1714*$K$332</f>
        <v>0</v>
      </c>
      <c r="L383">
        <f>-45.2993*$L$332</f>
        <v>0</v>
      </c>
      <c r="M383">
        <f>0+D383+E383+G383+H383+I383+J383+K383+L383</f>
        <v>0</v>
      </c>
      <c r="N383">
        <f>0+D383+F383+G383+H383+I383+J383+K383+L383</f>
        <v>0</v>
      </c>
    </row>
    <row r="384" spans="3:14">
      <c r="C384" t="s">
        <v>63</v>
      </c>
      <c r="D384">
        <f>8.4708*$D$332</f>
        <v>0</v>
      </c>
      <c r="E384">
        <f>77.1468*$E$332</f>
        <v>0</v>
      </c>
      <c r="F384">
        <f>-75.9072*$F$332</f>
        <v>0</v>
      </c>
      <c r="G384">
        <f>-0.7306*$G$332</f>
        <v>0</v>
      </c>
      <c r="H384">
        <f>0*$H$332</f>
        <v>0</v>
      </c>
      <c r="I384">
        <f>1.2068*$I$332</f>
        <v>0</v>
      </c>
      <c r="J384">
        <f>-7.3763*$J$332</f>
        <v>0</v>
      </c>
      <c r="K384">
        <f>9.835*$K$332</f>
        <v>0</v>
      </c>
      <c r="L384">
        <f>-24.1711*$L$332</f>
        <v>0</v>
      </c>
      <c r="M384">
        <f>0+D384+E384+G384+H384+I384+J384+K384+L384</f>
        <v>0</v>
      </c>
      <c r="N384">
        <f>0+D384+F384+G384+H384+I384+J384+K384+L384</f>
        <v>0</v>
      </c>
    </row>
    <row r="385" spans="3:14">
      <c r="C385" t="s">
        <v>64</v>
      </c>
      <c r="D385">
        <f>6.7279*$D$332</f>
        <v>0</v>
      </c>
      <c r="E385">
        <f>82.5381*$E$332</f>
        <v>0</v>
      </c>
      <c r="F385">
        <f>-75.9386*$F$332</f>
        <v>0</v>
      </c>
      <c r="G385">
        <f>0.3051*$G$332</f>
        <v>0</v>
      </c>
      <c r="H385">
        <f>0*$H$332</f>
        <v>0</v>
      </c>
      <c r="I385">
        <f>0.9053*$I$332</f>
        <v>0</v>
      </c>
      <c r="J385">
        <f>-2.373*$J$332</f>
        <v>0</v>
      </c>
      <c r="K385">
        <f>3.164*$K$332</f>
        <v>0</v>
      </c>
      <c r="L385">
        <f>-2.5422*$L$332</f>
        <v>0</v>
      </c>
      <c r="M385">
        <f>0+D385+E385+G385+H385+I385+J385+K385+L385</f>
        <v>0</v>
      </c>
      <c r="N385">
        <f>0+D385+F385+G385+H385+I385+J385+K385+L385</f>
        <v>0</v>
      </c>
    </row>
    <row r="386" spans="3:14">
      <c r="C386" t="s">
        <v>65</v>
      </c>
      <c r="D386">
        <f>2.9651*$D$332</f>
        <v>0</v>
      </c>
      <c r="E386">
        <f>79.6262*$E$332</f>
        <v>0</v>
      </c>
      <c r="F386">
        <f>-70.225*$F$332</f>
        <v>0</v>
      </c>
      <c r="G386">
        <f>1.9361*$G$332</f>
        <v>0</v>
      </c>
      <c r="H386">
        <f>0*$H$332</f>
        <v>0</v>
      </c>
      <c r="I386">
        <f>0.2905*$I$332</f>
        <v>0</v>
      </c>
      <c r="J386">
        <f>10.6867*$J$332</f>
        <v>0</v>
      </c>
      <c r="K386">
        <f>-14.2489*$K$332</f>
        <v>0</v>
      </c>
      <c r="L386">
        <f>16.5485*$L$332</f>
        <v>0</v>
      </c>
      <c r="M386">
        <f>0+D386+E386+G386+H386+I386+J386+K386+L386</f>
        <v>0</v>
      </c>
      <c r="N386">
        <f>0+D386+F386+G386+H386+I386+J386+K386+L386</f>
        <v>0</v>
      </c>
    </row>
    <row r="387" spans="3:14">
      <c r="C387" t="s">
        <v>66</v>
      </c>
      <c r="D387">
        <f>1.3833*$D$332</f>
        <v>0</v>
      </c>
      <c r="E387">
        <f>80.5945*$E$332</f>
        <v>0</v>
      </c>
      <c r="F387">
        <f>-74.2537*$F$332</f>
        <v>0</v>
      </c>
      <c r="G387">
        <f>2.8355*$G$332</f>
        <v>0</v>
      </c>
      <c r="H387">
        <f>0*$H$332</f>
        <v>0</v>
      </c>
      <c r="I387">
        <f>-0.0015*$I$332</f>
        <v>0</v>
      </c>
      <c r="J387">
        <f>20.9874*$J$332</f>
        <v>0</v>
      </c>
      <c r="K387">
        <f>-27.9832*$K$332</f>
        <v>0</v>
      </c>
      <c r="L387">
        <f>42.0549*$L$332</f>
        <v>0</v>
      </c>
      <c r="M387">
        <f>0+D387+E387+G387+H387+I387+J387+K387+L387</f>
        <v>0</v>
      </c>
      <c r="N387">
        <f>0+D387+F387+G387+H387+I387+J387+K387+L387</f>
        <v>0</v>
      </c>
    </row>
    <row r="388" spans="3:14">
      <c r="C388" t="s">
        <v>67</v>
      </c>
      <c r="D388">
        <f>0.1799*$D$332</f>
        <v>0</v>
      </c>
      <c r="E388">
        <f>84.16*$E$332</f>
        <v>0</v>
      </c>
      <c r="F388">
        <f>-79.1113*$F$332</f>
        <v>0</v>
      </c>
      <c r="G388">
        <f>3.3318*$G$332</f>
        <v>0</v>
      </c>
      <c r="H388">
        <f>0*$H$332</f>
        <v>0</v>
      </c>
      <c r="I388">
        <f>-0.2266*$I$332</f>
        <v>0</v>
      </c>
      <c r="J388">
        <f>34.3745*$J$332</f>
        <v>0</v>
      </c>
      <c r="K388">
        <f>-45.8327*$K$332</f>
        <v>0</v>
      </c>
      <c r="L388">
        <f>65.8023*$L$332</f>
        <v>0</v>
      </c>
      <c r="M388">
        <f>0+D388+E388+G388+H388+I388+J388+K388+L388</f>
        <v>0</v>
      </c>
      <c r="N388">
        <f>0+D388+F388+G388+H388+I388+J388+K388+L388</f>
        <v>0</v>
      </c>
    </row>
    <row r="389" spans="3:14">
      <c r="C389" t="s">
        <v>68</v>
      </c>
      <c r="D389">
        <f>-0.6972*$D$332</f>
        <v>0</v>
      </c>
      <c r="E389">
        <f>90.8135*$E$332</f>
        <v>0</v>
      </c>
      <c r="F389">
        <f>-88.9943*$F$332</f>
        <v>0</v>
      </c>
      <c r="G389">
        <f>3.6009*$G$332</f>
        <v>0</v>
      </c>
      <c r="H389">
        <f>0*$H$332</f>
        <v>0</v>
      </c>
      <c r="I389">
        <f>-0.3879*$I$332</f>
        <v>0</v>
      </c>
      <c r="J389">
        <f>42.0983*$J$332</f>
        <v>0</v>
      </c>
      <c r="K389">
        <f>-56.1311*$K$332</f>
        <v>0</v>
      </c>
      <c r="L389">
        <f>85.8057*$L$332</f>
        <v>0</v>
      </c>
      <c r="M389">
        <f>0+D389+E389+G389+H389+I389+J389+K389+L389</f>
        <v>0</v>
      </c>
      <c r="N389">
        <f>0+D389+F389+G389+H389+I389+J389+K389+L389</f>
        <v>0</v>
      </c>
    </row>
    <row r="390" spans="3:14">
      <c r="C390" t="s">
        <v>69</v>
      </c>
      <c r="D390">
        <f>-1.0274*$D$332</f>
        <v>0</v>
      </c>
      <c r="E390">
        <f>97.9865*$E$332</f>
        <v>0</v>
      </c>
      <c r="F390">
        <f>-102.8744*$F$332</f>
        <v>0</v>
      </c>
      <c r="G390">
        <f>3.9387*$G$332</f>
        <v>0</v>
      </c>
      <c r="H390">
        <f>0*$H$332</f>
        <v>0</v>
      </c>
      <c r="I390">
        <f>-0.4525*$I$332</f>
        <v>0</v>
      </c>
      <c r="J390">
        <f>46.3669*$J$332</f>
        <v>0</v>
      </c>
      <c r="K390">
        <f>-61.8226*$K$332</f>
        <v>0</v>
      </c>
      <c r="L390">
        <f>97.9386*$L$332</f>
        <v>0</v>
      </c>
      <c r="M390">
        <f>0+D390+E390+G390+H390+I390+J390+K390+L390</f>
        <v>0</v>
      </c>
      <c r="N390">
        <f>0+D390+F390+G390+H390+I390+J390+K390+L390</f>
        <v>0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C3:N390"/>
  <sheetViews>
    <sheetView workbookViewId="0"/>
  </sheetViews>
  <sheetFormatPr defaultRowHeight="15"/>
  <sheetData>
    <row r="3" spans="3:14">
      <c r="C3" t="s">
        <v>77</v>
      </c>
    </row>
    <row r="5" spans="3:14">
      <c r="C5" t="s">
        <v>1</v>
      </c>
    </row>
    <row r="7" spans="3:14">
      <c r="C7" t="s">
        <v>2</v>
      </c>
    </row>
    <row r="8" spans="3:14"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  <c r="N8" t="s">
        <v>14</v>
      </c>
    </row>
    <row r="9" spans="3:14">
      <c r="C9" t="s">
        <v>78</v>
      </c>
      <c r="D9">
        <f>-29.9547*$D$7</f>
        <v>0</v>
      </c>
      <c r="E9">
        <f>175.1905*$E$7</f>
        <v>0</v>
      </c>
      <c r="F9">
        <f>-240.1449*$F$7</f>
        <v>0</v>
      </c>
      <c r="G9">
        <f>24.0122*$G$7</f>
        <v>0</v>
      </c>
      <c r="H9">
        <f>0*$H$7</f>
        <v>0</v>
      </c>
      <c r="I9">
        <f>-6.5443*$I$7</f>
        <v>0</v>
      </c>
      <c r="J9">
        <f>161.0646*$J$7</f>
        <v>0</v>
      </c>
      <c r="K9">
        <f>-214.7527*$K$7</f>
        <v>0</v>
      </c>
      <c r="L9">
        <f>0.0612*$L$7</f>
        <v>0</v>
      </c>
      <c r="M9">
        <f>0+D9+E9+G9+H9+I9+J9+K9+L9</f>
        <v>0</v>
      </c>
      <c r="N9">
        <f>0+D9+F9+G9+H9+I9+J9+K9+L9</f>
        <v>0</v>
      </c>
    </row>
    <row r="10" spans="3:14">
      <c r="C10" t="s">
        <v>16</v>
      </c>
      <c r="D10">
        <f>215.4024*$D$7</f>
        <v>0</v>
      </c>
      <c r="E10">
        <f>369.9482*$E$7</f>
        <v>0</v>
      </c>
      <c r="F10">
        <f>-28.3962*$F$7</f>
        <v>0</v>
      </c>
      <c r="G10">
        <f>34.7167*$G$7</f>
        <v>0</v>
      </c>
      <c r="H10">
        <f>0*$H$7</f>
        <v>0</v>
      </c>
      <c r="I10">
        <f>30.2423*$I$7</f>
        <v>0</v>
      </c>
      <c r="J10">
        <f>64.3323*$J$7</f>
        <v>0</v>
      </c>
      <c r="K10">
        <f>-85.7765*$K$7</f>
        <v>0</v>
      </c>
      <c r="L10">
        <f>0.0543*$L$7</f>
        <v>0</v>
      </c>
      <c r="M10">
        <f>0+D10+E10+G10+H10+I10+J10+K10+L10</f>
        <v>0</v>
      </c>
      <c r="N10">
        <f>0+D10+F10+G10+H10+I10+J10+K10+L10</f>
        <v>0</v>
      </c>
    </row>
    <row r="11" spans="3:14">
      <c r="C11" t="s">
        <v>17</v>
      </c>
      <c r="D11">
        <f>416.9697*$D$7</f>
        <v>0</v>
      </c>
      <c r="E11">
        <f>619.2344*$E$7</f>
        <v>0</v>
      </c>
      <c r="F11">
        <f>-12.0393*$F$7</f>
        <v>0</v>
      </c>
      <c r="G11">
        <f>45.6872*$G$7</f>
        <v>0</v>
      </c>
      <c r="H11">
        <f>0*$H$7</f>
        <v>0</v>
      </c>
      <c r="I11">
        <f>59.9767*$I$7</f>
        <v>0</v>
      </c>
      <c r="J11">
        <f>0.1082*$J$7</f>
        <v>0</v>
      </c>
      <c r="K11">
        <f>-0.1443*$K$7</f>
        <v>0</v>
      </c>
      <c r="L11">
        <f>0.048*$L$7</f>
        <v>0</v>
      </c>
      <c r="M11">
        <f>0+D11+E11+G11+H11+I11+J11+K11+L11</f>
        <v>0</v>
      </c>
      <c r="N11">
        <f>0+D11+F11+G11+H11+I11+J11+K11+L11</f>
        <v>0</v>
      </c>
    </row>
    <row r="12" spans="3:14">
      <c r="C12" t="s">
        <v>18</v>
      </c>
      <c r="D12">
        <f>588.3311*$D$7</f>
        <v>0</v>
      </c>
      <c r="E12">
        <f>841.5635*$E$7</f>
        <v>0</v>
      </c>
      <c r="F12">
        <f>-13.8644*$F$7</f>
        <v>0</v>
      </c>
      <c r="G12">
        <f>57.509*$G$7</f>
        <v>0</v>
      </c>
      <c r="H12">
        <f>0*$H$7</f>
        <v>0</v>
      </c>
      <c r="I12">
        <f>84.6937*$I$7</f>
        <v>0</v>
      </c>
      <c r="J12">
        <f>-60.6164*$J$7</f>
        <v>0</v>
      </c>
      <c r="K12">
        <f>80.8219*$K$7</f>
        <v>0</v>
      </c>
      <c r="L12">
        <f>0.0416*$L$7</f>
        <v>0</v>
      </c>
      <c r="M12">
        <f>0+D12+E12+G12+H12+I12+J12+K12+L12</f>
        <v>0</v>
      </c>
      <c r="N12">
        <f>0+D12+F12+G12+H12+I12+J12+K12+L12</f>
        <v>0</v>
      </c>
    </row>
    <row r="13" spans="3:14">
      <c r="C13" t="s">
        <v>19</v>
      </c>
      <c r="D13">
        <f>723.5861*$D$7</f>
        <v>0</v>
      </c>
      <c r="E13">
        <f>1004.9325*$E$7</f>
        <v>0</v>
      </c>
      <c r="F13">
        <f>-15.9771*$F$7</f>
        <v>0</v>
      </c>
      <c r="G13">
        <f>69.0684*$G$7</f>
        <v>0</v>
      </c>
      <c r="H13">
        <f>0*$H$7</f>
        <v>0</v>
      </c>
      <c r="I13">
        <f>103.6208*$I$7</f>
        <v>0</v>
      </c>
      <c r="J13">
        <f>-120.1294*$J$7</f>
        <v>0</v>
      </c>
      <c r="K13">
        <f>160.1725*$K$7</f>
        <v>0</v>
      </c>
      <c r="L13">
        <f>0.0355*$L$7</f>
        <v>0</v>
      </c>
      <c r="M13">
        <f>0+D13+E13+G13+H13+I13+J13+K13+L13</f>
        <v>0</v>
      </c>
      <c r="N13">
        <f>0+D13+F13+G13+H13+I13+J13+K13+L13</f>
        <v>0</v>
      </c>
    </row>
    <row r="14" spans="3:14">
      <c r="C14" t="s">
        <v>20</v>
      </c>
      <c r="D14">
        <f>839.6029*$D$7</f>
        <v>0</v>
      </c>
      <c r="E14">
        <f>1143.7844*$E$7</f>
        <v>0</v>
      </c>
      <c r="F14">
        <f>-18.1801*$F$7</f>
        <v>0</v>
      </c>
      <c r="G14">
        <f>80.6926*$G$7</f>
        <v>0</v>
      </c>
      <c r="H14">
        <f>0*$H$7</f>
        <v>0</v>
      </c>
      <c r="I14">
        <f>119.2563*$I$7</f>
        <v>0</v>
      </c>
      <c r="J14">
        <f>-171.5264*$J$7</f>
        <v>0</v>
      </c>
      <c r="K14">
        <f>228.7018*$K$7</f>
        <v>0</v>
      </c>
      <c r="L14">
        <f>0.0303*$L$7</f>
        <v>0</v>
      </c>
      <c r="M14">
        <f>0+D14+E14+G14+H14+I14+J14+K14+L14</f>
        <v>0</v>
      </c>
      <c r="N14">
        <f>0+D14+F14+G14+H14+I14+J14+K14+L14</f>
        <v>0</v>
      </c>
    </row>
    <row r="15" spans="3:14">
      <c r="C15" t="s">
        <v>21</v>
      </c>
      <c r="D15">
        <f>937.6014*$D$7</f>
        <v>0</v>
      </c>
      <c r="E15">
        <f>1278.3738*$E$7</f>
        <v>0</v>
      </c>
      <c r="F15">
        <f>-20.5086*$F$7</f>
        <v>0</v>
      </c>
      <c r="G15">
        <f>87.6754*$G$7</f>
        <v>0</v>
      </c>
      <c r="H15">
        <f>0*$H$7</f>
        <v>0</v>
      </c>
      <c r="I15">
        <f>134.3213*$I$7</f>
        <v>0</v>
      </c>
      <c r="J15">
        <f>-153.2221*$J$7</f>
        <v>0</v>
      </c>
      <c r="K15">
        <f>204.2962*$K$7</f>
        <v>0</v>
      </c>
      <c r="L15">
        <f>0.0264*$L$7</f>
        <v>0</v>
      </c>
      <c r="M15">
        <f>0+D15+E15+G15+H15+I15+J15+K15+L15</f>
        <v>0</v>
      </c>
      <c r="N15">
        <f>0+D15+F15+G15+H15+I15+J15+K15+L15</f>
        <v>0</v>
      </c>
    </row>
    <row r="16" spans="3:14">
      <c r="C16" t="s">
        <v>22</v>
      </c>
      <c r="D16">
        <f>1010.7832*$D$7</f>
        <v>0</v>
      </c>
      <c r="E16">
        <f>1375.2944*$E$7</f>
        <v>0</v>
      </c>
      <c r="F16">
        <f>-22.7723*$F$7</f>
        <v>0</v>
      </c>
      <c r="G16">
        <f>92.729*$G$7</f>
        <v>0</v>
      </c>
      <c r="H16">
        <f>0*$H$7</f>
        <v>0</v>
      </c>
      <c r="I16">
        <f>145.3011*$I$7</f>
        <v>0</v>
      </c>
      <c r="J16">
        <f>-144.9406*$J$7</f>
        <v>0</v>
      </c>
      <c r="K16">
        <f>193.2541*$K$7</f>
        <v>0</v>
      </c>
      <c r="L16">
        <f>0.0228*$L$7</f>
        <v>0</v>
      </c>
      <c r="M16">
        <f>0+D16+E16+G16+H16+I16+J16+K16+L16</f>
        <v>0</v>
      </c>
      <c r="N16">
        <f>0+D16+F16+G16+H16+I16+J16+K16+L16</f>
        <v>0</v>
      </c>
    </row>
    <row r="17" spans="3:14">
      <c r="C17" t="s">
        <v>23</v>
      </c>
      <c r="D17">
        <f>1057.9636*$D$7</f>
        <v>0</v>
      </c>
      <c r="E17">
        <f>1430.5406*$E$7</f>
        <v>0</v>
      </c>
      <c r="F17">
        <f>-24.8382*$F$7</f>
        <v>0</v>
      </c>
      <c r="G17">
        <f>97.5392*$G$7</f>
        <v>0</v>
      </c>
      <c r="H17">
        <f>0*$H$7</f>
        <v>0</v>
      </c>
      <c r="I17">
        <f>151.9688*$I$7</f>
        <v>0</v>
      </c>
      <c r="J17">
        <f>-144.7276*$J$7</f>
        <v>0</v>
      </c>
      <c r="K17">
        <f>192.9702*$K$7</f>
        <v>0</v>
      </c>
      <c r="L17">
        <f>0.0196*$L$7</f>
        <v>0</v>
      </c>
      <c r="M17">
        <f>0+D17+E17+G17+H17+I17+J17+K17+L17</f>
        <v>0</v>
      </c>
      <c r="N17">
        <f>0+D17+F17+G17+H17+I17+J17+K17+L17</f>
        <v>0</v>
      </c>
    </row>
    <row r="18" spans="3:14">
      <c r="C18" t="s">
        <v>24</v>
      </c>
      <c r="D18">
        <f>1090.1869*$D$7</f>
        <v>0</v>
      </c>
      <c r="E18">
        <f>1459.7368*$E$7</f>
        <v>0</v>
      </c>
      <c r="F18">
        <f>-27.1654*$F$7</f>
        <v>0</v>
      </c>
      <c r="G18">
        <f>102.9326*$G$7</f>
        <v>0</v>
      </c>
      <c r="H18">
        <f>0*$H$7</f>
        <v>0</v>
      </c>
      <c r="I18">
        <f>155.9652*$I$7</f>
        <v>0</v>
      </c>
      <c r="J18">
        <f>-152.5589*$J$7</f>
        <v>0</v>
      </c>
      <c r="K18">
        <f>203.4118*$K$7</f>
        <v>0</v>
      </c>
      <c r="L18">
        <f>0.0165*$L$7</f>
        <v>0</v>
      </c>
      <c r="M18">
        <f>0+D18+E18+G18+H18+I18+J18+K18+L18</f>
        <v>0</v>
      </c>
      <c r="N18">
        <f>0+D18+F18+G18+H18+I18+J18+K18+L18</f>
        <v>0</v>
      </c>
    </row>
    <row r="19" spans="3:14">
      <c r="C19" t="s">
        <v>25</v>
      </c>
      <c r="D19">
        <f>1098.456*$D$7</f>
        <v>0</v>
      </c>
      <c r="E19">
        <f>1446.2347*$E$7</f>
        <v>0</v>
      </c>
      <c r="F19">
        <f>-29.8151*$F$7</f>
        <v>0</v>
      </c>
      <c r="G19">
        <f>107.5483*$G$7</f>
        <v>0</v>
      </c>
      <c r="H19">
        <f>0*$H$7</f>
        <v>0</v>
      </c>
      <c r="I19">
        <f>155.9644*$I$7</f>
        <v>0</v>
      </c>
      <c r="J19">
        <f>-164.6221*$J$7</f>
        <v>0</v>
      </c>
      <c r="K19">
        <f>219.4961*$K$7</f>
        <v>0</v>
      </c>
      <c r="L19">
        <f>0.0138*$L$7</f>
        <v>0</v>
      </c>
      <c r="M19">
        <f>0+D19+E19+G19+H19+I19+J19+K19+L19</f>
        <v>0</v>
      </c>
      <c r="N19">
        <f>0+D19+F19+G19+H19+I19+J19+K19+L19</f>
        <v>0</v>
      </c>
    </row>
    <row r="20" spans="3:14">
      <c r="C20" t="s">
        <v>26</v>
      </c>
      <c r="D20">
        <f>1079.9101*$D$7</f>
        <v>0</v>
      </c>
      <c r="E20">
        <f>1447.6423*$E$7</f>
        <v>0</v>
      </c>
      <c r="F20">
        <f>-32.4208*$F$7</f>
        <v>0</v>
      </c>
      <c r="G20">
        <f>101.8798*$G$7</f>
        <v>0</v>
      </c>
      <c r="H20">
        <f>0*$H$7</f>
        <v>0</v>
      </c>
      <c r="I20">
        <f>154.5064*$I$7</f>
        <v>0</v>
      </c>
      <c r="J20">
        <f>-152.3897*$J$7</f>
        <v>0</v>
      </c>
      <c r="K20">
        <f>203.1862*$K$7</f>
        <v>0</v>
      </c>
      <c r="L20">
        <f>0.0137*$L$7</f>
        <v>0</v>
      </c>
      <c r="M20">
        <f>0+D20+E20+G20+H20+I20+J20+K20+L20</f>
        <v>0</v>
      </c>
      <c r="N20">
        <f>0+D20+F20+G20+H20+I20+J20+K20+L20</f>
        <v>0</v>
      </c>
    </row>
    <row r="21" spans="3:14">
      <c r="C21" t="s">
        <v>27</v>
      </c>
      <c r="D21">
        <f>1040.3994*$D$7</f>
        <v>0</v>
      </c>
      <c r="E21">
        <f>1416.9231*$E$7</f>
        <v>0</v>
      </c>
      <c r="F21">
        <f>-35.521*$F$7</f>
        <v>0</v>
      </c>
      <c r="G21">
        <f>95.3686*$G$7</f>
        <v>0</v>
      </c>
      <c r="H21">
        <f>0*$H$7</f>
        <v>0</v>
      </c>
      <c r="I21">
        <f>149.4487*$I$7</f>
        <v>0</v>
      </c>
      <c r="J21">
        <f>-144.3756*$J$7</f>
        <v>0</v>
      </c>
      <c r="K21">
        <f>192.5007*$K$7</f>
        <v>0</v>
      </c>
      <c r="L21">
        <f>0.0139*$L$7</f>
        <v>0</v>
      </c>
      <c r="M21">
        <f>0+D21+E21+G21+H21+I21+J21+K21+L21</f>
        <v>0</v>
      </c>
      <c r="N21">
        <f>0+D21+F21+G21+H21+I21+J21+K21+L21</f>
        <v>0</v>
      </c>
    </row>
    <row r="22" spans="3:14">
      <c r="C22" t="s">
        <v>28</v>
      </c>
      <c r="D22">
        <f>976.9015*$D$7</f>
        <v>0</v>
      </c>
      <c r="E22">
        <f>1340.861*$E$7</f>
        <v>0</v>
      </c>
      <c r="F22">
        <f>-38.5834*$F$7</f>
        <v>0</v>
      </c>
      <c r="G22">
        <f>88.7532*$G$7</f>
        <v>0</v>
      </c>
      <c r="H22">
        <f>0*$H$7</f>
        <v>0</v>
      </c>
      <c r="I22">
        <f>140.3524*$I$7</f>
        <v>0</v>
      </c>
      <c r="J22">
        <f>-144.5002*$J$7</f>
        <v>0</v>
      </c>
      <c r="K22">
        <f>192.667*$K$7</f>
        <v>0</v>
      </c>
      <c r="L22">
        <f>0.0147*$L$7</f>
        <v>0</v>
      </c>
      <c r="M22">
        <f>0+D22+E22+G22+H22+I22+J22+K22+L22</f>
        <v>0</v>
      </c>
      <c r="N22">
        <f>0+D22+F22+G22+H22+I22+J22+K22+L22</f>
        <v>0</v>
      </c>
    </row>
    <row r="23" spans="3:14">
      <c r="C23" t="s">
        <v>29</v>
      </c>
      <c r="D23">
        <f>899.0906*$D$7</f>
        <v>0</v>
      </c>
      <c r="E23">
        <f>1242.3253*$E$7</f>
        <v>0</v>
      </c>
      <c r="F23">
        <f>-41.3219*$F$7</f>
        <v>0</v>
      </c>
      <c r="G23">
        <f>82.8669*$G$7</f>
        <v>0</v>
      </c>
      <c r="H23">
        <f>0*$H$7</f>
        <v>0</v>
      </c>
      <c r="I23">
        <f>128.6918*$I$7</f>
        <v>0</v>
      </c>
      <c r="J23">
        <f>-152.1446*$J$7</f>
        <v>0</v>
      </c>
      <c r="K23">
        <f>202.8595*$K$7</f>
        <v>0</v>
      </c>
      <c r="L23">
        <f>0.0162*$L$7</f>
        <v>0</v>
      </c>
      <c r="M23">
        <f>0+D23+E23+G23+H23+I23+J23+K23+L23</f>
        <v>0</v>
      </c>
      <c r="N23">
        <f>0+D23+F23+G23+H23+I23+J23+K23+L23</f>
        <v>0</v>
      </c>
    </row>
    <row r="24" spans="3:14">
      <c r="C24" t="s">
        <v>30</v>
      </c>
      <c r="D24">
        <f>795.0001*$D$7</f>
        <v>0</v>
      </c>
      <c r="E24">
        <f>1103.5722*$E$7</f>
        <v>0</v>
      </c>
      <c r="F24">
        <f>-44.5684*$F$7</f>
        <v>0</v>
      </c>
      <c r="G24">
        <f>76.054*$G$7</f>
        <v>0</v>
      </c>
      <c r="H24">
        <f>0*$H$7</f>
        <v>0</v>
      </c>
      <c r="I24">
        <f>112.6965*$I$7</f>
        <v>0</v>
      </c>
      <c r="J24">
        <f>-163.4288*$J$7</f>
        <v>0</v>
      </c>
      <c r="K24">
        <f>217.905*$K$7</f>
        <v>0</v>
      </c>
      <c r="L24">
        <f>0.0189*$L$7</f>
        <v>0</v>
      </c>
      <c r="M24">
        <f>0+D24+E24+G24+H24+I24+J24+K24+L24</f>
        <v>0</v>
      </c>
      <c r="N24">
        <f>0+D24+F24+G24+H24+I24+J24+K24+L24</f>
        <v>0</v>
      </c>
    </row>
    <row r="25" spans="3:14">
      <c r="C25" t="s">
        <v>31</v>
      </c>
      <c r="D25">
        <f>665.2872*$D$7</f>
        <v>0</v>
      </c>
      <c r="E25">
        <f>958.4768*$E$7</f>
        <v>0</v>
      </c>
      <c r="F25">
        <f>-49.7197*$F$7</f>
        <v>0</v>
      </c>
      <c r="G25">
        <f>60.0446*$G$7</f>
        <v>0</v>
      </c>
      <c r="H25">
        <f>0*$H$7</f>
        <v>0</v>
      </c>
      <c r="I25">
        <f>95.3371*$I$7</f>
        <v>0</v>
      </c>
      <c r="J25">
        <f>-147.2717*$J$7</f>
        <v>0</v>
      </c>
      <c r="K25">
        <f>196.3623*$K$7</f>
        <v>0</v>
      </c>
      <c r="L25">
        <f>0.0194*$L$7</f>
        <v>0</v>
      </c>
      <c r="M25">
        <f>0+D25+E25+G25+H25+I25+J25+K25+L25</f>
        <v>0</v>
      </c>
      <c r="N25">
        <f>0+D25+F25+G25+H25+I25+J25+K25+L25</f>
        <v>0</v>
      </c>
    </row>
    <row r="26" spans="3:14">
      <c r="C26" t="s">
        <v>32</v>
      </c>
      <c r="D26">
        <f>534.2339*$D$7</f>
        <v>0</v>
      </c>
      <c r="E26">
        <f>797.675*$E$7</f>
        <v>0</v>
      </c>
      <c r="F26">
        <f>-56.7306*$F$7</f>
        <v>0</v>
      </c>
      <c r="G26">
        <f>46.0237*$G$7</f>
        <v>0</v>
      </c>
      <c r="H26">
        <f>0*$H$7</f>
        <v>0</v>
      </c>
      <c r="I26">
        <f>77.2072*$I$7</f>
        <v>0</v>
      </c>
      <c r="J26">
        <f>-119.0795*$J$7</f>
        <v>0</v>
      </c>
      <c r="K26">
        <f>158.7727*$K$7</f>
        <v>0</v>
      </c>
      <c r="L26">
        <f>0.0178*$L$7</f>
        <v>0</v>
      </c>
      <c r="M26">
        <f>0+D26+E26+G26+H26+I26+J26+K26+L26</f>
        <v>0</v>
      </c>
      <c r="N26">
        <f>0+D26+F26+G26+H26+I26+J26+K26+L26</f>
        <v>0</v>
      </c>
    </row>
    <row r="27" spans="3:14">
      <c r="C27" t="s">
        <v>33</v>
      </c>
      <c r="D27">
        <f>372.6809*$D$7</f>
        <v>0</v>
      </c>
      <c r="E27">
        <f>584.3151*$E$7</f>
        <v>0</v>
      </c>
      <c r="F27">
        <f>-64.7367*$F$7</f>
        <v>0</v>
      </c>
      <c r="G27">
        <f>30.8825*$G$7</f>
        <v>0</v>
      </c>
      <c r="H27">
        <f>0*$H$7</f>
        <v>0</v>
      </c>
      <c r="I27">
        <f>54.2694*$I$7</f>
        <v>0</v>
      </c>
      <c r="J27">
        <f>-94.9189*$J$7</f>
        <v>0</v>
      </c>
      <c r="K27">
        <f>126.5586*$K$7</f>
        <v>0</v>
      </c>
      <c r="L27">
        <f>0.0139*$L$7</f>
        <v>0</v>
      </c>
      <c r="M27">
        <f>0+D27+E27+G27+H27+I27+J27+K27+L27</f>
        <v>0</v>
      </c>
      <c r="N27">
        <f>0+D27+F27+G27+H27+I27+J27+K27+L27</f>
        <v>0</v>
      </c>
    </row>
    <row r="28" spans="3:14">
      <c r="C28" t="s">
        <v>34</v>
      </c>
      <c r="D28">
        <f>181.6866*$D$7</f>
        <v>0</v>
      </c>
      <c r="E28">
        <f>309.0747*$E$7</f>
        <v>0</v>
      </c>
      <c r="F28">
        <f>-73.8755*$F$7</f>
        <v>0</v>
      </c>
      <c r="G28">
        <f>15.2414*$G$7</f>
        <v>0</v>
      </c>
      <c r="H28">
        <f>0*$H$7</f>
        <v>0</v>
      </c>
      <c r="I28">
        <f>26.6089*$I$7</f>
        <v>0</v>
      </c>
      <c r="J28">
        <f>-73.9914*$J$7</f>
        <v>0</v>
      </c>
      <c r="K28">
        <f>98.6552*$K$7</f>
        <v>0</v>
      </c>
      <c r="L28">
        <f>0.0042*$L$7</f>
        <v>0</v>
      </c>
      <c r="M28">
        <f>0+D28+E28+G28+H28+I28+J28+K28+L28</f>
        <v>0</v>
      </c>
      <c r="N28">
        <f>0+D28+F28+G28+H28+I28+J28+K28+L28</f>
        <v>0</v>
      </c>
    </row>
    <row r="29" spans="3:14">
      <c r="C29" t="s">
        <v>35</v>
      </c>
      <c r="D29">
        <f>-22.6779*$D$7</f>
        <v>0</v>
      </c>
      <c r="E29">
        <f>8.905*$E$7</f>
        <v>0</v>
      </c>
      <c r="F29">
        <f>-110.4428*$F$7</f>
        <v>0</v>
      </c>
      <c r="G29">
        <f>0.4277*$G$7</f>
        <v>0</v>
      </c>
      <c r="H29">
        <f>0*$H$7</f>
        <v>0</v>
      </c>
      <c r="I29">
        <f>-3.3915*$I$7</f>
        <v>0</v>
      </c>
      <c r="J29">
        <f>-49.4101*$J$7</f>
        <v>0</v>
      </c>
      <c r="K29">
        <f>65.8801*$K$7</f>
        <v>0</v>
      </c>
      <c r="L29">
        <f>-0.0157*$L$7</f>
        <v>0</v>
      </c>
      <c r="M29">
        <f>0+D29+E29+G29+H29+I29+J29+K29+L29</f>
        <v>0</v>
      </c>
      <c r="N29">
        <f>0+D29+F29+G29+H29+I29+J29+K29+L29</f>
        <v>0</v>
      </c>
    </row>
    <row r="30" spans="3:14">
      <c r="C30" t="s">
        <v>36</v>
      </c>
      <c r="D30">
        <f>-8.5964*$D$7</f>
        <v>0</v>
      </c>
      <c r="E30">
        <f>4.3125*$E$7</f>
        <v>0</v>
      </c>
      <c r="F30">
        <f>-12.6058*$F$7</f>
        <v>0</v>
      </c>
      <c r="G30">
        <f>-0.8332*$G$7</f>
        <v>0</v>
      </c>
      <c r="H30">
        <f>0*$H$7</f>
        <v>0</v>
      </c>
      <c r="I30">
        <f>-1.2441*$I$7</f>
        <v>0</v>
      </c>
      <c r="J30">
        <f>-65.866*$J$7</f>
        <v>0</v>
      </c>
      <c r="K30">
        <f>87.8214*$K$7</f>
        <v>0</v>
      </c>
      <c r="L30">
        <f>-0.0001237*$L$7</f>
        <v>0</v>
      </c>
      <c r="M30">
        <f>0+D30+E30+G30+H30+I30+J30+K30+L30</f>
        <v>0</v>
      </c>
      <c r="N30">
        <f>0+D30+F30+G30+H30+I30+J30+K30+L30</f>
        <v>0</v>
      </c>
    </row>
    <row r="31" spans="3:14">
      <c r="C31" t="s">
        <v>36</v>
      </c>
      <c r="D31">
        <f>-7.3093*$D$7</f>
        <v>0</v>
      </c>
      <c r="E31">
        <f>1.494*$E$7</f>
        <v>0</v>
      </c>
      <c r="F31">
        <f>-11.886*$F$7</f>
        <v>0</v>
      </c>
      <c r="G31">
        <f>-0.9484*$G$7</f>
        <v>0</v>
      </c>
      <c r="H31">
        <f>0*$H$7</f>
        <v>0</v>
      </c>
      <c r="I31">
        <f>-1.0505*$I$7</f>
        <v>0</v>
      </c>
      <c r="J31">
        <f>-67.5487*$J$7</f>
        <v>0</v>
      </c>
      <c r="K31">
        <f>90.065*$K$7</f>
        <v>0</v>
      </c>
      <c r="L31">
        <f>-0.1302*$L$7</f>
        <v>0</v>
      </c>
      <c r="M31">
        <f>0+D31+E31+G31+H31+I31+J31+K31+L31</f>
        <v>0</v>
      </c>
      <c r="N31">
        <f>0+D31+F31+G31+H31+I31+J31+K31+L31</f>
        <v>0</v>
      </c>
    </row>
    <row r="32" spans="3:14">
      <c r="C32" t="s">
        <v>37</v>
      </c>
      <c r="D32">
        <f>-15.1742*$D$7</f>
        <v>0</v>
      </c>
      <c r="E32">
        <f>3.1186*$E$7</f>
        <v>0</v>
      </c>
      <c r="F32">
        <f>-19.1871*$F$7</f>
        <v>0</v>
      </c>
      <c r="G32">
        <f>-0.7093*$G$7</f>
        <v>0</v>
      </c>
      <c r="H32">
        <f>0*$H$7</f>
        <v>0</v>
      </c>
      <c r="I32">
        <f>-2.2418*$I$7</f>
        <v>0</v>
      </c>
      <c r="J32">
        <f>-62.4165*$J$7</f>
        <v>0</v>
      </c>
      <c r="K32">
        <f>83.222*$K$7</f>
        <v>0</v>
      </c>
      <c r="L32">
        <f>-0.0669*$L$7</f>
        <v>0</v>
      </c>
      <c r="M32">
        <f>0+D32+E32+G32+H32+I32+J32+K32+L32</f>
        <v>0</v>
      </c>
      <c r="N32">
        <f>0+D32+F32+G32+H32+I32+J32+K32+L32</f>
        <v>0</v>
      </c>
    </row>
    <row r="33" spans="3:14">
      <c r="C33" t="s">
        <v>38</v>
      </c>
      <c r="D33">
        <f>193.3595*$D$7</f>
        <v>0</v>
      </c>
      <c r="E33">
        <f>330.869*$E$7</f>
        <v>0</v>
      </c>
      <c r="F33">
        <f>-18.6798*$F$7</f>
        <v>0</v>
      </c>
      <c r="G33">
        <f>19.0139*$G$7</f>
        <v>0</v>
      </c>
      <c r="H33">
        <f>0*$H$7</f>
        <v>0</v>
      </c>
      <c r="I33">
        <f>28.1986*$I$7</f>
        <v>0</v>
      </c>
      <c r="J33">
        <f>-60.7907*$J$7</f>
        <v>0</v>
      </c>
      <c r="K33">
        <f>81.0543*$K$7</f>
        <v>0</v>
      </c>
      <c r="L33">
        <f>1.6924*$L$7</f>
        <v>0</v>
      </c>
      <c r="M33">
        <f>0+D33+E33+G33+H33+I33+J33+K33+L33</f>
        <v>0</v>
      </c>
      <c r="N33">
        <f>0+D33+F33+G33+H33+I33+J33+K33+L33</f>
        <v>0</v>
      </c>
    </row>
    <row r="34" spans="3:14">
      <c r="C34" t="s">
        <v>39</v>
      </c>
      <c r="D34">
        <f>369.4226*$D$7</f>
        <v>0</v>
      </c>
      <c r="E34">
        <f>581.6677*$E$7</f>
        <v>0</v>
      </c>
      <c r="F34">
        <f>-14.3128*$F$7</f>
        <v>0</v>
      </c>
      <c r="G34">
        <f>32.5808*$G$7</f>
        <v>0</v>
      </c>
      <c r="H34">
        <f>0*$H$7</f>
        <v>0</v>
      </c>
      <c r="I34">
        <f>53.6943*$I$7</f>
        <v>0</v>
      </c>
      <c r="J34">
        <f>-83.5397*$J$7</f>
        <v>0</v>
      </c>
      <c r="K34">
        <f>111.3862*$K$7</f>
        <v>0</v>
      </c>
      <c r="L34">
        <f>1.4523*$L$7</f>
        <v>0</v>
      </c>
      <c r="M34">
        <f>0+D34+E34+G34+H34+I34+J34+K34+L34</f>
        <v>0</v>
      </c>
      <c r="N34">
        <f>0+D34+F34+G34+H34+I34+J34+K34+L34</f>
        <v>0</v>
      </c>
    </row>
    <row r="35" spans="3:14">
      <c r="C35" t="s">
        <v>40</v>
      </c>
      <c r="D35">
        <f>534.4155*$D$7</f>
        <v>0</v>
      </c>
      <c r="E35">
        <f>806.6471*$E$7</f>
        <v>0</v>
      </c>
      <c r="F35">
        <f>-15.2631*$F$7</f>
        <v>0</v>
      </c>
      <c r="G35">
        <f>47.2969*$G$7</f>
        <v>0</v>
      </c>
      <c r="H35">
        <f>0*$H$7</f>
        <v>0</v>
      </c>
      <c r="I35">
        <f>77.1383*$I$7</f>
        <v>0</v>
      </c>
      <c r="J35">
        <f>-110.1059*$J$7</f>
        <v>0</v>
      </c>
      <c r="K35">
        <f>146.8079*$K$7</f>
        <v>0</v>
      </c>
      <c r="L35">
        <f>1.3355*$L$7</f>
        <v>0</v>
      </c>
      <c r="M35">
        <f>0+D35+E35+G35+H35+I35+J35+K35+L35</f>
        <v>0</v>
      </c>
      <c r="N35">
        <f>0+D35+F35+G35+H35+I35+J35+K35+L35</f>
        <v>0</v>
      </c>
    </row>
    <row r="36" spans="3:14">
      <c r="C36" t="s">
        <v>41</v>
      </c>
      <c r="D36">
        <f>671.5355*$D$7</f>
        <v>0</v>
      </c>
      <c r="E36">
        <f>977.0185*$E$7</f>
        <v>0</v>
      </c>
      <c r="F36">
        <f>-15.7338*$F$7</f>
        <v>0</v>
      </c>
      <c r="G36">
        <f>61.5627*$G$7</f>
        <v>0</v>
      </c>
      <c r="H36">
        <f>0*$H$7</f>
        <v>0</v>
      </c>
      <c r="I36">
        <f>96.0881*$I$7</f>
        <v>0</v>
      </c>
      <c r="J36">
        <f>-139.5756*$J$7</f>
        <v>0</v>
      </c>
      <c r="K36">
        <f>186.1007*$K$7</f>
        <v>0</v>
      </c>
      <c r="L36">
        <f>1.2853*$L$7</f>
        <v>0</v>
      </c>
      <c r="M36">
        <f>0+D36+E36+G36+H36+I36+J36+K36+L36</f>
        <v>0</v>
      </c>
      <c r="N36">
        <f>0+D36+F36+G36+H36+I36+J36+K36+L36</f>
        <v>0</v>
      </c>
    </row>
    <row r="37" spans="3:14">
      <c r="C37" t="s">
        <v>42</v>
      </c>
      <c r="D37">
        <f>785.065*$D$7</f>
        <v>0</v>
      </c>
      <c r="E37">
        <f>1106.3989*$E$7</f>
        <v>0</v>
      </c>
      <c r="F37">
        <f>-16.7639*$F$7</f>
        <v>0</v>
      </c>
      <c r="G37">
        <f>74.804*$G$7</f>
        <v>0</v>
      </c>
      <c r="H37">
        <f>0*$H$7</f>
        <v>0</v>
      </c>
      <c r="I37">
        <f>111.2588*$I$7</f>
        <v>0</v>
      </c>
      <c r="J37">
        <f>-163.0946*$J$7</f>
        <v>0</v>
      </c>
      <c r="K37">
        <f>217.4595*$K$7</f>
        <v>0</v>
      </c>
      <c r="L37">
        <f>1.2799*$L$7</f>
        <v>0</v>
      </c>
      <c r="M37">
        <f>0+D37+E37+G37+H37+I37+J37+K37+L37</f>
        <v>0</v>
      </c>
      <c r="N37">
        <f>0+D37+F37+G37+H37+I37+J37+K37+L37</f>
        <v>0</v>
      </c>
    </row>
    <row r="38" spans="3:14">
      <c r="C38" t="s">
        <v>43</v>
      </c>
      <c r="D38">
        <f>882.9271*$D$7</f>
        <v>0</v>
      </c>
      <c r="E38">
        <f>1243.2937*$E$7</f>
        <v>0</v>
      </c>
      <c r="F38">
        <f>-18.2487*$F$7</f>
        <v>0</v>
      </c>
      <c r="G38">
        <f>81.9439*$G$7</f>
        <v>0</v>
      </c>
      <c r="H38">
        <f>0*$H$7</f>
        <v>0</v>
      </c>
      <c r="I38">
        <f>126.3436*$I$7</f>
        <v>0</v>
      </c>
      <c r="J38">
        <f>-146.1953*$J$7</f>
        <v>0</v>
      </c>
      <c r="K38">
        <f>194.927*$K$7</f>
        <v>0</v>
      </c>
      <c r="L38">
        <f>1.6161*$L$7</f>
        <v>0</v>
      </c>
      <c r="M38">
        <f>0+D38+E38+G38+H38+I38+J38+K38+L38</f>
        <v>0</v>
      </c>
      <c r="N38">
        <f>0+D38+F38+G38+H38+I38+J38+K38+L38</f>
        <v>0</v>
      </c>
    </row>
    <row r="39" spans="3:14">
      <c r="C39" t="s">
        <v>44</v>
      </c>
      <c r="D39">
        <f>958.3821*$D$7</f>
        <v>0</v>
      </c>
      <c r="E39">
        <f>1339.2116*$E$7</f>
        <v>0</v>
      </c>
      <c r="F39">
        <f>-20.4091*$F$7</f>
        <v>0</v>
      </c>
      <c r="G39">
        <f>87.4591*$G$7</f>
        <v>0</v>
      </c>
      <c r="H39">
        <f>0*$H$7</f>
        <v>0</v>
      </c>
      <c r="I39">
        <f>137.6578*$I$7</f>
        <v>0</v>
      </c>
      <c r="J39">
        <f>-137.1231*$J$7</f>
        <v>0</v>
      </c>
      <c r="K39">
        <f>182.8308*$K$7</f>
        <v>0</v>
      </c>
      <c r="L39">
        <f>1.9249*$L$7</f>
        <v>0</v>
      </c>
      <c r="M39">
        <f>0+D39+E39+G39+H39+I39+J39+K39+L39</f>
        <v>0</v>
      </c>
      <c r="N39">
        <f>0+D39+F39+G39+H39+I39+J39+K39+L39</f>
        <v>0</v>
      </c>
    </row>
    <row r="40" spans="3:14">
      <c r="C40" t="s">
        <v>45</v>
      </c>
      <c r="D40">
        <f>1008.0814*$D$7</f>
        <v>0</v>
      </c>
      <c r="E40">
        <f>1397.6393*$E$7</f>
        <v>0</v>
      </c>
      <c r="F40">
        <f>-23.0716*$F$7</f>
        <v>0</v>
      </c>
      <c r="G40">
        <f>92.7437*$G$7</f>
        <v>0</v>
      </c>
      <c r="H40">
        <f>0*$H$7</f>
        <v>0</v>
      </c>
      <c r="I40">
        <f>144.6898*$I$7</f>
        <v>0</v>
      </c>
      <c r="J40">
        <f>-135.9173*$J$7</f>
        <v>0</v>
      </c>
      <c r="K40">
        <f>181.223*$K$7</f>
        <v>0</v>
      </c>
      <c r="L40">
        <f>2.2078*$L$7</f>
        <v>0</v>
      </c>
      <c r="M40">
        <f>0+D40+E40+G40+H40+I40+J40+K40+L40</f>
        <v>0</v>
      </c>
      <c r="N40">
        <f>0+D40+F40+G40+H40+I40+J40+K40+L40</f>
        <v>0</v>
      </c>
    </row>
    <row r="41" spans="3:14">
      <c r="C41" t="s">
        <v>46</v>
      </c>
      <c r="D41">
        <f>1043.4084*$D$7</f>
        <v>0</v>
      </c>
      <c r="E41">
        <f>1429.4967*$E$7</f>
        <v>0</v>
      </c>
      <c r="F41">
        <f>-26.0477*$F$7</f>
        <v>0</v>
      </c>
      <c r="G41">
        <f>98.7388*$G$7</f>
        <v>0</v>
      </c>
      <c r="H41">
        <f>0*$H$7</f>
        <v>0</v>
      </c>
      <c r="I41">
        <f>149.1281*$I$7</f>
        <v>0</v>
      </c>
      <c r="J41">
        <f>-142.0392*$J$7</f>
        <v>0</v>
      </c>
      <c r="K41">
        <f>189.3857*$K$7</f>
        <v>0</v>
      </c>
      <c r="L41">
        <f>2.5512*$L$7</f>
        <v>0</v>
      </c>
      <c r="M41">
        <f>0+D41+E41+G41+H41+I41+J41+K41+L41</f>
        <v>0</v>
      </c>
      <c r="N41">
        <f>0+D41+F41+G41+H41+I41+J41+K41+L41</f>
        <v>0</v>
      </c>
    </row>
    <row r="42" spans="3:14">
      <c r="C42" t="s">
        <v>47</v>
      </c>
      <c r="D42">
        <f>1055.0569*$D$7</f>
        <v>0</v>
      </c>
      <c r="E42">
        <f>1418.4825*$E$7</f>
        <v>0</v>
      </c>
      <c r="F42">
        <f>-29.044*$F$7</f>
        <v>0</v>
      </c>
      <c r="G42">
        <f>103.9837*$G$7</f>
        <v>0</v>
      </c>
      <c r="H42">
        <f>0*$H$7</f>
        <v>0</v>
      </c>
      <c r="I42">
        <f>149.6058*$I$7</f>
        <v>0</v>
      </c>
      <c r="J42">
        <f>-152.2106*$J$7</f>
        <v>0</v>
      </c>
      <c r="K42">
        <f>202.9475*$K$7</f>
        <v>0</v>
      </c>
      <c r="L42">
        <f>2.9131*$L$7</f>
        <v>0</v>
      </c>
      <c r="M42">
        <f>0+D42+E42+G42+H42+I42+J42+K42+L42</f>
        <v>0</v>
      </c>
      <c r="N42">
        <f>0+D42+F42+G42+H42+I42+J42+K42+L42</f>
        <v>0</v>
      </c>
    </row>
    <row r="43" spans="3:14">
      <c r="C43" t="s">
        <v>48</v>
      </c>
      <c r="D43">
        <f>1038.7532*$D$7</f>
        <v>0</v>
      </c>
      <c r="E43">
        <f>1420.128*$E$7</f>
        <v>0</v>
      </c>
      <c r="F43">
        <f>-31.753*$F$7</f>
        <v>0</v>
      </c>
      <c r="G43">
        <f>98.3028*$G$7</f>
        <v>0</v>
      </c>
      <c r="H43">
        <f>0*$H$7</f>
        <v>0</v>
      </c>
      <c r="I43">
        <f>148.5067*$I$7</f>
        <v>0</v>
      </c>
      <c r="J43">
        <f>-143.6193*$J$7</f>
        <v>0</v>
      </c>
      <c r="K43">
        <f>191.4924*$K$7</f>
        <v>0</v>
      </c>
      <c r="L43">
        <f>2.7316*$L$7</f>
        <v>0</v>
      </c>
      <c r="M43">
        <f>0+D43+E43+G43+H43+I43+J43+K43+L43</f>
        <v>0</v>
      </c>
      <c r="N43">
        <f>0+D43+F43+G43+H43+I43+J43+K43+L43</f>
        <v>0</v>
      </c>
    </row>
    <row r="44" spans="3:14">
      <c r="C44" t="s">
        <v>49</v>
      </c>
      <c r="D44">
        <f>1002.7475*$D$7</f>
        <v>0</v>
      </c>
      <c r="E44">
        <f>1393.3681*$E$7</f>
        <v>0</v>
      </c>
      <c r="F44">
        <f>-34.9788*$F$7</f>
        <v>0</v>
      </c>
      <c r="G44">
        <f>92.0483*$G$7</f>
        <v>0</v>
      </c>
      <c r="H44">
        <f>0*$H$7</f>
        <v>0</v>
      </c>
      <c r="I44">
        <f>143.9732*$I$7</f>
        <v>0</v>
      </c>
      <c r="J44">
        <f>-137.4639*$J$7</f>
        <v>0</v>
      </c>
      <c r="K44">
        <f>183.2852*$K$7</f>
        <v>0</v>
      </c>
      <c r="L44">
        <f>2.2617*$L$7</f>
        <v>0</v>
      </c>
      <c r="M44">
        <f>0+D44+E44+G44+H44+I44+J44+K44+L44</f>
        <v>0</v>
      </c>
      <c r="N44">
        <f>0+D44+F44+G44+H44+I44+J44+K44+L44</f>
        <v>0</v>
      </c>
    </row>
    <row r="45" spans="3:14">
      <c r="C45" t="s">
        <v>50</v>
      </c>
      <c r="D45">
        <f>942.836*$D$7</f>
        <v>0</v>
      </c>
      <c r="E45">
        <f>1321.0617*$E$7</f>
        <v>0</v>
      </c>
      <c r="F45">
        <f>-38.1782*$F$7</f>
        <v>0</v>
      </c>
      <c r="G45">
        <f>85.7223*$G$7</f>
        <v>0</v>
      </c>
      <c r="H45">
        <f>0*$H$7</f>
        <v>0</v>
      </c>
      <c r="I45">
        <f>135.409*$I$7</f>
        <v>0</v>
      </c>
      <c r="J45">
        <f>-139.0626*$J$7</f>
        <v>0</v>
      </c>
      <c r="K45">
        <f>185.4168*$K$7</f>
        <v>0</v>
      </c>
      <c r="L45">
        <f>1.6634*$L$7</f>
        <v>0</v>
      </c>
      <c r="M45">
        <f>0+D45+E45+G45+H45+I45+J45+K45+L45</f>
        <v>0</v>
      </c>
      <c r="N45">
        <f>0+D45+F45+G45+H45+I45+J45+K45+L45</f>
        <v>0</v>
      </c>
    </row>
    <row r="46" spans="3:14">
      <c r="C46" t="s">
        <v>51</v>
      </c>
      <c r="D46">
        <f>868.3004*$D$7</f>
        <v>0</v>
      </c>
      <c r="E46">
        <f>1224.9815*$E$7</f>
        <v>0</v>
      </c>
      <c r="F46">
        <f>-41.055*$F$7</f>
        <v>0</v>
      </c>
      <c r="G46">
        <f>80.1244*$G$7</f>
        <v>0</v>
      </c>
      <c r="H46">
        <f>0*$H$7</f>
        <v>0</v>
      </c>
      <c r="I46">
        <f>124.2309*$I$7</f>
        <v>0</v>
      </c>
      <c r="J46">
        <f>-147.7*$J$7</f>
        <v>0</v>
      </c>
      <c r="K46">
        <f>196.9333*$K$7</f>
        <v>0</v>
      </c>
      <c r="L46">
        <f>1.0121*$L$7</f>
        <v>0</v>
      </c>
      <c r="M46">
        <f>0+D46+E46+G46+H46+I46+J46+K46+L46</f>
        <v>0</v>
      </c>
      <c r="N46">
        <f>0+D46+F46+G46+H46+I46+J46+K46+L46</f>
        <v>0</v>
      </c>
    </row>
    <row r="47" spans="3:14">
      <c r="C47" t="s">
        <v>52</v>
      </c>
      <c r="D47">
        <f>767.796*$D$7</f>
        <v>0</v>
      </c>
      <c r="E47">
        <f>1089.5972*$E$7</f>
        <v>0</v>
      </c>
      <c r="F47">
        <f>-44.3825*$F$7</f>
        <v>0</v>
      </c>
      <c r="G47">
        <f>73.6427*$G$7</f>
        <v>0</v>
      </c>
      <c r="H47">
        <f>0*$H$7</f>
        <v>0</v>
      </c>
      <c r="I47">
        <f>108.7623*$I$7</f>
        <v>0</v>
      </c>
      <c r="J47">
        <f>-159.8813*$J$7</f>
        <v>0</v>
      </c>
      <c r="K47">
        <f>213.1751*$K$7</f>
        <v>0</v>
      </c>
      <c r="L47">
        <f>0.0571*$L$7</f>
        <v>0</v>
      </c>
      <c r="M47">
        <f>0+D47+E47+G47+H47+I47+J47+K47+L47</f>
        <v>0</v>
      </c>
      <c r="N47">
        <f>0+D47+F47+G47+H47+I47+J47+K47+L47</f>
        <v>0</v>
      </c>
    </row>
    <row r="48" spans="3:14">
      <c r="C48" t="s">
        <v>53</v>
      </c>
      <c r="D48">
        <f>643.3475*$D$7</f>
        <v>0</v>
      </c>
      <c r="E48">
        <f>948.175*$E$7</f>
        <v>0</v>
      </c>
      <c r="F48">
        <f>-49.6345*$F$7</f>
        <v>0</v>
      </c>
      <c r="G48">
        <f>58.0569*$G$7</f>
        <v>0</v>
      </c>
      <c r="H48">
        <f>0*$H$7</f>
        <v>0</v>
      </c>
      <c r="I48">
        <f>92.1687*$I$7</f>
        <v>0</v>
      </c>
      <c r="J48">
        <f>-144.909*$J$7</f>
        <v>0</v>
      </c>
      <c r="K48">
        <f>193.212*$K$7</f>
        <v>0</v>
      </c>
      <c r="L48">
        <f>-1.5157*$L$7</f>
        <v>0</v>
      </c>
      <c r="M48">
        <f>0+D48+E48+G48+H48+I48+J48+K48+L48</f>
        <v>0</v>
      </c>
      <c r="N48">
        <f>0+D48+F48+G48+H48+I48+J48+K48+L48</f>
        <v>0</v>
      </c>
    </row>
    <row r="49" spans="3:14">
      <c r="C49" t="s">
        <v>54</v>
      </c>
      <c r="D49">
        <f>517.6804*$D$7</f>
        <v>0</v>
      </c>
      <c r="E49">
        <f>790.338*$E$7</f>
        <v>0</v>
      </c>
      <c r="F49">
        <f>-56.5574*$F$7</f>
        <v>0</v>
      </c>
      <c r="G49">
        <f>44.5213*$G$7</f>
        <v>0</v>
      </c>
      <c r="H49">
        <f>0*$H$7</f>
        <v>0</v>
      </c>
      <c r="I49">
        <f>74.8168*$I$7</f>
        <v>0</v>
      </c>
      <c r="J49">
        <f>-117.3453*$J$7</f>
        <v>0</v>
      </c>
      <c r="K49">
        <f>156.4604*$K$7</f>
        <v>0</v>
      </c>
      <c r="L49">
        <f>-2.9861*$L$7</f>
        <v>0</v>
      </c>
      <c r="M49">
        <f>0+D49+E49+G49+H49+I49+J49+K49+L49</f>
        <v>0</v>
      </c>
      <c r="N49">
        <f>0+D49+F49+G49+H49+I49+J49+K49+L49</f>
        <v>0</v>
      </c>
    </row>
    <row r="50" spans="3:14">
      <c r="C50" t="s">
        <v>55</v>
      </c>
      <c r="D50">
        <f>361.9906*$D$7</f>
        <v>0</v>
      </c>
      <c r="E50">
        <f>579.6658*$E$7</f>
        <v>0</v>
      </c>
      <c r="F50">
        <f>-64.4303*$F$7</f>
        <v>0</v>
      </c>
      <c r="G50">
        <f>29.9133*$G$7</f>
        <v>0</v>
      </c>
      <c r="H50">
        <f>0*$H$7</f>
        <v>0</v>
      </c>
      <c r="I50">
        <f>52.7256*$I$7</f>
        <v>0</v>
      </c>
      <c r="J50">
        <f>-93.8179*$J$7</f>
        <v>0</v>
      </c>
      <c r="K50">
        <f>125.0905*$K$7</f>
        <v>0</v>
      </c>
      <c r="L50">
        <f>-3.6123*$L$7</f>
        <v>0</v>
      </c>
      <c r="M50">
        <f>0+D50+E50+G50+H50+I50+J50+K50+L50</f>
        <v>0</v>
      </c>
      <c r="N50">
        <f>0+D50+F50+G50+H50+I50+J50+K50+L50</f>
        <v>0</v>
      </c>
    </row>
    <row r="51" spans="3:14">
      <c r="C51" t="s">
        <v>56</v>
      </c>
      <c r="D51">
        <f>177.356*$D$7</f>
        <v>0</v>
      </c>
      <c r="E51">
        <f>306.8778*$E$7</f>
        <v>0</v>
      </c>
      <c r="F51">
        <f>-73.6172*$F$7</f>
        <v>0</v>
      </c>
      <c r="G51">
        <f>14.8595*$G$7</f>
        <v>0</v>
      </c>
      <c r="H51">
        <f>0*$H$7</f>
        <v>0</v>
      </c>
      <c r="I51">
        <f>25.9824*$I$7</f>
        <v>0</v>
      </c>
      <c r="J51">
        <f>-73.457*$J$7</f>
        <v>0</v>
      </c>
      <c r="K51">
        <f>97.9427*$K$7</f>
        <v>0</v>
      </c>
      <c r="L51">
        <f>-2.1641*$L$7</f>
        <v>0</v>
      </c>
      <c r="M51">
        <f>0+D51+E51+G51+H51+I51+J51+K51+L51</f>
        <v>0</v>
      </c>
      <c r="N51">
        <f>0+D51+F51+G51+H51+I51+J51+K51+L51</f>
        <v>0</v>
      </c>
    </row>
    <row r="52" spans="3:14">
      <c r="C52" t="s">
        <v>57</v>
      </c>
      <c r="D52">
        <f>-20.1209*$D$7</f>
        <v>0</v>
      </c>
      <c r="E52">
        <f>10.2696*$E$7</f>
        <v>0</v>
      </c>
      <c r="F52">
        <f>-110.7446*$F$7</f>
        <v>0</v>
      </c>
      <c r="G52">
        <f>0.6952*$G$7</f>
        <v>0</v>
      </c>
      <c r="H52">
        <f>0*$H$7</f>
        <v>0</v>
      </c>
      <c r="I52">
        <f>-3.0267*$I$7</f>
        <v>0</v>
      </c>
      <c r="J52">
        <f>-49.2939*$J$7</f>
        <v>0</v>
      </c>
      <c r="K52">
        <f>65.7252*$K$7</f>
        <v>0</v>
      </c>
      <c r="L52">
        <f>2.6344*$L$7</f>
        <v>0</v>
      </c>
      <c r="M52">
        <f>0+D52+E52+G52+H52+I52+J52+K52+L52</f>
        <v>0</v>
      </c>
      <c r="N52">
        <f>0+D52+F52+G52+H52+I52+J52+K52+L52</f>
        <v>0</v>
      </c>
    </row>
    <row r="53" spans="3:14">
      <c r="C53" t="s">
        <v>58</v>
      </c>
      <c r="D53">
        <f>-8.2867*$D$7</f>
        <v>0</v>
      </c>
      <c r="E53">
        <f>4.3124*$E$7</f>
        <v>0</v>
      </c>
      <c r="F53">
        <f>-12.4674*$F$7</f>
        <v>0</v>
      </c>
      <c r="G53">
        <f>-0.8061*$G$7</f>
        <v>0</v>
      </c>
      <c r="H53">
        <f>0*$H$7</f>
        <v>0</v>
      </c>
      <c r="I53">
        <f>-1.1994*$I$7</f>
        <v>0</v>
      </c>
      <c r="J53">
        <f>-65.9068*$J$7</f>
        <v>0</v>
      </c>
      <c r="K53">
        <f>87.8758*$K$7</f>
        <v>0</v>
      </c>
      <c r="L53">
        <f>-0.0467*$L$7</f>
        <v>0</v>
      </c>
      <c r="M53">
        <f>0+D53+E53+G53+H53+I53+J53+K53+L53</f>
        <v>0</v>
      </c>
      <c r="N53">
        <f>0+D53+F53+G53+H53+I53+J53+K53+L53</f>
        <v>0</v>
      </c>
    </row>
    <row r="54" spans="3:14">
      <c r="C54" t="s">
        <v>58</v>
      </c>
      <c r="D54">
        <f>-3.1233*$D$7</f>
        <v>0</v>
      </c>
      <c r="E54">
        <f>1.1836*$E$7</f>
        <v>0</v>
      </c>
      <c r="F54">
        <f>-8.382*$F$7</f>
        <v>0</v>
      </c>
      <c r="G54">
        <f>-0.3541*$G$7</f>
        <v>0</v>
      </c>
      <c r="H54">
        <f>0*$H$7</f>
        <v>0</v>
      </c>
      <c r="I54">
        <f>-0.4664*$I$7</f>
        <v>0</v>
      </c>
      <c r="J54">
        <f>-64.1123*$J$7</f>
        <v>0</v>
      </c>
      <c r="K54">
        <f>85.483*$K$7</f>
        <v>0</v>
      </c>
      <c r="L54">
        <f>-3.2289*$L$7</f>
        <v>0</v>
      </c>
      <c r="M54">
        <f>0+D54+E54+G54+H54+I54+J54+K54+L54</f>
        <v>0</v>
      </c>
      <c r="N54">
        <f>0+D54+F54+G54+H54+I54+J54+K54+L54</f>
        <v>0</v>
      </c>
    </row>
    <row r="55" spans="3:14">
      <c r="C55" t="s">
        <v>59</v>
      </c>
      <c r="D55">
        <f>-10.0607*$D$7</f>
        <v>0</v>
      </c>
      <c r="E55">
        <f>3.2559*$E$7</f>
        <v>0</v>
      </c>
      <c r="F55">
        <f>-16.158*$F$7</f>
        <v>0</v>
      </c>
      <c r="G55">
        <f>-0.1816*$G$7</f>
        <v>0</v>
      </c>
      <c r="H55">
        <f>0*$H$7</f>
        <v>0</v>
      </c>
      <c r="I55">
        <f>-1.5196*$I$7</f>
        <v>0</v>
      </c>
      <c r="J55">
        <f>-64.3584*$J$7</f>
        <v>0</v>
      </c>
      <c r="K55">
        <f>85.8112*$K$7</f>
        <v>0</v>
      </c>
      <c r="L55">
        <f>1.9945*$L$7</f>
        <v>0</v>
      </c>
      <c r="M55">
        <f>0+D55+E55+G55+H55+I55+J55+K55+L55</f>
        <v>0</v>
      </c>
      <c r="N55">
        <f>0+D55+F55+G55+H55+I55+J55+K55+L55</f>
        <v>0</v>
      </c>
    </row>
    <row r="56" spans="3:14">
      <c r="C56" t="s">
        <v>60</v>
      </c>
      <c r="D56">
        <f>84.2887*$D$7</f>
        <v>0</v>
      </c>
      <c r="E56">
        <f>238.0608*$E$7</f>
        <v>0</v>
      </c>
      <c r="F56">
        <f>-15.2457*$F$7</f>
        <v>0</v>
      </c>
      <c r="G56">
        <f>5.3907*$G$7</f>
        <v>0</v>
      </c>
      <c r="H56">
        <f>0*$H$7</f>
        <v>0</v>
      </c>
      <c r="I56">
        <f>12.8435*$I$7</f>
        <v>0</v>
      </c>
      <c r="J56">
        <f>-99.0412*$J$7</f>
        <v>0</v>
      </c>
      <c r="K56">
        <f>132.055*$K$7</f>
        <v>0</v>
      </c>
      <c r="L56">
        <f>43.4789*$L$7</f>
        <v>0</v>
      </c>
      <c r="M56">
        <f>0+D56+E56+G56+H56+I56+J56+K56+L56</f>
        <v>0</v>
      </c>
      <c r="N56">
        <f>0+D56+F56+G56+H56+I56+J56+K56+L56</f>
        <v>0</v>
      </c>
    </row>
    <row r="57" spans="3:14">
      <c r="C57" t="s">
        <v>61</v>
      </c>
      <c r="D57">
        <f>161.406*$D$7</f>
        <v>0</v>
      </c>
      <c r="E57">
        <f>396.2398*$E$7</f>
        <v>0</v>
      </c>
      <c r="F57">
        <f>-8.2696*$F$7</f>
        <v>0</v>
      </c>
      <c r="G57">
        <f>8.5233*$G$7</f>
        <v>0</v>
      </c>
      <c r="H57">
        <f>0*$H$7</f>
        <v>0</v>
      </c>
      <c r="I57">
        <f>24.2902*$I$7</f>
        <v>0</v>
      </c>
      <c r="J57">
        <f>-129.4198*$J$7</f>
        <v>0</v>
      </c>
      <c r="K57">
        <f>172.5598*$K$7</f>
        <v>0</v>
      </c>
      <c r="L57">
        <f>44.9562*$L$7</f>
        <v>0</v>
      </c>
      <c r="M57">
        <f>0+D57+E57+G57+H57+I57+J57+K57+L57</f>
        <v>0</v>
      </c>
      <c r="N57">
        <f>0+D57+F57+G57+H57+I57+J57+K57+L57</f>
        <v>0</v>
      </c>
    </row>
    <row r="58" spans="3:14">
      <c r="C58" t="s">
        <v>62</v>
      </c>
      <c r="D58">
        <f>224.4057*$D$7</f>
        <v>0</v>
      </c>
      <c r="E58">
        <f>512.9311*$E$7</f>
        <v>0</v>
      </c>
      <c r="F58">
        <f>-7.8453*$F$7</f>
        <v>0</v>
      </c>
      <c r="G58">
        <f>12.2059*$G$7</f>
        <v>0</v>
      </c>
      <c r="H58">
        <f>0*$H$7</f>
        <v>0</v>
      </c>
      <c r="I58">
        <f>33.2764*$I$7</f>
        <v>0</v>
      </c>
      <c r="J58">
        <f>-158.3486*$J$7</f>
        <v>0</v>
      </c>
      <c r="K58">
        <f>211.1314*$K$7</f>
        <v>0</v>
      </c>
      <c r="L58">
        <f>51.4447*$L$7</f>
        <v>0</v>
      </c>
      <c r="M58">
        <f>0+D58+E58+G58+H58+I58+J58+K58+L58</f>
        <v>0</v>
      </c>
      <c r="N58">
        <f>0+D58+F58+G58+H58+I58+J58+K58+L58</f>
        <v>0</v>
      </c>
    </row>
    <row r="59" spans="3:14">
      <c r="C59" t="s">
        <v>63</v>
      </c>
      <c r="D59">
        <f>264.483*$D$7</f>
        <v>0</v>
      </c>
      <c r="E59">
        <f>572.51*$E$7</f>
        <v>0</v>
      </c>
      <c r="F59">
        <f>-6.6957*$F$7</f>
        <v>0</v>
      </c>
      <c r="G59">
        <f>15.7937*$G$7</f>
        <v>0</v>
      </c>
      <c r="H59">
        <f>0*$H$7</f>
        <v>0</v>
      </c>
      <c r="I59">
        <f>38.5123*$I$7</f>
        <v>0</v>
      </c>
      <c r="J59">
        <f>-188.4159*$J$7</f>
        <v>0</v>
      </c>
      <c r="K59">
        <f>251.2212*$K$7</f>
        <v>0</v>
      </c>
      <c r="L59">
        <f>59.6836*$L$7</f>
        <v>0</v>
      </c>
      <c r="M59">
        <f>0+D59+E59+G59+H59+I59+J59+K59+L59</f>
        <v>0</v>
      </c>
      <c r="N59">
        <f>0+D59+F59+G59+H59+I59+J59+K59+L59</f>
        <v>0</v>
      </c>
    </row>
    <row r="60" spans="3:14">
      <c r="C60" t="s">
        <v>64</v>
      </c>
      <c r="D60">
        <f>286.7339*$D$7</f>
        <v>0</v>
      </c>
      <c r="E60">
        <f>589.9194*$E$7</f>
        <v>0</v>
      </c>
      <c r="F60">
        <f>-5.9955*$F$7</f>
        <v>0</v>
      </c>
      <c r="G60">
        <f>18.9448*$G$7</f>
        <v>0</v>
      </c>
      <c r="H60">
        <f>0*$H$7</f>
        <v>0</v>
      </c>
      <c r="I60">
        <f>40.7382*$I$7</f>
        <v>0</v>
      </c>
      <c r="J60">
        <f>-220.3044*$J$7</f>
        <v>0</v>
      </c>
      <c r="K60">
        <f>293.7392*$K$7</f>
        <v>0</v>
      </c>
      <c r="L60">
        <f>66.2323*$L$7</f>
        <v>0</v>
      </c>
      <c r="M60">
        <f>0+D60+E60+G60+H60+I60+J60+K60+L60</f>
        <v>0</v>
      </c>
      <c r="N60">
        <f>0+D60+F60+G60+H60+I60+J60+K60+L60</f>
        <v>0</v>
      </c>
    </row>
    <row r="61" spans="3:14">
      <c r="C61" t="s">
        <v>65</v>
      </c>
      <c r="D61">
        <f>269.9326*$D$7</f>
        <v>0</v>
      </c>
      <c r="E61">
        <f>578.9094*$E$7</f>
        <v>0</v>
      </c>
      <c r="F61">
        <f>-4.1396*$F$7</f>
        <v>0</v>
      </c>
      <c r="G61">
        <f>15.2208*$G$7</f>
        <v>0</v>
      </c>
      <c r="H61">
        <f>0*$H$7</f>
        <v>0</v>
      </c>
      <c r="I61">
        <f>39.5069*$I$7</f>
        <v>0</v>
      </c>
      <c r="J61">
        <f>-192.3009*$J$7</f>
        <v>0</v>
      </c>
      <c r="K61">
        <f>256.4012*$K$7</f>
        <v>0</v>
      </c>
      <c r="L61">
        <f>57.1021*$L$7</f>
        <v>0</v>
      </c>
      <c r="M61">
        <f>0+D61+E61+G61+H61+I61+J61+K61+L61</f>
        <v>0</v>
      </c>
      <c r="N61">
        <f>0+D61+F61+G61+H61+I61+J61+K61+L61</f>
        <v>0</v>
      </c>
    </row>
    <row r="62" spans="3:14">
      <c r="C62" t="s">
        <v>66</v>
      </c>
      <c r="D62">
        <f>233.9028*$D$7</f>
        <v>0</v>
      </c>
      <c r="E62">
        <f>527.3964*$E$7</f>
        <v>0</v>
      </c>
      <c r="F62">
        <f>-3.7233*$F$7</f>
        <v>0</v>
      </c>
      <c r="G62">
        <f>11.2827*$G$7</f>
        <v>0</v>
      </c>
      <c r="H62">
        <f>0*$H$7</f>
        <v>0</v>
      </c>
      <c r="I62">
        <f>34.8702*$I$7</f>
        <v>0</v>
      </c>
      <c r="J62">
        <f>-161.5431*$J$7</f>
        <v>0</v>
      </c>
      <c r="K62">
        <f>215.3908*$K$7</f>
        <v>0</v>
      </c>
      <c r="L62">
        <f>44.2607*$L$7</f>
        <v>0</v>
      </c>
      <c r="M62">
        <f>0+D62+E62+G62+H62+I62+J62+K62+L62</f>
        <v>0</v>
      </c>
      <c r="N62">
        <f>0+D62+F62+G62+H62+I62+J62+K62+L62</f>
        <v>0</v>
      </c>
    </row>
    <row r="63" spans="3:14">
      <c r="C63" t="s">
        <v>67</v>
      </c>
      <c r="D63">
        <f>176.151*$D$7</f>
        <v>0</v>
      </c>
      <c r="E63">
        <f>419.1297*$E$7</f>
        <v>0</v>
      </c>
      <c r="F63">
        <f>-4.0113*$F$7</f>
        <v>0</v>
      </c>
      <c r="G63">
        <f>7.496*$G$7</f>
        <v>0</v>
      </c>
      <c r="H63">
        <f>0*$H$7</f>
        <v>0</v>
      </c>
      <c r="I63">
        <f>26.5317*$I$7</f>
        <v>0</v>
      </c>
      <c r="J63">
        <f>-138.9791*$J$7</f>
        <v>0</v>
      </c>
      <c r="K63">
        <f>185.3055*$K$7</f>
        <v>0</v>
      </c>
      <c r="L63">
        <f>31.1951*$L$7</f>
        <v>0</v>
      </c>
      <c r="M63">
        <f>0+D63+E63+G63+H63+I63+J63+K63+L63</f>
        <v>0</v>
      </c>
      <c r="N63">
        <f>0+D63+F63+G63+H63+I63+J63+K63+L63</f>
        <v>0</v>
      </c>
    </row>
    <row r="64" spans="3:14">
      <c r="C64" t="s">
        <v>68</v>
      </c>
      <c r="D64">
        <f>100.2586*$D$7</f>
        <v>0</v>
      </c>
      <c r="E64">
        <f>255.876*$E$7</f>
        <v>0</v>
      </c>
      <c r="F64">
        <f>-3.6017*$F$7</f>
        <v>0</v>
      </c>
      <c r="G64">
        <f>4.2074*$G$7</f>
        <v>0</v>
      </c>
      <c r="H64">
        <f>0*$H$7</f>
        <v>0</v>
      </c>
      <c r="I64">
        <f>15.0708*$I$7</f>
        <v>0</v>
      </c>
      <c r="J64">
        <f>-103.6752*$J$7</f>
        <v>0</v>
      </c>
      <c r="K64">
        <f>138.2336*$K$7</f>
        <v>0</v>
      </c>
      <c r="L64">
        <f>18.6563*$L$7</f>
        <v>0</v>
      </c>
      <c r="M64">
        <f>0+D64+E64+G64+H64+I64+J64+K64+L64</f>
        <v>0</v>
      </c>
      <c r="N64">
        <f>0+D64+F64+G64+H64+I64+J64+K64+L64</f>
        <v>0</v>
      </c>
    </row>
    <row r="65" spans="3:14">
      <c r="C65" t="s">
        <v>69</v>
      </c>
      <c r="D65">
        <f>-6.0165*$D$7</f>
        <v>0</v>
      </c>
      <c r="E65">
        <f>4.1522*$E$7</f>
        <v>0</v>
      </c>
      <c r="F65">
        <f>-24.915*$F$7</f>
        <v>0</v>
      </c>
      <c r="G65">
        <f>1.1826*$G$7</f>
        <v>0</v>
      </c>
      <c r="H65">
        <f>0*$H$7</f>
        <v>0</v>
      </c>
      <c r="I65">
        <f>-1.3925*$I$7</f>
        <v>0</v>
      </c>
      <c r="J65">
        <f>-63.9633*$J$7</f>
        <v>0</v>
      </c>
      <c r="K65">
        <f>85.2844*$K$7</f>
        <v>0</v>
      </c>
      <c r="L65">
        <f>4.7112*$L$7</f>
        <v>0</v>
      </c>
      <c r="M65">
        <f>0+D65+E65+G65+H65+I65+J65+K65+L65</f>
        <v>0</v>
      </c>
      <c r="N65">
        <f>0+D65+F65+G65+H65+I65+J65+K65+L65</f>
        <v>0</v>
      </c>
    </row>
    <row r="70" spans="3:14">
      <c r="C70" t="s">
        <v>70</v>
      </c>
    </row>
    <row r="72" spans="3:14">
      <c r="C72" t="s">
        <v>2</v>
      </c>
    </row>
    <row r="73" spans="3:14">
      <c r="C73" t="s">
        <v>3</v>
      </c>
      <c r="D73" t="s">
        <v>4</v>
      </c>
      <c r="E73" t="s">
        <v>5</v>
      </c>
      <c r="F73" t="s">
        <v>6</v>
      </c>
      <c r="G73" t="s">
        <v>7</v>
      </c>
      <c r="H73" t="s">
        <v>8</v>
      </c>
      <c r="I73" t="s">
        <v>9</v>
      </c>
      <c r="J73" t="s">
        <v>10</v>
      </c>
      <c r="K73" t="s">
        <v>11</v>
      </c>
      <c r="L73" t="s">
        <v>12</v>
      </c>
      <c r="M73" t="s">
        <v>13</v>
      </c>
      <c r="N73" t="s">
        <v>14</v>
      </c>
    </row>
    <row r="74" spans="3:14">
      <c r="C74" t="s">
        <v>78</v>
      </c>
      <c r="D74">
        <f>-258.129*$D$72</f>
        <v>0</v>
      </c>
      <c r="E74">
        <f>6.318*$E$72</f>
        <v>0</v>
      </c>
      <c r="F74">
        <f>-445.151*$F$72</f>
        <v>0</v>
      </c>
      <c r="G74">
        <f>-10.534*$G$72</f>
        <v>0</v>
      </c>
      <c r="H74">
        <f>0*$H$72</f>
        <v>0</v>
      </c>
      <c r="I74">
        <f>-37.851*$I$72</f>
        <v>0</v>
      </c>
      <c r="J74">
        <f>105.887*$J$72</f>
        <v>0</v>
      </c>
      <c r="K74">
        <f>-141.182*$K$72</f>
        <v>0</v>
      </c>
      <c r="L74">
        <f>0.007084*$L$72</f>
        <v>0</v>
      </c>
      <c r="M74">
        <f>0+D74+E74+G74+H74+I74+J74+K74+L74</f>
        <v>0</v>
      </c>
      <c r="N74">
        <f>0+D74+F74+G74+H74+I74+J74+K74+L74</f>
        <v>0</v>
      </c>
    </row>
    <row r="75" spans="3:14">
      <c r="C75" t="s">
        <v>16</v>
      </c>
      <c r="D75">
        <f>-232.115*$D$72</f>
        <v>0</v>
      </c>
      <c r="E75">
        <f>13.156*$E$72</f>
        <v>0</v>
      </c>
      <c r="F75">
        <f>-423.139*$F$72</f>
        <v>0</v>
      </c>
      <c r="G75">
        <f>-10.733*$G$72</f>
        <v>0</v>
      </c>
      <c r="H75">
        <f>0*$H$72</f>
        <v>0</v>
      </c>
      <c r="I75">
        <f>-35.662*$I$72</f>
        <v>0</v>
      </c>
      <c r="J75">
        <f>98.457*$J$72</f>
        <v>0</v>
      </c>
      <c r="K75">
        <f>-131.276*$K$72</f>
        <v>0</v>
      </c>
      <c r="L75">
        <f>0.006939*$L$72</f>
        <v>0</v>
      </c>
      <c r="M75">
        <f>0+D75+E75+G75+H75+I75+J75+K75+L75</f>
        <v>0</v>
      </c>
      <c r="N75">
        <f>0+D75+F75+G75+H75+I75+J75+K75+L75</f>
        <v>0</v>
      </c>
    </row>
    <row r="76" spans="3:14">
      <c r="C76" t="s">
        <v>17</v>
      </c>
      <c r="D76">
        <f>-203.812*$D$72</f>
        <v>0</v>
      </c>
      <c r="E76">
        <f>27.24*$E$72</f>
        <v>0</v>
      </c>
      <c r="F76">
        <f>-375.238*$F$72</f>
        <v>0</v>
      </c>
      <c r="G76">
        <f>-11.808*$G$72</f>
        <v>0</v>
      </c>
      <c r="H76">
        <f>0*$H$72</f>
        <v>0</v>
      </c>
      <c r="I76">
        <f>-30.898*$I$72</f>
        <v>0</v>
      </c>
      <c r="J76">
        <f>81.847*$J$72</f>
        <v>0</v>
      </c>
      <c r="K76">
        <f>-109.13*$K$72</f>
        <v>0</v>
      </c>
      <c r="L76">
        <f>0.007254*$L$72</f>
        <v>0</v>
      </c>
      <c r="M76">
        <f>0+D76+E76+G76+H76+I76+J76+K76+L76</f>
        <v>0</v>
      </c>
      <c r="N76">
        <f>0+D76+F76+G76+H76+I76+J76+K76+L76</f>
        <v>0</v>
      </c>
    </row>
    <row r="77" spans="3:14">
      <c r="C77" t="s">
        <v>18</v>
      </c>
      <c r="D77">
        <f>-175.751*$D$72</f>
        <v>0</v>
      </c>
      <c r="E77">
        <f>50.872*$E$72</f>
        <v>0</v>
      </c>
      <c r="F77">
        <f>-336.097*$F$72</f>
        <v>0</v>
      </c>
      <c r="G77">
        <f>-12.487*$G$72</f>
        <v>0</v>
      </c>
      <c r="H77">
        <f>0*$H$72</f>
        <v>0</v>
      </c>
      <c r="I77">
        <f>-26.198*$I$72</f>
        <v>0</v>
      </c>
      <c r="J77">
        <f>72.972*$J$72</f>
        <v>0</v>
      </c>
      <c r="K77">
        <f>-97.296*$K$72</f>
        <v>0</v>
      </c>
      <c r="L77">
        <f>0.007195*$L$72</f>
        <v>0</v>
      </c>
      <c r="M77">
        <f>0+D77+E77+G77+H77+I77+J77+K77+L77</f>
        <v>0</v>
      </c>
      <c r="N77">
        <f>0+D77+F77+G77+H77+I77+J77+K77+L77</f>
        <v>0</v>
      </c>
    </row>
    <row r="78" spans="3:14">
      <c r="C78" t="s">
        <v>19</v>
      </c>
      <c r="D78">
        <f>-147.845*$D$72</f>
        <v>0</v>
      </c>
      <c r="E78">
        <f>78.28*$E$72</f>
        <v>0</v>
      </c>
      <c r="F78">
        <f>-299.835*$F$72</f>
        <v>0</v>
      </c>
      <c r="G78">
        <f>-12.579*$G$72</f>
        <v>0</v>
      </c>
      <c r="H78">
        <f>0*$H$72</f>
        <v>0</v>
      </c>
      <c r="I78">
        <f>-21.566*$I$72</f>
        <v>0</v>
      </c>
      <c r="J78">
        <f>67.898*$J$72</f>
        <v>0</v>
      </c>
      <c r="K78">
        <f>-90.53*$K$72</f>
        <v>0</v>
      </c>
      <c r="L78">
        <f>0.006885*$L$72</f>
        <v>0</v>
      </c>
      <c r="M78">
        <f>0+D78+E78+G78+H78+I78+J78+K78+L78</f>
        <v>0</v>
      </c>
      <c r="N78">
        <f>0+D78+F78+G78+H78+I78+J78+K78+L78</f>
        <v>0</v>
      </c>
    </row>
    <row r="79" spans="3:14">
      <c r="C79" t="s">
        <v>20</v>
      </c>
      <c r="D79">
        <f>-130.623*$D$72</f>
        <v>0</v>
      </c>
      <c r="E79">
        <f>99.795*$E$72</f>
        <v>0</v>
      </c>
      <c r="F79">
        <f>-278.549*$F$72</f>
        <v>0</v>
      </c>
      <c r="G79">
        <f>-13.045*$G$72</f>
        <v>0</v>
      </c>
      <c r="H79">
        <f>0*$H$72</f>
        <v>0</v>
      </c>
      <c r="I79">
        <f>-18.498*$I$72</f>
        <v>0</v>
      </c>
      <c r="J79">
        <f>55.028*$J$72</f>
        <v>0</v>
      </c>
      <c r="K79">
        <f>-73.37*$K$72</f>
        <v>0</v>
      </c>
      <c r="L79">
        <f>0.006049*$L$72</f>
        <v>0</v>
      </c>
      <c r="M79">
        <f>0+D79+E79+G79+H79+I79+J79+K79+L79</f>
        <v>0</v>
      </c>
      <c r="N79">
        <f>0+D79+F79+G79+H79+I79+J79+K79+L79</f>
        <v>0</v>
      </c>
    </row>
    <row r="80" spans="3:14">
      <c r="C80" t="s">
        <v>21</v>
      </c>
      <c r="D80">
        <f>-96.478*$D$72</f>
        <v>0</v>
      </c>
      <c r="E80">
        <f>91.874*$E$72</f>
        <v>0</v>
      </c>
      <c r="F80">
        <f>-270.84*$F$72</f>
        <v>0</v>
      </c>
      <c r="G80">
        <f>-6.215*$G$72</f>
        <v>0</v>
      </c>
      <c r="H80">
        <f>0*$H$72</f>
        <v>0</v>
      </c>
      <c r="I80">
        <f>-15.742*$I$72</f>
        <v>0</v>
      </c>
      <c r="J80">
        <f>-4.157*$J$72</f>
        <v>0</v>
      </c>
      <c r="K80">
        <f>5.543*$K$72</f>
        <v>0</v>
      </c>
      <c r="L80">
        <f>0.00475*$L$72</f>
        <v>0</v>
      </c>
      <c r="M80">
        <f>0+D80+E80+G80+H80+I80+J80+K80+L80</f>
        <v>0</v>
      </c>
      <c r="N80">
        <f>0+D80+F80+G80+H80+I80+J80+K80+L80</f>
        <v>0</v>
      </c>
    </row>
    <row r="81" spans="3:14">
      <c r="C81" t="s">
        <v>22</v>
      </c>
      <c r="D81">
        <f>-72.124*$D$72</f>
        <v>0</v>
      </c>
      <c r="E81">
        <f>115.89*$E$72</f>
        <v>0</v>
      </c>
      <c r="F81">
        <f>-241.583*$F$72</f>
        <v>0</v>
      </c>
      <c r="G81">
        <f>-5.833*$G$72</f>
        <v>0</v>
      </c>
      <c r="H81">
        <f>0*$H$72</f>
        <v>0</v>
      </c>
      <c r="I81">
        <f>-11.659*$I$72</f>
        <v>0</v>
      </c>
      <c r="J81">
        <f>-1.902*$J$72</f>
        <v>0</v>
      </c>
      <c r="K81">
        <f>2.536*$K$72</f>
        <v>0</v>
      </c>
      <c r="L81">
        <f>0.004617*$L$72</f>
        <v>0</v>
      </c>
      <c r="M81">
        <f>0+D81+E81+G81+H81+I81+J81+K81+L81</f>
        <v>0</v>
      </c>
      <c r="N81">
        <f>0+D81+F81+G81+H81+I81+J81+K81+L81</f>
        <v>0</v>
      </c>
    </row>
    <row r="82" spans="3:14">
      <c r="C82" t="s">
        <v>23</v>
      </c>
      <c r="D82">
        <f>-47.87*$D$72</f>
        <v>0</v>
      </c>
      <c r="E82">
        <f>140.434*$E$72</f>
        <v>0</v>
      </c>
      <c r="F82">
        <f>-213.814*$F$72</f>
        <v>0</v>
      </c>
      <c r="G82">
        <f>-5.6*$G$72</f>
        <v>0</v>
      </c>
      <c r="H82">
        <f>0*$H$72</f>
        <v>0</v>
      </c>
      <c r="I82">
        <f>-7.6*$I$72</f>
        <v>0</v>
      </c>
      <c r="J82">
        <f>3.068*$J$72</f>
        <v>0</v>
      </c>
      <c r="K82">
        <f>-4.09*$K$72</f>
        <v>0</v>
      </c>
      <c r="L82">
        <f>0.004275*$L$72</f>
        <v>0</v>
      </c>
      <c r="M82">
        <f>0+D82+E82+G82+H82+I82+J82+K82+L82</f>
        <v>0</v>
      </c>
      <c r="N82">
        <f>0+D82+F82+G82+H82+I82+J82+K82+L82</f>
        <v>0</v>
      </c>
    </row>
    <row r="83" spans="3:14">
      <c r="C83" t="s">
        <v>24</v>
      </c>
      <c r="D83">
        <f>-23.892*$D$72</f>
        <v>0</v>
      </c>
      <c r="E83">
        <f>163.999*$E$72</f>
        <v>0</v>
      </c>
      <c r="F83">
        <f>-187.483*$F$72</f>
        <v>0</v>
      </c>
      <c r="G83">
        <f>-5.153*$G$72</f>
        <v>0</v>
      </c>
      <c r="H83">
        <f>0*$H$72</f>
        <v>0</v>
      </c>
      <c r="I83">
        <f>-3.579*$I$72</f>
        <v>0</v>
      </c>
      <c r="J83">
        <f>8.029*$J$72</f>
        <v>0</v>
      </c>
      <c r="K83">
        <f>-10.705*$K$72</f>
        <v>0</v>
      </c>
      <c r="L83">
        <f>0.003701*$L$72</f>
        <v>0</v>
      </c>
      <c r="M83">
        <f>0+D83+E83+G83+H83+I83+J83+K83+L83</f>
        <v>0</v>
      </c>
      <c r="N83">
        <f>0+D83+F83+G83+H83+I83+J83+K83+L83</f>
        <v>0</v>
      </c>
    </row>
    <row r="84" spans="3:14">
      <c r="C84" t="s">
        <v>25</v>
      </c>
      <c r="D84">
        <f>0.113*$D$72</f>
        <v>0</v>
      </c>
      <c r="E84">
        <f>189.757*$E$72</f>
        <v>0</v>
      </c>
      <c r="F84">
        <f>-161.553*$F$72</f>
        <v>0</v>
      </c>
      <c r="G84">
        <f>-4.299*$G$72</f>
        <v>0</v>
      </c>
      <c r="H84">
        <f>0*$H$72</f>
        <v>0</v>
      </c>
      <c r="I84">
        <f>0.434*$I$72</f>
        <v>0</v>
      </c>
      <c r="J84">
        <f>11.066*$J$72</f>
        <v>0</v>
      </c>
      <c r="K84">
        <f>-14.754*$K$72</f>
        <v>0</v>
      </c>
      <c r="L84">
        <f>0.003196*$L$72</f>
        <v>0</v>
      </c>
      <c r="M84">
        <f>0+D84+E84+G84+H84+I84+J84+K84+L84</f>
        <v>0</v>
      </c>
      <c r="N84">
        <f>0+D84+F84+G84+H84+I84+J84+K84+L84</f>
        <v>0</v>
      </c>
    </row>
    <row r="85" spans="3:14">
      <c r="C85" t="s">
        <v>26</v>
      </c>
      <c r="D85">
        <f>31.761*$D$72</f>
        <v>0</v>
      </c>
      <c r="E85">
        <f>175.506*$E$72</f>
        <v>0</v>
      </c>
      <c r="F85">
        <f>-174.633*$F$72</f>
        <v>0</v>
      </c>
      <c r="G85">
        <f>6.169*$G$72</f>
        <v>0</v>
      </c>
      <c r="H85">
        <f>0*$H$72</f>
        <v>0</v>
      </c>
      <c r="I85">
        <f>2.555*$I$72</f>
        <v>0</v>
      </c>
      <c r="J85">
        <f>-8.95*$J$72</f>
        <v>0</v>
      </c>
      <c r="K85">
        <f>11.934*$K$72</f>
        <v>0</v>
      </c>
      <c r="L85">
        <f>0.0004508*$L$72</f>
        <v>0</v>
      </c>
      <c r="M85">
        <f>0+D85+E85+G85+H85+I85+J85+K85+L85</f>
        <v>0</v>
      </c>
      <c r="N85">
        <f>0+D85+F85+G85+H85+I85+J85+K85+L85</f>
        <v>0</v>
      </c>
    </row>
    <row r="86" spans="3:14">
      <c r="C86" t="s">
        <v>27</v>
      </c>
      <c r="D86">
        <f>55.628*$D$72</f>
        <v>0</v>
      </c>
      <c r="E86">
        <f>200.932*$E$72</f>
        <v>0</v>
      </c>
      <c r="F86">
        <f>-152.562*$F$72</f>
        <v>0</v>
      </c>
      <c r="G86">
        <f>6.776*$G$72</f>
        <v>0</v>
      </c>
      <c r="H86">
        <f>0*$H$72</f>
        <v>0</v>
      </c>
      <c r="I86">
        <f>6.555*$I$72</f>
        <v>0</v>
      </c>
      <c r="J86">
        <f>-3.955*$J$72</f>
        <v>0</v>
      </c>
      <c r="K86">
        <f>5.273*$K$72</f>
        <v>0</v>
      </c>
      <c r="L86">
        <f>-0.00006257*$L$72</f>
        <v>0</v>
      </c>
      <c r="M86">
        <f>0+D86+E86+G86+H86+I86+J86+K86+L86</f>
        <v>0</v>
      </c>
      <c r="N86">
        <f>0+D86+F86+G86+H86+I86+J86+K86+L86</f>
        <v>0</v>
      </c>
    </row>
    <row r="87" spans="3:14">
      <c r="C87" t="s">
        <v>28</v>
      </c>
      <c r="D87">
        <f>79.547*$D$72</f>
        <v>0</v>
      </c>
      <c r="E87">
        <f>227.364*$E$72</f>
        <v>0</v>
      </c>
      <c r="F87">
        <f>-134.926*$F$72</f>
        <v>0</v>
      </c>
      <c r="G87">
        <f>7.124*$G$72</f>
        <v>0</v>
      </c>
      <c r="H87">
        <f>0*$H$72</f>
        <v>0</v>
      </c>
      <c r="I87">
        <f>10.574*$I$72</f>
        <v>0</v>
      </c>
      <c r="J87">
        <f>2.295*$J$72</f>
        <v>0</v>
      </c>
      <c r="K87">
        <f>-3.06*$K$72</f>
        <v>0</v>
      </c>
      <c r="L87">
        <f>-0.0008884*$L$72</f>
        <v>0</v>
      </c>
      <c r="M87">
        <f>0+D87+E87+G87+H87+I87+J87+K87+L87</f>
        <v>0</v>
      </c>
      <c r="N87">
        <f>0+D87+F87+G87+H87+I87+J87+K87+L87</f>
        <v>0</v>
      </c>
    </row>
    <row r="88" spans="3:14">
      <c r="C88" t="s">
        <v>29</v>
      </c>
      <c r="D88">
        <f>103.812*$D$72</f>
        <v>0</v>
      </c>
      <c r="E88">
        <f>255.945*$E$72</f>
        <v>0</v>
      </c>
      <c r="F88">
        <f>-110.039*$F$72</f>
        <v>0</v>
      </c>
      <c r="G88">
        <f>7.617*$G$72</f>
        <v>0</v>
      </c>
      <c r="H88">
        <f>0*$H$72</f>
        <v>0</v>
      </c>
      <c r="I88">
        <f>14.616*$I$72</f>
        <v>0</v>
      </c>
      <c r="J88">
        <f>7.416*$J$72</f>
        <v>0</v>
      </c>
      <c r="K88">
        <f>-9.889*$K$72</f>
        <v>0</v>
      </c>
      <c r="L88">
        <f>-0.001927*$L$72</f>
        <v>0</v>
      </c>
      <c r="M88">
        <f>0+D88+E88+G88+H88+I88+J88+K88+L88</f>
        <v>0</v>
      </c>
      <c r="N88">
        <f>0+D88+F88+G88+H88+I88+J88+K88+L88</f>
        <v>0</v>
      </c>
    </row>
    <row r="89" spans="3:14">
      <c r="C89" t="s">
        <v>30</v>
      </c>
      <c r="D89">
        <f>128.422*$D$72</f>
        <v>0</v>
      </c>
      <c r="E89">
        <f>287.165*$E$72</f>
        <v>0</v>
      </c>
      <c r="F89">
        <f>-87.328*$F$72</f>
        <v>0</v>
      </c>
      <c r="G89">
        <f>8.448*$G$72</f>
        <v>0</v>
      </c>
      <c r="H89">
        <f>0*$H$72</f>
        <v>0</v>
      </c>
      <c r="I89">
        <f>18.714*$I$72</f>
        <v>0</v>
      </c>
      <c r="J89">
        <f>9.717*$J$72</f>
        <v>0</v>
      </c>
      <c r="K89">
        <f>-12.956*$K$72</f>
        <v>0</v>
      </c>
      <c r="L89">
        <f>-0.002998*$L$72</f>
        <v>0</v>
      </c>
      <c r="M89">
        <f>0+D89+E89+G89+H89+I89+J89+K89+L89</f>
        <v>0</v>
      </c>
      <c r="N89">
        <f>0+D89+F89+G89+H89+I89+J89+K89+L89</f>
        <v>0</v>
      </c>
    </row>
    <row r="90" spans="3:14">
      <c r="C90" t="s">
        <v>31</v>
      </c>
      <c r="D90">
        <f>169.362*$D$72</f>
        <v>0</v>
      </c>
      <c r="E90">
        <f>292.589*$E$72</f>
        <v>0</v>
      </c>
      <c r="F90">
        <f>-100.363*$F$72</f>
        <v>0</v>
      </c>
      <c r="G90">
        <f>18.174*$G$72</f>
        <v>0</v>
      </c>
      <c r="H90">
        <f>0*$H$72</f>
        <v>0</v>
      </c>
      <c r="I90">
        <f>22.256*$I$72</f>
        <v>0</v>
      </c>
      <c r="J90">
        <f>-23.94*$J$72</f>
        <v>0</v>
      </c>
      <c r="K90">
        <f>31.919*$K$72</f>
        <v>0</v>
      </c>
      <c r="L90">
        <f>0.001628*$L$72</f>
        <v>0</v>
      </c>
      <c r="M90">
        <f>0+D90+E90+G90+H90+I90+J90+K90+L90</f>
        <v>0</v>
      </c>
      <c r="N90">
        <f>0+D90+F90+G90+H90+I90+J90+K90+L90</f>
        <v>0</v>
      </c>
    </row>
    <row r="91" spans="3:14">
      <c r="C91" t="s">
        <v>32</v>
      </c>
      <c r="D91">
        <f>186.321*$D$72</f>
        <v>0</v>
      </c>
      <c r="E91">
        <f>311.426*$E$72</f>
        <v>0</v>
      </c>
      <c r="F91">
        <f>-79.967*$F$72</f>
        <v>0</v>
      </c>
      <c r="G91">
        <f>18.106*$G$72</f>
        <v>0</v>
      </c>
      <c r="H91">
        <f>0*$H$72</f>
        <v>0</v>
      </c>
      <c r="I91">
        <f>25.201*$I$72</f>
        <v>0</v>
      </c>
      <c r="J91">
        <f>-30.308*$J$72</f>
        <v>0</v>
      </c>
      <c r="K91">
        <f>40.411*$K$72</f>
        <v>0</v>
      </c>
      <c r="L91">
        <f>0.002931*$L$72</f>
        <v>0</v>
      </c>
      <c r="M91">
        <f>0+D91+E91+G91+H91+I91+J91+K91+L91</f>
        <v>0</v>
      </c>
      <c r="N91">
        <f>0+D91+F91+G91+H91+I91+J91+K91+L91</f>
        <v>0</v>
      </c>
    </row>
    <row r="92" spans="3:14">
      <c r="C92" t="s">
        <v>33</v>
      </c>
      <c r="D92">
        <f>211.56*$D$72</f>
        <v>0</v>
      </c>
      <c r="E92">
        <f>343.736*$E$72</f>
        <v>0</v>
      </c>
      <c r="F92">
        <f>-51.878*$F$72</f>
        <v>0</v>
      </c>
      <c r="G92">
        <f>18.442*$G$72</f>
        <v>0</v>
      </c>
      <c r="H92">
        <f>0*$H$72</f>
        <v>0</v>
      </c>
      <c r="I92">
        <f>29.354*$I$72</f>
        <v>0</v>
      </c>
      <c r="J92">
        <f>-29.977*$J$72</f>
        <v>0</v>
      </c>
      <c r="K92">
        <f>39.97*$K$72</f>
        <v>0</v>
      </c>
      <c r="L92">
        <f>0.00676*$L$72</f>
        <v>0</v>
      </c>
      <c r="M92">
        <f>0+D92+E92+G92+H92+I92+J92+K92+L92</f>
        <v>0</v>
      </c>
      <c r="N92">
        <f>0+D92+F92+G92+H92+I92+J92+K92+L92</f>
        <v>0</v>
      </c>
    </row>
    <row r="93" spans="3:14">
      <c r="C93" t="s">
        <v>34</v>
      </c>
      <c r="D93">
        <f>239.54*$D$72</f>
        <v>0</v>
      </c>
      <c r="E93">
        <f>383.44*$E$72</f>
        <v>0</v>
      </c>
      <c r="F93">
        <f>-31.754*$F$72</f>
        <v>0</v>
      </c>
      <c r="G93">
        <f>18.873*$G$72</f>
        <v>0</v>
      </c>
      <c r="H93">
        <f>0*$H$72</f>
        <v>0</v>
      </c>
      <c r="I93">
        <f>33.9*$I$72</f>
        <v>0</v>
      </c>
      <c r="J93">
        <f>-32.035*$J$72</f>
        <v>0</v>
      </c>
      <c r="K93">
        <f>42.714*$K$72</f>
        <v>0</v>
      </c>
      <c r="L93">
        <f>0.014*$L$72</f>
        <v>0</v>
      </c>
      <c r="M93">
        <f>0+D93+E93+G93+H93+I93+J93+K93+L93</f>
        <v>0</v>
      </c>
      <c r="N93">
        <f>0+D93+F93+G93+H93+I93+J93+K93+L93</f>
        <v>0</v>
      </c>
    </row>
    <row r="94" spans="3:14">
      <c r="C94" t="s">
        <v>35</v>
      </c>
      <c r="D94">
        <f>271.456*$D$72</f>
        <v>0</v>
      </c>
      <c r="E94">
        <f>436.587*$E$72</f>
        <v>0</v>
      </c>
      <c r="F94">
        <f>-13.573*$F$72</f>
        <v>0</v>
      </c>
      <c r="G94">
        <f>19.387*$G$72</f>
        <v>0</v>
      </c>
      <c r="H94">
        <f>0*$H$72</f>
        <v>0</v>
      </c>
      <c r="I94">
        <f>38.986*$I$72</f>
        <v>0</v>
      </c>
      <c r="J94">
        <f>-42.563*$J$72</f>
        <v>0</v>
      </c>
      <c r="K94">
        <f>56.751*$K$72</f>
        <v>0</v>
      </c>
      <c r="L94">
        <f>0.029*$L$72</f>
        <v>0</v>
      </c>
      <c r="M94">
        <f>0+D94+E94+G94+H94+I94+J94+K94+L94</f>
        <v>0</v>
      </c>
      <c r="N94">
        <f>0+D94+F94+G94+H94+I94+J94+K94+L94</f>
        <v>0</v>
      </c>
    </row>
    <row r="95" spans="3:14">
      <c r="C95" t="s">
        <v>36</v>
      </c>
      <c r="D95">
        <f>-12.462*$D$72</f>
        <v>0</v>
      </c>
      <c r="E95">
        <f>13.055*$E$72</f>
        <v>0</v>
      </c>
      <c r="F95">
        <f>-219.399*$F$72</f>
        <v>0</v>
      </c>
      <c r="G95">
        <f>0.633*$G$72</f>
        <v>0</v>
      </c>
      <c r="H95">
        <f>0*$H$72</f>
        <v>0</v>
      </c>
      <c r="I95">
        <f>-2.778*$I$72</f>
        <v>0</v>
      </c>
      <c r="J95">
        <f>12.688*$J$72</f>
        <v>0</v>
      </c>
      <c r="K95">
        <f>-16.917*$K$72</f>
        <v>0</v>
      </c>
      <c r="L95">
        <f>-0.02*$L$72</f>
        <v>0</v>
      </c>
      <c r="M95">
        <f>0+D95+E95+G95+H95+I95+J95+K95+L95</f>
        <v>0</v>
      </c>
      <c r="N95">
        <f>0+D95+F95+G95+H95+I95+J95+K95+L95</f>
        <v>0</v>
      </c>
    </row>
    <row r="96" spans="3:14">
      <c r="C96" t="s">
        <v>36</v>
      </c>
      <c r="D96">
        <f>11.601*$D$72</f>
        <v>0</v>
      </c>
      <c r="E96">
        <f>25.882*$E$72</f>
        <v>0</v>
      </c>
      <c r="F96">
        <f>-13.476*$F$72</f>
        <v>0</v>
      </c>
      <c r="G96">
        <f>-0.531*$G$72</f>
        <v>0</v>
      </c>
      <c r="H96">
        <f>0*$H$72</f>
        <v>0</v>
      </c>
      <c r="I96">
        <f>2.647*$I$72</f>
        <v>0</v>
      </c>
      <c r="J96">
        <f>-11.405*$J$72</f>
        <v>0</v>
      </c>
      <c r="K96">
        <f>15.207*$K$72</f>
        <v>0</v>
      </c>
      <c r="L96">
        <f>-0.141*$L$72</f>
        <v>0</v>
      </c>
      <c r="M96">
        <f>0+D96+E96+G96+H96+I96+J96+K96+L96</f>
        <v>0</v>
      </c>
      <c r="N96">
        <f>0+D96+F96+G96+H96+I96+J96+K96+L96</f>
        <v>0</v>
      </c>
    </row>
    <row r="97" spans="3:14">
      <c r="C97" t="s">
        <v>37</v>
      </c>
      <c r="D97">
        <f>23.353*$D$72</f>
        <v>0</v>
      </c>
      <c r="E97">
        <f>24.652*$E$72</f>
        <v>0</v>
      </c>
      <c r="F97">
        <f>-13.476*$F$72</f>
        <v>0</v>
      </c>
      <c r="G97">
        <f>-0.531*$G$72</f>
        <v>0</v>
      </c>
      <c r="H97">
        <f>0*$H$72</f>
        <v>0</v>
      </c>
      <c r="I97">
        <f>2.647*$I$72</f>
        <v>0</v>
      </c>
      <c r="J97">
        <f>-11.405*$J$72</f>
        <v>0</v>
      </c>
      <c r="K97">
        <f>15.207*$K$72</f>
        <v>0</v>
      </c>
      <c r="L97">
        <f>-0.141*$L$72</f>
        <v>0</v>
      </c>
      <c r="M97">
        <f>0+D97+E97+G97+H97+I97+J97+K97+L97</f>
        <v>0</v>
      </c>
      <c r="N97">
        <f>0+D97+F97+G97+H97+I97+J97+K97+L97</f>
        <v>0</v>
      </c>
    </row>
    <row r="98" spans="3:14">
      <c r="C98" t="s">
        <v>38</v>
      </c>
      <c r="D98">
        <f>-243.829*$D$72</f>
        <v>0</v>
      </c>
      <c r="E98">
        <f>16.789*$E$72</f>
        <v>0</v>
      </c>
      <c r="F98">
        <f>-418.778*$F$72</f>
        <v>0</v>
      </c>
      <c r="G98">
        <f>-18.008*$G$72</f>
        <v>0</v>
      </c>
      <c r="H98">
        <f>0*$H$72</f>
        <v>0</v>
      </c>
      <c r="I98">
        <f>-36.502*$I$72</f>
        <v>0</v>
      </c>
      <c r="J98">
        <f>41.467*$J$72</f>
        <v>0</v>
      </c>
      <c r="K98">
        <f>-55.289*$K$72</f>
        <v>0</v>
      </c>
      <c r="L98">
        <f>0.312*$L$72</f>
        <v>0</v>
      </c>
      <c r="M98">
        <f>0+D98+E98+G98+H98+I98+J98+K98+L98</f>
        <v>0</v>
      </c>
      <c r="N98">
        <f>0+D98+F98+G98+H98+I98+J98+K98+L98</f>
        <v>0</v>
      </c>
    </row>
    <row r="99" spans="3:14">
      <c r="C99" t="s">
        <v>39</v>
      </c>
      <c r="D99">
        <f>-213.12*$D$72</f>
        <v>0</v>
      </c>
      <c r="E99">
        <f>33.146*$E$72</f>
        <v>0</v>
      </c>
      <c r="F99">
        <f>-371.77*$F$72</f>
        <v>0</v>
      </c>
      <c r="G99">
        <f>-17.637*$G$72</f>
        <v>0</v>
      </c>
      <c r="H99">
        <f>0*$H$72</f>
        <v>0</v>
      </c>
      <c r="I99">
        <f>-31.572*$I$72</f>
        <v>0</v>
      </c>
      <c r="J99">
        <f>35.492*$J$72</f>
        <v>0</v>
      </c>
      <c r="K99">
        <f>-47.322*$K$72</f>
        <v>0</v>
      </c>
      <c r="L99">
        <f>0.172*$L$72</f>
        <v>0</v>
      </c>
      <c r="M99">
        <f>0+D99+E99+G99+H99+I99+J99+K99+L99</f>
        <v>0</v>
      </c>
      <c r="N99">
        <f>0+D99+F99+G99+H99+I99+J99+K99+L99</f>
        <v>0</v>
      </c>
    </row>
    <row r="100" spans="3:14">
      <c r="C100" t="s">
        <v>40</v>
      </c>
      <c r="D100">
        <f>-185.565*$D$72</f>
        <v>0</v>
      </c>
      <c r="E100">
        <f>56.567*$E$72</f>
        <v>0</v>
      </c>
      <c r="F100">
        <f>-333.478*$F$72</f>
        <v>0</v>
      </c>
      <c r="G100">
        <f>-17.327*$G$72</f>
        <v>0</v>
      </c>
      <c r="H100">
        <f>0*$H$72</f>
        <v>0</v>
      </c>
      <c r="I100">
        <f>-27.076*$I$72</f>
        <v>0</v>
      </c>
      <c r="J100">
        <f>34.702*$J$72</f>
        <v>0</v>
      </c>
      <c r="K100">
        <f>-46.269*$K$72</f>
        <v>0</v>
      </c>
      <c r="L100">
        <f>0.064*$L$72</f>
        <v>0</v>
      </c>
      <c r="M100">
        <f>0+D100+E100+G100+H100+I100+J100+K100+L100</f>
        <v>0</v>
      </c>
      <c r="N100">
        <f>0+D100+F100+G100+H100+I100+J100+K100+L100</f>
        <v>0</v>
      </c>
    </row>
    <row r="101" spans="3:14">
      <c r="C101" t="s">
        <v>41</v>
      </c>
      <c r="D101">
        <f>-160.359*$D$72</f>
        <v>0</v>
      </c>
      <c r="E101">
        <f>83.742*$E$72</f>
        <v>0</v>
      </c>
      <c r="F101">
        <f>-301.325*$F$72</f>
        <v>0</v>
      </c>
      <c r="G101">
        <f>-16.882*$G$72</f>
        <v>0</v>
      </c>
      <c r="H101">
        <f>0*$H$72</f>
        <v>0</v>
      </c>
      <c r="I101">
        <f>-22.934*$I$72</f>
        <v>0</v>
      </c>
      <c r="J101">
        <f>34.07*$J$72</f>
        <v>0</v>
      </c>
      <c r="K101">
        <f>-45.426*$K$72</f>
        <v>0</v>
      </c>
      <c r="L101">
        <f>-0.026*$L$72</f>
        <v>0</v>
      </c>
      <c r="M101">
        <f>0+D101+E101+G101+H101+I101+J101+K101+L101</f>
        <v>0</v>
      </c>
      <c r="N101">
        <f>0+D101+F101+G101+H101+I101+J101+K101+L101</f>
        <v>0</v>
      </c>
    </row>
    <row r="102" spans="3:14">
      <c r="C102" t="s">
        <v>42</v>
      </c>
      <c r="D102">
        <f>-143.157*$D$72</f>
        <v>0</v>
      </c>
      <c r="E102">
        <f>104.159*$E$72</f>
        <v>0</v>
      </c>
      <c r="F102">
        <f>-281.664*$F$72</f>
        <v>0</v>
      </c>
      <c r="G102">
        <f>-16.754*$G$72</f>
        <v>0</v>
      </c>
      <c r="H102">
        <f>0*$H$72</f>
        <v>0</v>
      </c>
      <c r="I102">
        <f>-19.958*$I$72</f>
        <v>0</v>
      </c>
      <c r="J102">
        <f>25.865*$J$72</f>
        <v>0</v>
      </c>
      <c r="K102">
        <f>-34.487*$K$72</f>
        <v>0</v>
      </c>
      <c r="L102">
        <f>-0.108*$L$72</f>
        <v>0</v>
      </c>
      <c r="M102">
        <f>0+D102+E102+G102+H102+I102+J102+K102+L102</f>
        <v>0</v>
      </c>
      <c r="N102">
        <f>0+D102+F102+G102+H102+I102+J102+K102+L102</f>
        <v>0</v>
      </c>
    </row>
    <row r="103" spans="3:14">
      <c r="C103" t="s">
        <v>43</v>
      </c>
      <c r="D103">
        <f>-99.192*$D$72</f>
        <v>0</v>
      </c>
      <c r="E103">
        <f>90.266*$E$72</f>
        <v>0</v>
      </c>
      <c r="F103">
        <f>-270.274*$F$72</f>
        <v>0</v>
      </c>
      <c r="G103">
        <f>-7.213*$G$72</f>
        <v>0</v>
      </c>
      <c r="H103">
        <f>0*$H$72</f>
        <v>0</v>
      </c>
      <c r="I103">
        <f>-16.107*$I$72</f>
        <v>0</v>
      </c>
      <c r="J103">
        <f>-9.455*$J$72</f>
        <v>0</v>
      </c>
      <c r="K103">
        <f>12.607*$K$72</f>
        <v>0</v>
      </c>
      <c r="L103">
        <f>-0.393*$L$72</f>
        <v>0</v>
      </c>
      <c r="M103">
        <f>0+D103+E103+G103+H103+I103+J103+K103+L103</f>
        <v>0</v>
      </c>
      <c r="N103">
        <f>0+D103+F103+G103+H103+I103+J103+K103+L103</f>
        <v>0</v>
      </c>
    </row>
    <row r="104" spans="3:14">
      <c r="C104" t="s">
        <v>44</v>
      </c>
      <c r="D104">
        <f>-74.754*$D$72</f>
        <v>0</v>
      </c>
      <c r="E104">
        <f>119.619*$E$72</f>
        <v>0</v>
      </c>
      <c r="F104">
        <f>-240.113*$F$72</f>
        <v>0</v>
      </c>
      <c r="G104">
        <f>-6.674*$G$72</f>
        <v>0</v>
      </c>
      <c r="H104">
        <f>0*$H$72</f>
        <v>0</v>
      </c>
      <c r="I104">
        <f>-12.023*$I$72</f>
        <v>0</v>
      </c>
      <c r="J104">
        <f>-5.69*$J$72</f>
        <v>0</v>
      </c>
      <c r="K104">
        <f>7.587*$K$72</f>
        <v>0</v>
      </c>
      <c r="L104">
        <f>-0.423*$L$72</f>
        <v>0</v>
      </c>
      <c r="M104">
        <f>0+D104+E104+G104+H104+I104+J104+K104+L104</f>
        <v>0</v>
      </c>
      <c r="N104">
        <f>0+D104+F104+G104+H104+I104+J104+K104+L104</f>
        <v>0</v>
      </c>
    </row>
    <row r="105" spans="3:14">
      <c r="C105" t="s">
        <v>45</v>
      </c>
      <c r="D105">
        <f>-50.643*$D$72</f>
        <v>0</v>
      </c>
      <c r="E105">
        <f>144.331*$E$72</f>
        <v>0</v>
      </c>
      <c r="F105">
        <f>-212.812*$F$72</f>
        <v>0</v>
      </c>
      <c r="G105">
        <f>-6.364*$G$72</f>
        <v>0</v>
      </c>
      <c r="H105">
        <f>0*$H$72</f>
        <v>0</v>
      </c>
      <c r="I105">
        <f>-7.989*$I$72</f>
        <v>0</v>
      </c>
      <c r="J105">
        <f>0.024*$J$72</f>
        <v>0</v>
      </c>
      <c r="K105">
        <f>-0.032*$K$72</f>
        <v>0</v>
      </c>
      <c r="L105">
        <f>-0.444*$L$72</f>
        <v>0</v>
      </c>
      <c r="M105">
        <f>0+D105+E105+G105+H105+I105+J105+K105+L105</f>
        <v>0</v>
      </c>
      <c r="N105">
        <f>0+D105+F105+G105+H105+I105+J105+K105+L105</f>
        <v>0</v>
      </c>
    </row>
    <row r="106" spans="3:14">
      <c r="C106" t="s">
        <v>46</v>
      </c>
      <c r="D106">
        <f>-26.879*$D$72</f>
        <v>0</v>
      </c>
      <c r="E106">
        <f>161.426*$E$72</f>
        <v>0</v>
      </c>
      <c r="F106">
        <f>-187*$F$72</f>
        <v>0</v>
      </c>
      <c r="G106">
        <f>-5.879*$G$72</f>
        <v>0</v>
      </c>
      <c r="H106">
        <f>0*$H$72</f>
        <v>0</v>
      </c>
      <c r="I106">
        <f>-4*$I$72</f>
        <v>0</v>
      </c>
      <c r="J106">
        <f>5.36*$J$72</f>
        <v>0</v>
      </c>
      <c r="K106">
        <f>-7.147*$K$72</f>
        <v>0</v>
      </c>
      <c r="L106">
        <f>-0.452*$L$72</f>
        <v>0</v>
      </c>
      <c r="M106">
        <f>0+D106+E106+G106+H106+I106+J106+K106+L106</f>
        <v>0</v>
      </c>
      <c r="N106">
        <f>0+D106+F106+G106+H106+I106+J106+K106+L106</f>
        <v>0</v>
      </c>
    </row>
    <row r="107" spans="3:14">
      <c r="C107" t="s">
        <v>47</v>
      </c>
      <c r="D107">
        <f>-3.084*$D$72</f>
        <v>0</v>
      </c>
      <c r="E107">
        <f>187.354*$E$72</f>
        <v>0</v>
      </c>
      <c r="F107">
        <f>-161.451*$F$72</f>
        <v>0</v>
      </c>
      <c r="G107">
        <f>-5.007*$G$72</f>
        <v>0</v>
      </c>
      <c r="H107">
        <f>0*$H$72</f>
        <v>0</v>
      </c>
      <c r="I107">
        <f>-0.017*$I$72</f>
        <v>0</v>
      </c>
      <c r="J107">
        <f>8.584*$J$72</f>
        <v>0</v>
      </c>
      <c r="K107">
        <f>-11.446*$K$72</f>
        <v>0</v>
      </c>
      <c r="L107">
        <f>-0.452*$L$72</f>
        <v>0</v>
      </c>
      <c r="M107">
        <f>0+D107+E107+G107+H107+I107+J107+K107+L107</f>
        <v>0</v>
      </c>
      <c r="N107">
        <f>0+D107+F107+G107+H107+I107+J107+K107+L107</f>
        <v>0</v>
      </c>
    </row>
    <row r="108" spans="3:14">
      <c r="C108" t="s">
        <v>48</v>
      </c>
      <c r="D108">
        <f>28.548*$D$72</f>
        <v>0</v>
      </c>
      <c r="E108">
        <f>172.615*$E$72</f>
        <v>0</v>
      </c>
      <c r="F108">
        <f>-176.096*$F$72</f>
        <v>0</v>
      </c>
      <c r="G108">
        <f>5.893*$G$72</f>
        <v>0</v>
      </c>
      <c r="H108">
        <f>0*$H$72</f>
        <v>0</v>
      </c>
      <c r="I108">
        <f>2.069*$I$72</f>
        <v>0</v>
      </c>
      <c r="J108">
        <f>-7.134*$J$72</f>
        <v>0</v>
      </c>
      <c r="K108">
        <f>9.512*$K$72</f>
        <v>0</v>
      </c>
      <c r="L108">
        <f>0.375*$L$72</f>
        <v>0</v>
      </c>
      <c r="M108">
        <f>0+D108+E108+G108+H108+I108+J108+K108+L108</f>
        <v>0</v>
      </c>
      <c r="N108">
        <f>0+D108+F108+G108+H108+I108+J108+K108+L108</f>
        <v>0</v>
      </c>
    </row>
    <row r="109" spans="3:14">
      <c r="C109" t="s">
        <v>49</v>
      </c>
      <c r="D109">
        <f>52.245*$D$72</f>
        <v>0</v>
      </c>
      <c r="E109">
        <f>198.074*$E$72</f>
        <v>0</v>
      </c>
      <c r="F109">
        <f>-154.721*$F$72</f>
        <v>0</v>
      </c>
      <c r="G109">
        <f>6.49*$G$72</f>
        <v>0</v>
      </c>
      <c r="H109">
        <f>0*$H$72</f>
        <v>0</v>
      </c>
      <c r="I109">
        <f>6.046*$I$72</f>
        <v>0</v>
      </c>
      <c r="J109">
        <f>-2.241*$J$72</f>
        <v>0</v>
      </c>
      <c r="K109">
        <f>2.988*$K$72</f>
        <v>0</v>
      </c>
      <c r="L109">
        <f>0.519*$L$72</f>
        <v>0</v>
      </c>
      <c r="M109">
        <f>0+D109+E109+G109+H109+I109+J109+K109+L109</f>
        <v>0</v>
      </c>
      <c r="N109">
        <f>0+D109+F109+G109+H109+I109+J109+K109+L109</f>
        <v>0</v>
      </c>
    </row>
    <row r="110" spans="3:14">
      <c r="C110" t="s">
        <v>50</v>
      </c>
      <c r="D110">
        <f>76.032*$D$72</f>
        <v>0</v>
      </c>
      <c r="E110">
        <f>224.45*$E$72</f>
        <v>0</v>
      </c>
      <c r="F110">
        <f>-134.686*$F$72</f>
        <v>0</v>
      </c>
      <c r="G110">
        <f>6.824*$G$72</f>
        <v>0</v>
      </c>
      <c r="H110">
        <f>0*$H$72</f>
        <v>0</v>
      </c>
      <c r="I110">
        <f>10.049*$I$72</f>
        <v>0</v>
      </c>
      <c r="J110">
        <f>3.827*$J$72</f>
        <v>0</v>
      </c>
      <c r="K110">
        <f>-5.103*$K$72</f>
        <v>0</v>
      </c>
      <c r="L110">
        <f>0.712*$L$72</f>
        <v>0</v>
      </c>
      <c r="M110">
        <f>0+D110+E110+G110+H110+I110+J110+K110+L110</f>
        <v>0</v>
      </c>
      <c r="N110">
        <f>0+D110+F110+G110+H110+I110+J110+K110+L110</f>
        <v>0</v>
      </c>
    </row>
    <row r="111" spans="3:14">
      <c r="C111" t="s">
        <v>51</v>
      </c>
      <c r="D111">
        <f>100.16*$D$72</f>
        <v>0</v>
      </c>
      <c r="E111">
        <f>251.912*$E$72</f>
        <v>0</v>
      </c>
      <c r="F111">
        <f>-109.796*$F$72</f>
        <v>0</v>
      </c>
      <c r="G111">
        <f>7.297*$G$72</f>
        <v>0</v>
      </c>
      <c r="H111">
        <f>0*$H$72</f>
        <v>0</v>
      </c>
      <c r="I111">
        <f>14.074*$I$72</f>
        <v>0</v>
      </c>
      <c r="J111">
        <f>8.763*$J$72</f>
        <v>0</v>
      </c>
      <c r="K111">
        <f>-11.685*$K$72</f>
        <v>0</v>
      </c>
      <c r="L111">
        <f>0.947*$L$72</f>
        <v>0</v>
      </c>
      <c r="M111">
        <f>0+D111+E111+G111+H111+I111+J111+K111+L111</f>
        <v>0</v>
      </c>
      <c r="N111">
        <f>0+D111+F111+G111+H111+I111+J111+K111+L111</f>
        <v>0</v>
      </c>
    </row>
    <row r="112" spans="3:14">
      <c r="C112" t="s">
        <v>52</v>
      </c>
      <c r="D112">
        <f>124.602*$D$72</f>
        <v>0</v>
      </c>
      <c r="E112">
        <f>281.23*$E$72</f>
        <v>0</v>
      </c>
      <c r="F112">
        <f>-86.726*$F$72</f>
        <v>0</v>
      </c>
      <c r="G112">
        <f>8.106*$G$72</f>
        <v>0</v>
      </c>
      <c r="H112">
        <f>0*$H$72</f>
        <v>0</v>
      </c>
      <c r="I112">
        <f>18.15*$I$72</f>
        <v>0</v>
      </c>
      <c r="J112">
        <f>10.913*$J$72</f>
        <v>0</v>
      </c>
      <c r="K112">
        <f>-14.55*$K$72</f>
        <v>0</v>
      </c>
      <c r="L112">
        <f>1.3*$L$72</f>
        <v>0</v>
      </c>
      <c r="M112">
        <f>0+D112+E112+G112+H112+I112+J112+K112+L112</f>
        <v>0</v>
      </c>
      <c r="N112">
        <f>0+D112+F112+G112+H112+I112+J112+K112+L112</f>
        <v>0</v>
      </c>
    </row>
    <row r="113" spans="3:14">
      <c r="C113" t="s">
        <v>53</v>
      </c>
      <c r="D113">
        <f>162.576*$D$72</f>
        <v>0</v>
      </c>
      <c r="E113">
        <f>289.201*$E$72</f>
        <v>0</v>
      </c>
      <c r="F113">
        <f>-100.375*$F$72</f>
        <v>0</v>
      </c>
      <c r="G113">
        <f>17.586*$G$72</f>
        <v>0</v>
      </c>
      <c r="H113">
        <f>0*$H$72</f>
        <v>0</v>
      </c>
      <c r="I113">
        <f>21.271*$I$72</f>
        <v>0</v>
      </c>
      <c r="J113">
        <f>-22.71*$J$72</f>
        <v>0</v>
      </c>
      <c r="K113">
        <f>30.28*$K$72</f>
        <v>0</v>
      </c>
      <c r="L113">
        <f>2.036*$L$72</f>
        <v>0</v>
      </c>
      <c r="M113">
        <f>0+D113+E113+G113+H113+I113+J113+K113+L113</f>
        <v>0</v>
      </c>
      <c r="N113">
        <f>0+D113+F113+G113+H113+I113+J113+K113+L113</f>
        <v>0</v>
      </c>
    </row>
    <row r="114" spans="3:14">
      <c r="C114" t="s">
        <v>54</v>
      </c>
      <c r="D114">
        <f>179.486*$D$72</f>
        <v>0</v>
      </c>
      <c r="E114">
        <f>308.272*$E$72</f>
        <v>0</v>
      </c>
      <c r="F114">
        <f>-79.971*$F$72</f>
        <v>0</v>
      </c>
      <c r="G114">
        <f>17.504*$G$72</f>
        <v>0</v>
      </c>
      <c r="H114">
        <f>0*$H$72</f>
        <v>0</v>
      </c>
      <c r="I114">
        <f>24.21*$I$72</f>
        <v>0</v>
      </c>
      <c r="J114">
        <f>-29.235*$J$72</f>
        <v>0</v>
      </c>
      <c r="K114">
        <f>38.98*$K$72</f>
        <v>0</v>
      </c>
      <c r="L114">
        <f>1.683*$L$72</f>
        <v>0</v>
      </c>
      <c r="M114">
        <f>0+D114+E114+G114+H114+I114+J114+K114+L114</f>
        <v>0</v>
      </c>
      <c r="N114">
        <f>0+D114+F114+G114+H114+I114+J114+K114+L114</f>
        <v>0</v>
      </c>
    </row>
    <row r="115" spans="3:14">
      <c r="C115" t="s">
        <v>55</v>
      </c>
      <c r="D115">
        <f>204.313*$D$72</f>
        <v>0</v>
      </c>
      <c r="E115">
        <f>340.719*$E$72</f>
        <v>0</v>
      </c>
      <c r="F115">
        <f>-51.771*$F$72</f>
        <v>0</v>
      </c>
      <c r="G115">
        <f>17.793*$G$72</f>
        <v>0</v>
      </c>
      <c r="H115">
        <f>0*$H$72</f>
        <v>0</v>
      </c>
      <c r="I115">
        <f>28.305*$I$72</f>
        <v>0</v>
      </c>
      <c r="J115">
        <f>-29.032*$J$72</f>
        <v>0</v>
      </c>
      <c r="K115">
        <f>38.709*$K$72</f>
        <v>0</v>
      </c>
      <c r="L115">
        <f>0.475*$L$72</f>
        <v>0</v>
      </c>
      <c r="M115">
        <f>0+D115+E115+G115+H115+I115+J115+K115+L115</f>
        <v>0</v>
      </c>
      <c r="N115">
        <f>0+D115+F115+G115+H115+I115+J115+K115+L115</f>
        <v>0</v>
      </c>
    </row>
    <row r="116" spans="3:14">
      <c r="C116" t="s">
        <v>56</v>
      </c>
      <c r="D116">
        <f>231.546*$D$72</f>
        <v>0</v>
      </c>
      <c r="E116">
        <f>380.463*$E$72</f>
        <v>0</v>
      </c>
      <c r="F116">
        <f>-31.898*$F$72</f>
        <v>0</v>
      </c>
      <c r="G116">
        <f>18.141*$G$72</f>
        <v>0</v>
      </c>
      <c r="H116">
        <f>0*$H$72</f>
        <v>0</v>
      </c>
      <c r="I116">
        <f>32.746*$I$72</f>
        <v>0</v>
      </c>
      <c r="J116">
        <f>-31.229*$J$72</f>
        <v>0</v>
      </c>
      <c r="K116">
        <f>41.639*$K$72</f>
        <v>0</v>
      </c>
      <c r="L116">
        <f>-1.931*$L$72</f>
        <v>0</v>
      </c>
      <c r="M116">
        <f>0+D116+E116+G116+H116+I116+J116+K116+L116</f>
        <v>0</v>
      </c>
      <c r="N116">
        <f>0+D116+F116+G116+H116+I116+J116+K116+L116</f>
        <v>0</v>
      </c>
    </row>
    <row r="117" spans="3:14">
      <c r="C117" t="s">
        <v>57</v>
      </c>
      <c r="D117">
        <f>261.99*$D$72</f>
        <v>0</v>
      </c>
      <c r="E117">
        <f>433.008*$E$72</f>
        <v>0</v>
      </c>
      <c r="F117">
        <f>-13.384*$F$72</f>
        <v>0</v>
      </c>
      <c r="G117">
        <f>18.499*$G$72</f>
        <v>0</v>
      </c>
      <c r="H117">
        <f>0*$H$72</f>
        <v>0</v>
      </c>
      <c r="I117">
        <f>37.624*$I$72</f>
        <v>0</v>
      </c>
      <c r="J117">
        <f>-41.941*$J$72</f>
        <v>0</v>
      </c>
      <c r="K117">
        <f>55.922*$K$72</f>
        <v>0</v>
      </c>
      <c r="L117">
        <f>-6.268*$L$72</f>
        <v>0</v>
      </c>
      <c r="M117">
        <f>0+D117+E117+G117+H117+I117+J117+K117+L117</f>
        <v>0</v>
      </c>
      <c r="N117">
        <f>0+D117+F117+G117+H117+I117+J117+K117+L117</f>
        <v>0</v>
      </c>
    </row>
    <row r="118" spans="3:14">
      <c r="C118" t="s">
        <v>58</v>
      </c>
      <c r="D118">
        <f>-9.967*$D$72</f>
        <v>0</v>
      </c>
      <c r="E118">
        <f>14.979*$E$72</f>
        <v>0</v>
      </c>
      <c r="F118">
        <f>-218.794*$F$72</f>
        <v>0</v>
      </c>
      <c r="G118">
        <f>0.901*$G$72</f>
        <v>0</v>
      </c>
      <c r="H118">
        <f>0*$H$72</f>
        <v>0</v>
      </c>
      <c r="I118">
        <f>-2.423*$I$72</f>
        <v>0</v>
      </c>
      <c r="J118">
        <f>12.926*$J$72</f>
        <v>0</v>
      </c>
      <c r="K118">
        <f>-17.235*$K$72</f>
        <v>0</v>
      </c>
      <c r="L118">
        <f>4.045*$L$72</f>
        <v>0</v>
      </c>
      <c r="M118">
        <f>0+D118+E118+G118+H118+I118+J118+K118+L118</f>
        <v>0</v>
      </c>
      <c r="N118">
        <f>0+D118+F118+G118+H118+I118+J118+K118+L118</f>
        <v>0</v>
      </c>
    </row>
    <row r="119" spans="3:14">
      <c r="C119" t="s">
        <v>58</v>
      </c>
      <c r="D119">
        <f>9.54*$D$72</f>
        <v>0</v>
      </c>
      <c r="E119">
        <f>23.343*$E$72</f>
        <v>0</v>
      </c>
      <c r="F119">
        <f>-11.159*$F$72</f>
        <v>0</v>
      </c>
      <c r="G119">
        <f>-0.383*$G$72</f>
        <v>0</v>
      </c>
      <c r="H119">
        <f>0*$H$72</f>
        <v>0</v>
      </c>
      <c r="I119">
        <f>2.34*$I$72</f>
        <v>0</v>
      </c>
      <c r="J119">
        <f>0.547*$J$72</f>
        <v>0</v>
      </c>
      <c r="K119">
        <f>-0.729*$K$72</f>
        <v>0</v>
      </c>
      <c r="L119">
        <f>-11.607*$L$72</f>
        <v>0</v>
      </c>
      <c r="M119">
        <f>0+D119+E119+G119+H119+I119+J119+K119+L119</f>
        <v>0</v>
      </c>
      <c r="N119">
        <f>0+D119+F119+G119+H119+I119+J119+K119+L119</f>
        <v>0</v>
      </c>
    </row>
    <row r="120" spans="3:14">
      <c r="C120" t="s">
        <v>59</v>
      </c>
      <c r="D120">
        <f>21.292*$D$72</f>
        <v>0</v>
      </c>
      <c r="E120">
        <f>23.343*$E$72</f>
        <v>0</v>
      </c>
      <c r="F120">
        <f>-11.159*$F$72</f>
        <v>0</v>
      </c>
      <c r="G120">
        <f>-0.383*$G$72</f>
        <v>0</v>
      </c>
      <c r="H120">
        <f>0*$H$72</f>
        <v>0</v>
      </c>
      <c r="I120">
        <f>2.34*$I$72</f>
        <v>0</v>
      </c>
      <c r="J120">
        <f>0.547*$J$72</f>
        <v>0</v>
      </c>
      <c r="K120">
        <f>-0.729*$K$72</f>
        <v>0</v>
      </c>
      <c r="L120">
        <f>-11.607*$L$72</f>
        <v>0</v>
      </c>
      <c r="M120">
        <f>0+D120+E120+G120+H120+I120+J120+K120+L120</f>
        <v>0</v>
      </c>
      <c r="N120">
        <f>0+D120+F120+G120+H120+I120+J120+K120+L120</f>
        <v>0</v>
      </c>
    </row>
    <row r="121" spans="3:14">
      <c r="C121" t="s">
        <v>60</v>
      </c>
      <c r="D121">
        <f>-116.064*$D$72</f>
        <v>0</v>
      </c>
      <c r="E121">
        <f>20.264*$E$72</f>
        <v>0</v>
      </c>
      <c r="F121">
        <f>-309.129*$F$72</f>
        <v>0</v>
      </c>
      <c r="G121">
        <f>-4.374*$G$72</f>
        <v>0</v>
      </c>
      <c r="H121">
        <f>0*$H$72</f>
        <v>0</v>
      </c>
      <c r="I121">
        <f>-18.38*$I$72</f>
        <v>0</v>
      </c>
      <c r="J121">
        <f>58.733*$J$72</f>
        <v>0</v>
      </c>
      <c r="K121">
        <f>-78.311*$K$72</f>
        <v>0</v>
      </c>
      <c r="L121">
        <f>0.188*$L$72</f>
        <v>0</v>
      </c>
      <c r="M121">
        <f>0+D121+E121+G121+H121+I121+J121+K121+L121</f>
        <v>0</v>
      </c>
      <c r="N121">
        <f>0+D121+F121+G121+H121+I121+J121+K121+L121</f>
        <v>0</v>
      </c>
    </row>
    <row r="122" spans="3:14">
      <c r="C122" t="s">
        <v>61</v>
      </c>
      <c r="D122">
        <f>-88.59*$D$72</f>
        <v>0</v>
      </c>
      <c r="E122">
        <f>40.133*$E$72</f>
        <v>0</v>
      </c>
      <c r="F122">
        <f>-256.838*$F$72</f>
        <v>0</v>
      </c>
      <c r="G122">
        <f>-4.238*$G$72</f>
        <v>0</v>
      </c>
      <c r="H122">
        <f>0*$H$72</f>
        <v>0</v>
      </c>
      <c r="I122">
        <f>-13.915*$I$72</f>
        <v>0</v>
      </c>
      <c r="J122">
        <f>48.149*$J$72</f>
        <v>0</v>
      </c>
      <c r="K122">
        <f>-64.199*$K$72</f>
        <v>0</v>
      </c>
      <c r="L122">
        <f>-4.7*$L$72</f>
        <v>0</v>
      </c>
      <c r="M122">
        <f>0+D122+E122+G122+H122+I122+J122+K122+L122</f>
        <v>0</v>
      </c>
      <c r="N122">
        <f>0+D122+F122+G122+H122+I122+J122+K122+L122</f>
        <v>0</v>
      </c>
    </row>
    <row r="123" spans="3:14">
      <c r="C123" t="s">
        <v>62</v>
      </c>
      <c r="D123">
        <f>-65.632*$D$72</f>
        <v>0</v>
      </c>
      <c r="E123">
        <f>65.635*$E$72</f>
        <v>0</v>
      </c>
      <c r="F123">
        <f>-219.936*$F$72</f>
        <v>0</v>
      </c>
      <c r="G123">
        <f>-4.206*$G$72</f>
        <v>0</v>
      </c>
      <c r="H123">
        <f>0*$H$72</f>
        <v>0</v>
      </c>
      <c r="I123">
        <f>-10.098*$I$72</f>
        <v>0</v>
      </c>
      <c r="J123">
        <f>36.81*$J$72</f>
        <v>0</v>
      </c>
      <c r="K123">
        <f>-49.08*$K$72</f>
        <v>0</v>
      </c>
      <c r="L123">
        <f>-7.703*$L$72</f>
        <v>0</v>
      </c>
      <c r="M123">
        <f>0+D123+E123+G123+H123+I123+J123+K123+L123</f>
        <v>0</v>
      </c>
      <c r="N123">
        <f>0+D123+F123+G123+H123+I123+J123+K123+L123</f>
        <v>0</v>
      </c>
    </row>
    <row r="124" spans="3:14">
      <c r="C124" t="s">
        <v>63</v>
      </c>
      <c r="D124">
        <f>-41.263*$D$72</f>
        <v>0</v>
      </c>
      <c r="E124">
        <f>98.109*$E$72</f>
        <v>0</v>
      </c>
      <c r="F124">
        <f>-183.349*$F$72</f>
        <v>0</v>
      </c>
      <c r="G124">
        <f>-3.809*$G$72</f>
        <v>0</v>
      </c>
      <c r="H124">
        <f>0*$H$72</f>
        <v>0</v>
      </c>
      <c r="I124">
        <f>-6.082*$I$72</f>
        <v>0</v>
      </c>
      <c r="J124">
        <f>37.415*$J$72</f>
        <v>0</v>
      </c>
      <c r="K124">
        <f>-49.887*$K$72</f>
        <v>0</v>
      </c>
      <c r="L124">
        <f>-7.703*$L$72</f>
        <v>0</v>
      </c>
      <c r="M124">
        <f>0+D124+E124+G124+H124+I124+J124+K124+L124</f>
        <v>0</v>
      </c>
      <c r="N124">
        <f>0+D124+F124+G124+H124+I124+J124+K124+L124</f>
        <v>0</v>
      </c>
    </row>
    <row r="125" spans="3:14">
      <c r="C125" t="s">
        <v>64</v>
      </c>
      <c r="D125">
        <f>-17.613*$D$72</f>
        <v>0</v>
      </c>
      <c r="E125">
        <f>133.364*$E$72</f>
        <v>0</v>
      </c>
      <c r="F125">
        <f>-150.16*$F$72</f>
        <v>0</v>
      </c>
      <c r="G125">
        <f>-3.103*$G$72</f>
        <v>0</v>
      </c>
      <c r="H125">
        <f>0*$H$72</f>
        <v>0</v>
      </c>
      <c r="I125">
        <f>-2.171*$I$72</f>
        <v>0</v>
      </c>
      <c r="J125">
        <f>36.525*$J$72</f>
        <v>0</v>
      </c>
      <c r="K125">
        <f>-48.7*$K$72</f>
        <v>0</v>
      </c>
      <c r="L125">
        <f>-5.106*$L$72</f>
        <v>0</v>
      </c>
      <c r="M125">
        <f>0+D125+E125+G125+H125+I125+J125+K125+L125</f>
        <v>0</v>
      </c>
      <c r="N125">
        <f>0+D125+F125+G125+H125+I125+J125+K125+L125</f>
        <v>0</v>
      </c>
    </row>
    <row r="126" spans="3:14">
      <c r="C126" t="s">
        <v>65</v>
      </c>
      <c r="D126">
        <f>26.482*$D$72</f>
        <v>0</v>
      </c>
      <c r="E126">
        <f>148.063*$E$72</f>
        <v>0</v>
      </c>
      <c r="F126">
        <f>-136.556*$F$72</f>
        <v>0</v>
      </c>
      <c r="G126">
        <f>3.659*$G$72</f>
        <v>0</v>
      </c>
      <c r="H126">
        <f>0*$H$72</f>
        <v>0</v>
      </c>
      <c r="I126">
        <f>1.851*$I$72</f>
        <v>0</v>
      </c>
      <c r="J126">
        <f>-28.687*$J$72</f>
        <v>0</v>
      </c>
      <c r="K126">
        <f>38.249*$K$72</f>
        <v>0</v>
      </c>
      <c r="L126">
        <f>11.29*$L$72</f>
        <v>0</v>
      </c>
      <c r="M126">
        <f>0+D126+E126+G126+H126+I126+J126+K126+L126</f>
        <v>0</v>
      </c>
      <c r="N126">
        <f>0+D126+F126+G126+H126+I126+J126+K126+L126</f>
        <v>0</v>
      </c>
    </row>
    <row r="127" spans="3:14">
      <c r="C127" t="s">
        <v>66</v>
      </c>
      <c r="D127">
        <f>51.98*$D$72</f>
        <v>0</v>
      </c>
      <c r="E127">
        <f>183.394*$E$72</f>
        <v>0</v>
      </c>
      <c r="F127">
        <f>-100*$F$72</f>
        <v>0</v>
      </c>
      <c r="G127">
        <f>4.076*$G$72</f>
        <v>0</v>
      </c>
      <c r="H127">
        <f>0*$H$72</f>
        <v>0</v>
      </c>
      <c r="I127">
        <f>6.096*$I$72</f>
        <v>0</v>
      </c>
      <c r="J127">
        <f>-28.118*$J$72</f>
        <v>0</v>
      </c>
      <c r="K127">
        <f>37.491*$K$72</f>
        <v>0</v>
      </c>
      <c r="L127">
        <f>13.592*$L$72</f>
        <v>0</v>
      </c>
      <c r="M127">
        <f>0+D127+E127+G127+H127+I127+J127+K127+L127</f>
        <v>0</v>
      </c>
      <c r="N127">
        <f>0+D127+F127+G127+H127+I127+J127+K127+L127</f>
        <v>0</v>
      </c>
    </row>
    <row r="128" spans="3:14">
      <c r="C128" t="s">
        <v>67</v>
      </c>
      <c r="D128">
        <f>77.632*$D$72</f>
        <v>0</v>
      </c>
      <c r="E128">
        <f>222.109*$E$72</f>
        <v>0</v>
      </c>
      <c r="F128">
        <f>-63.76*$F$72</f>
        <v>0</v>
      </c>
      <c r="G128">
        <f>4.116*$G$72</f>
        <v>0</v>
      </c>
      <c r="H128">
        <f>0*$H$72</f>
        <v>0</v>
      </c>
      <c r="I128">
        <f>10.383*$I$72</f>
        <v>0</v>
      </c>
      <c r="J128">
        <f>-27.963*$J$72</f>
        <v>0</v>
      </c>
      <c r="K128">
        <f>37.283*$K$72</f>
        <v>0</v>
      </c>
      <c r="L128">
        <f>14.806*$L$72</f>
        <v>0</v>
      </c>
      <c r="M128">
        <f>0+D128+E128+G128+H128+I128+J128+K128+L128</f>
        <v>0</v>
      </c>
      <c r="N128">
        <f>0+D128+F128+G128+H128+I128+J128+K128+L128</f>
        <v>0</v>
      </c>
    </row>
    <row r="129" spans="3:14">
      <c r="C129" t="s">
        <v>68</v>
      </c>
      <c r="D129">
        <f>99.345*$D$72</f>
        <v>0</v>
      </c>
      <c r="E129">
        <f>258.705*$E$72</f>
        <v>0</v>
      </c>
      <c r="F129">
        <f>-36.873*$F$72</f>
        <v>0</v>
      </c>
      <c r="G129">
        <f>3.721*$G$72</f>
        <v>0</v>
      </c>
      <c r="H129">
        <f>0*$H$72</f>
        <v>0</v>
      </c>
      <c r="I129">
        <f>14.092*$I$72</f>
        <v>0</v>
      </c>
      <c r="J129">
        <f>-49.122*$J$72</f>
        <v>0</v>
      </c>
      <c r="K129">
        <f>65.495*$K$72</f>
        <v>0</v>
      </c>
      <c r="L129">
        <f>14.917*$L$72</f>
        <v>0</v>
      </c>
      <c r="M129">
        <f>0+D129+E129+G129+H129+I129+J129+K129+L129</f>
        <v>0</v>
      </c>
      <c r="N129">
        <f>0+D129+F129+G129+H129+I129+J129+K129+L129</f>
        <v>0</v>
      </c>
    </row>
    <row r="130" spans="3:14">
      <c r="C130" t="s">
        <v>69</v>
      </c>
      <c r="D130">
        <f>127.823*$D$72</f>
        <v>0</v>
      </c>
      <c r="E130">
        <f>320.112*$E$72</f>
        <v>0</v>
      </c>
      <c r="F130">
        <f>-2.976*$F$72</f>
        <v>0</v>
      </c>
      <c r="G130">
        <f>3.413*$G$72</f>
        <v>0</v>
      </c>
      <c r="H130">
        <f>0*$H$72</f>
        <v>0</v>
      </c>
      <c r="I130">
        <f>18.83*$I$72</f>
        <v>0</v>
      </c>
      <c r="J130">
        <f>-61.16*$J$72</f>
        <v>0</v>
      </c>
      <c r="K130">
        <f>81.546*$K$72</f>
        <v>0</v>
      </c>
      <c r="L130">
        <f>15.718*$L$72</f>
        <v>0</v>
      </c>
      <c r="M130">
        <f>0+D130+E130+G130+H130+I130+J130+K130+L130</f>
        <v>0</v>
      </c>
      <c r="N130">
        <f>0+D130+F130+G130+H130+I130+J130+K130+L130</f>
        <v>0</v>
      </c>
    </row>
    <row r="135" spans="3:14">
      <c r="C135" t="s">
        <v>71</v>
      </c>
    </row>
    <row r="137" spans="3:14">
      <c r="C137" t="s">
        <v>2</v>
      </c>
    </row>
    <row r="138" spans="3:14">
      <c r="C138" t="s">
        <v>3</v>
      </c>
      <c r="D138" t="s">
        <v>4</v>
      </c>
      <c r="E138" t="s">
        <v>5</v>
      </c>
      <c r="F138" t="s">
        <v>6</v>
      </c>
      <c r="G138" t="s">
        <v>7</v>
      </c>
      <c r="H138" t="s">
        <v>8</v>
      </c>
      <c r="I138" t="s">
        <v>9</v>
      </c>
      <c r="J138" t="s">
        <v>10</v>
      </c>
      <c r="K138" t="s">
        <v>11</v>
      </c>
      <c r="L138" t="s">
        <v>12</v>
      </c>
      <c r="M138" t="s">
        <v>13</v>
      </c>
      <c r="N138" t="s">
        <v>14</v>
      </c>
    </row>
    <row r="139" spans="3:14">
      <c r="C139" t="s">
        <v>78</v>
      </c>
      <c r="D139">
        <f>1.3872*$D$137</f>
        <v>0</v>
      </c>
      <c r="E139">
        <f>8.8416*$E$137</f>
        <v>0</v>
      </c>
      <c r="F139">
        <f>-10.0861*$F$137</f>
        <v>0</v>
      </c>
      <c r="G139">
        <f>0.611*$G$137</f>
        <v>0</v>
      </c>
      <c r="H139">
        <f>0*$H$137</f>
        <v>0</v>
      </c>
      <c r="I139">
        <f>0.1961*$I$137</f>
        <v>0</v>
      </c>
      <c r="J139">
        <f>58.4112*$J$137</f>
        <v>0</v>
      </c>
      <c r="K139">
        <f>-77.8815*$K$137</f>
        <v>0</v>
      </c>
      <c r="L139">
        <f>0.0007218*$L$137</f>
        <v>0</v>
      </c>
      <c r="M139">
        <f>0+D139+E139+G139+H139+I139+J139+K139+L139</f>
        <v>0</v>
      </c>
      <c r="N139">
        <f>0+D139+F139+G139+H139+I139+J139+K139+L139</f>
        <v>0</v>
      </c>
    </row>
    <row r="140" spans="3:14">
      <c r="C140" t="s">
        <v>16</v>
      </c>
      <c r="D140">
        <f>-4.3138*$D$137</f>
        <v>0</v>
      </c>
      <c r="E140">
        <f>51.8938*$E$137</f>
        <v>0</v>
      </c>
      <c r="F140">
        <f>-50.9668*$F$137</f>
        <v>0</v>
      </c>
      <c r="G140">
        <f>-2.7721*$G$137</f>
        <v>0</v>
      </c>
      <c r="H140">
        <f>0*$H$137</f>
        <v>0</v>
      </c>
      <c r="I140">
        <f>-0.5285*$I$137</f>
        <v>0</v>
      </c>
      <c r="J140">
        <f>-139.1571*$J$137</f>
        <v>0</v>
      </c>
      <c r="K140">
        <f>185.5428*$K$137</f>
        <v>0</v>
      </c>
      <c r="L140">
        <f>0.0247*$L$137</f>
        <v>0</v>
      </c>
      <c r="M140">
        <f>0+D140+E140+G140+H140+I140+J140+K140+L140</f>
        <v>0</v>
      </c>
      <c r="N140">
        <f>0+D140+F140+G140+H140+I140+J140+K140+L140</f>
        <v>0</v>
      </c>
    </row>
    <row r="141" spans="3:14">
      <c r="C141" t="s">
        <v>17</v>
      </c>
      <c r="D141">
        <f>-2.544*$D$137</f>
        <v>0</v>
      </c>
      <c r="E141">
        <f>36.0837*$E$137</f>
        <v>0</v>
      </c>
      <c r="F141">
        <f>-42.4101*$F$137</f>
        <v>0</v>
      </c>
      <c r="G141">
        <f>-1.3095*$G$137</f>
        <v>0</v>
      </c>
      <c r="H141">
        <f>0*$H$137</f>
        <v>0</v>
      </c>
      <c r="I141">
        <f>-0.3815*$I$137</f>
        <v>0</v>
      </c>
      <c r="J141">
        <f>-71.5249*$J$137</f>
        <v>0</v>
      </c>
      <c r="K141">
        <f>95.3665*$K$137</f>
        <v>0</v>
      </c>
      <c r="L141">
        <f>0.0202*$L$137</f>
        <v>0</v>
      </c>
      <c r="M141">
        <f>0+D141+E141+G141+H141+I141+J141+K141+L141</f>
        <v>0</v>
      </c>
      <c r="N141">
        <f>0+D141+F141+G141+H141+I141+J141+K141+L141</f>
        <v>0</v>
      </c>
    </row>
    <row r="142" spans="3:14">
      <c r="C142" t="s">
        <v>18</v>
      </c>
      <c r="D142">
        <f>-1.2853*$D$137</f>
        <v>0</v>
      </c>
      <c r="E142">
        <f>52.3142*$E$137</f>
        <v>0</v>
      </c>
      <c r="F142">
        <f>-57.4629*$F$137</f>
        <v>0</v>
      </c>
      <c r="G142">
        <f>0.192*$G$137</f>
        <v>0</v>
      </c>
      <c r="H142">
        <f>0*$H$137</f>
        <v>0</v>
      </c>
      <c r="I142">
        <f>-0.2723*$I$137</f>
        <v>0</v>
      </c>
      <c r="J142">
        <f>-31.1486*$J$137</f>
        <v>0</v>
      </c>
      <c r="K142">
        <f>41.5314*$K$137</f>
        <v>0</v>
      </c>
      <c r="L142">
        <f>0.0173*$L$137</f>
        <v>0</v>
      </c>
      <c r="M142">
        <f>0+D142+E142+G142+H142+I142+J142+K142+L142</f>
        <v>0</v>
      </c>
      <c r="N142">
        <f>0+D142+F142+G142+H142+I142+J142+K142+L142</f>
        <v>0</v>
      </c>
    </row>
    <row r="143" spans="3:14">
      <c r="C143" t="s">
        <v>19</v>
      </c>
      <c r="D143">
        <f>-0.4565*$D$137</f>
        <v>0</v>
      </c>
      <c r="E143">
        <f>73.866*$E$137</f>
        <v>0</v>
      </c>
      <c r="F143">
        <f>-78.1797*$F$137</f>
        <v>0</v>
      </c>
      <c r="G143">
        <f>1.7004*$G$137</f>
        <v>0</v>
      </c>
      <c r="H143">
        <f>0*$H$137</f>
        <v>0</v>
      </c>
      <c r="I143">
        <f>-0.229*$I$137</f>
        <v>0</v>
      </c>
      <c r="J143">
        <f>-16.9469*$J$137</f>
        <v>0</v>
      </c>
      <c r="K143">
        <f>22.5958*$K$137</f>
        <v>0</v>
      </c>
      <c r="L143">
        <f>0.0142*$L$137</f>
        <v>0</v>
      </c>
      <c r="M143">
        <f>0+D143+E143+G143+H143+I143+J143+K143+L143</f>
        <v>0</v>
      </c>
      <c r="N143">
        <f>0+D143+F143+G143+H143+I143+J143+K143+L143</f>
        <v>0</v>
      </c>
    </row>
    <row r="144" spans="3:14">
      <c r="C144" t="s">
        <v>20</v>
      </c>
      <c r="D144">
        <f>4.0675*$D$137</f>
        <v>0</v>
      </c>
      <c r="E144">
        <f>99.9531*$E$137</f>
        <v>0</v>
      </c>
      <c r="F144">
        <f>-93.0334*$F$137</f>
        <v>0</v>
      </c>
      <c r="G144">
        <f>-0.455*$G$137</f>
        <v>0</v>
      </c>
      <c r="H144">
        <f>0*$H$137</f>
        <v>0</v>
      </c>
      <c r="I144">
        <f>0.643*$I$137</f>
        <v>0</v>
      </c>
      <c r="J144">
        <f>22.2214*$J$137</f>
        <v>0</v>
      </c>
      <c r="K144">
        <f>-29.6285*$K$137</f>
        <v>0</v>
      </c>
      <c r="L144">
        <f>-0.00001923*$L$137</f>
        <v>0</v>
      </c>
      <c r="M144">
        <f>0+D144+E144+G144+H144+I144+J144+K144+L144</f>
        <v>0</v>
      </c>
      <c r="N144">
        <f>0+D144+F144+G144+H144+I144+J144+K144+L144</f>
        <v>0</v>
      </c>
    </row>
    <row r="145" spans="3:14">
      <c r="C145" t="s">
        <v>21</v>
      </c>
      <c r="D145">
        <f>-1.1369*$D$137</f>
        <v>0</v>
      </c>
      <c r="E145">
        <f>109.5685*$E$137</f>
        <v>0</v>
      </c>
      <c r="F145">
        <f>-115.0795*$F$137</f>
        <v>0</v>
      </c>
      <c r="G145">
        <f>4.1223*$G$137</f>
        <v>0</v>
      </c>
      <c r="H145">
        <f>0*$H$137</f>
        <v>0</v>
      </c>
      <c r="I145">
        <f>-0.4558*$I$137</f>
        <v>0</v>
      </c>
      <c r="J145">
        <f>-33.3238*$J$137</f>
        <v>0</v>
      </c>
      <c r="K145">
        <f>44.4317*$K$137</f>
        <v>0</v>
      </c>
      <c r="L145">
        <f>0.0125*$L$137</f>
        <v>0</v>
      </c>
      <c r="M145">
        <f>0+D145+E145+G145+H145+I145+J145+K145+L145</f>
        <v>0</v>
      </c>
      <c r="N145">
        <f>0+D145+F145+G145+H145+I145+J145+K145+L145</f>
        <v>0</v>
      </c>
    </row>
    <row r="146" spans="3:14">
      <c r="C146" t="s">
        <v>22</v>
      </c>
      <c r="D146">
        <f>0.8397*$D$137</f>
        <v>0</v>
      </c>
      <c r="E146">
        <f>128.2801*$E$137</f>
        <v>0</v>
      </c>
      <c r="F146">
        <f>-130.1254*$F$137</f>
        <v>0</v>
      </c>
      <c r="G146">
        <f>3.0087*$G$137</f>
        <v>0</v>
      </c>
      <c r="H146">
        <f>0*$H$137</f>
        <v>0</v>
      </c>
      <c r="I146">
        <f>-0.109*$I$137</f>
        <v>0</v>
      </c>
      <c r="J146">
        <f>-13.3225*$J$137</f>
        <v>0</v>
      </c>
      <c r="K146">
        <f>17.7633*$K$137</f>
        <v>0</v>
      </c>
      <c r="L146">
        <f>0.0072*$L$137</f>
        <v>0</v>
      </c>
      <c r="M146">
        <f>0+D146+E146+G146+H146+I146+J146+K146+L146</f>
        <v>0</v>
      </c>
      <c r="N146">
        <f>0+D146+F146+G146+H146+I146+J146+K146+L146</f>
        <v>0</v>
      </c>
    </row>
    <row r="147" spans="3:14">
      <c r="C147" t="s">
        <v>23</v>
      </c>
      <c r="D147">
        <f>3.3199*$D$137</f>
        <v>0</v>
      </c>
      <c r="E147">
        <f>136.8593*$E$137</f>
        <v>0</v>
      </c>
      <c r="F147">
        <f>-134.6392*$F$137</f>
        <v>0</v>
      </c>
      <c r="G147">
        <f>1.9255*$G$137</f>
        <v>0</v>
      </c>
      <c r="H147">
        <f>0*$H$137</f>
        <v>0</v>
      </c>
      <c r="I147">
        <f>0.3242*$I$137</f>
        <v>0</v>
      </c>
      <c r="J147">
        <f>-1.9127*$J$137</f>
        <v>0</v>
      </c>
      <c r="K147">
        <f>2.5503*$K$137</f>
        <v>0</v>
      </c>
      <c r="L147">
        <f>0.0061*$L$137</f>
        <v>0</v>
      </c>
      <c r="M147">
        <f>0+D147+E147+G147+H147+I147+J147+K147+L147</f>
        <v>0</v>
      </c>
      <c r="N147">
        <f>0+D147+F147+G147+H147+I147+J147+K147+L147</f>
        <v>0</v>
      </c>
    </row>
    <row r="148" spans="3:14">
      <c r="C148" t="s">
        <v>24</v>
      </c>
      <c r="D148">
        <f>6.0568*$D$137</f>
        <v>0</v>
      </c>
      <c r="E148">
        <f>139.678*$E$137</f>
        <v>0</v>
      </c>
      <c r="F148">
        <f>-133.5556*$F$137</f>
        <v>0</v>
      </c>
      <c r="G148">
        <f>1.9176*$G$137</f>
        <v>0</v>
      </c>
      <c r="H148">
        <f>0*$H$137</f>
        <v>0</v>
      </c>
      <c r="I148">
        <f>0.7299*$I$137</f>
        <v>0</v>
      </c>
      <c r="J148">
        <f>-5.0537*$J$137</f>
        <v>0</v>
      </c>
      <c r="K148">
        <f>6.7382*$K$137</f>
        <v>0</v>
      </c>
      <c r="L148">
        <f>0.0052*$L$137</f>
        <v>0</v>
      </c>
      <c r="M148">
        <f>0+D148+E148+G148+H148+I148+J148+K148+L148</f>
        <v>0</v>
      </c>
      <c r="N148">
        <f>0+D148+F148+G148+H148+I148+J148+K148+L148</f>
        <v>0</v>
      </c>
    </row>
    <row r="149" spans="3:14">
      <c r="C149" t="s">
        <v>25</v>
      </c>
      <c r="D149">
        <f>14.0436*$D$137</f>
        <v>0</v>
      </c>
      <c r="E149">
        <f>139.5846*$E$137</f>
        <v>0</v>
      </c>
      <c r="F149">
        <f>-119.0854*$F$137</f>
        <v>0</v>
      </c>
      <c r="G149">
        <f>-3.3041*$G$137</f>
        <v>0</v>
      </c>
      <c r="H149">
        <f>0*$H$137</f>
        <v>0</v>
      </c>
      <c r="I149">
        <f>2.3116*$I$137</f>
        <v>0</v>
      </c>
      <c r="J149">
        <f>-3.7912*$J$137</f>
        <v>0</v>
      </c>
      <c r="K149">
        <f>5.0549*$K$137</f>
        <v>0</v>
      </c>
      <c r="L149">
        <f>-0.0103*$L$137</f>
        <v>0</v>
      </c>
      <c r="M149">
        <f>0+D149+E149+G149+H149+I149+J149+K149+L149</f>
        <v>0</v>
      </c>
      <c r="N149">
        <f>0+D149+F149+G149+H149+I149+J149+K149+L149</f>
        <v>0</v>
      </c>
    </row>
    <row r="150" spans="3:14">
      <c r="C150" t="s">
        <v>26</v>
      </c>
      <c r="D150">
        <f>7.4658*$D$137</f>
        <v>0</v>
      </c>
      <c r="E150">
        <f>144.6614*$E$137</f>
        <v>0</v>
      </c>
      <c r="F150">
        <f>-138.7444*$F$137</f>
        <v>0</v>
      </c>
      <c r="G150">
        <f>5.0551*$G$137</f>
        <v>0</v>
      </c>
      <c r="H150">
        <f>0*$H$137</f>
        <v>0</v>
      </c>
      <c r="I150">
        <f>0.7546*$I$137</f>
        <v>0</v>
      </c>
      <c r="J150">
        <f>-27.1079*$J$137</f>
        <v>0</v>
      </c>
      <c r="K150">
        <f>36.1438*$K$137</f>
        <v>0</v>
      </c>
      <c r="L150">
        <f>0.0078*$L$137</f>
        <v>0</v>
      </c>
      <c r="M150">
        <f>0+D150+E150+G150+H150+I150+J150+K150+L150</f>
        <v>0</v>
      </c>
      <c r="N150">
        <f>0+D150+F150+G150+H150+I150+J150+K150+L150</f>
        <v>0</v>
      </c>
    </row>
    <row r="151" spans="3:14">
      <c r="C151" t="s">
        <v>27</v>
      </c>
      <c r="D151">
        <f>10.5915*$D$137</f>
        <v>0</v>
      </c>
      <c r="E151">
        <f>143.8921*$E$137</f>
        <v>0</v>
      </c>
      <c r="F151">
        <f>-133.2685*$F$137</f>
        <v>0</v>
      </c>
      <c r="G151">
        <f>4.1136*$G$137</f>
        <v>0</v>
      </c>
      <c r="H151">
        <f>0*$H$137</f>
        <v>0</v>
      </c>
      <c r="I151">
        <f>1.2646*$I$137</f>
        <v>0</v>
      </c>
      <c r="J151">
        <f>-14.5635*$J$137</f>
        <v>0</v>
      </c>
      <c r="K151">
        <f>19.4179*$K$137</f>
        <v>0</v>
      </c>
      <c r="L151">
        <f>0.0029*$L$137</f>
        <v>0</v>
      </c>
      <c r="M151">
        <f>0+D151+E151+G151+H151+I151+J151+K151+L151</f>
        <v>0</v>
      </c>
      <c r="N151">
        <f>0+D151+F151+G151+H151+I151+J151+K151+L151</f>
        <v>0</v>
      </c>
    </row>
    <row r="152" spans="3:14">
      <c r="C152" t="s">
        <v>28</v>
      </c>
      <c r="D152">
        <f>13.9122*$D$137</f>
        <v>0</v>
      </c>
      <c r="E152">
        <f>138.1089*$E$137</f>
        <v>0</v>
      </c>
      <c r="F152">
        <f>-122.2843*$F$137</f>
        <v>0</v>
      </c>
      <c r="G152">
        <f>3.398*$G$137</f>
        <v>0</v>
      </c>
      <c r="H152">
        <f>0*$H$137</f>
        <v>0</v>
      </c>
      <c r="I152">
        <f>1.8041*$I$137</f>
        <v>0</v>
      </c>
      <c r="J152">
        <f>-8.2565*$J$137</f>
        <v>0</v>
      </c>
      <c r="K152">
        <f>11.0086*$K$137</f>
        <v>0</v>
      </c>
      <c r="L152">
        <f>0.0031*$L$137</f>
        <v>0</v>
      </c>
      <c r="M152">
        <f>0+D152+E152+G152+H152+I152+J152+K152+L152</f>
        <v>0</v>
      </c>
      <c r="N152">
        <f>0+D152+F152+G152+H152+I152+J152+K152+L152</f>
        <v>0</v>
      </c>
    </row>
    <row r="153" spans="3:14">
      <c r="C153" t="s">
        <v>29</v>
      </c>
      <c r="D153">
        <f>17.0075*$D$137</f>
        <v>0</v>
      </c>
      <c r="E153">
        <f>126.5027*$E$137</f>
        <v>0</v>
      </c>
      <c r="F153">
        <f>-106.9074*$F$137</f>
        <v>0</v>
      </c>
      <c r="G153">
        <f>3.8641*$G$137</f>
        <v>0</v>
      </c>
      <c r="H153">
        <f>0*$H$137</f>
        <v>0</v>
      </c>
      <c r="I153">
        <f>2.2355*$I$137</f>
        <v>0</v>
      </c>
      <c r="J153">
        <f>-13.483*$J$137</f>
        <v>0</v>
      </c>
      <c r="K153">
        <f>17.9774*$K$137</f>
        <v>0</v>
      </c>
      <c r="L153">
        <f>0.0037*$L$137</f>
        <v>0</v>
      </c>
      <c r="M153">
        <f>0+D153+E153+G153+H153+I153+J153+K153+L153</f>
        <v>0</v>
      </c>
      <c r="N153">
        <f>0+D153+F153+G153+H153+I153+J153+K153+L153</f>
        <v>0</v>
      </c>
    </row>
    <row r="154" spans="3:14">
      <c r="C154" t="s">
        <v>30</v>
      </c>
      <c r="D154">
        <f>18.6999*$D$137</f>
        <v>0</v>
      </c>
      <c r="E154">
        <f>94.1869*$E$137</f>
        <v>0</v>
      </c>
      <c r="F154">
        <f>-67.1081*$F$137</f>
        <v>0</v>
      </c>
      <c r="G154">
        <f>-0.8589*$G$137</f>
        <v>0</v>
      </c>
      <c r="H154">
        <f>0*$H$137</f>
        <v>0</v>
      </c>
      <c r="I154">
        <f>2.8906*$I$137</f>
        <v>0</v>
      </c>
      <c r="J154">
        <f>-7.0368*$J$137</f>
        <v>0</v>
      </c>
      <c r="K154">
        <f>9.3824*$K$137</f>
        <v>0</v>
      </c>
      <c r="L154">
        <f>-0.0068*$L$137</f>
        <v>0</v>
      </c>
      <c r="M154">
        <f>0+D154+E154+G154+H154+I154+J154+K154+L154</f>
        <v>0</v>
      </c>
      <c r="N154">
        <f>0+D154+F154+G154+H154+I154+J154+K154+L154</f>
        <v>0</v>
      </c>
    </row>
    <row r="155" spans="3:14">
      <c r="C155" t="s">
        <v>31</v>
      </c>
      <c r="D155">
        <f>19.0785*$D$137</f>
        <v>0</v>
      </c>
      <c r="E155">
        <f>108.8918*$E$137</f>
        <v>0</v>
      </c>
      <c r="F155">
        <f>-89.9921*$F$137</f>
        <v>0</v>
      </c>
      <c r="G155">
        <f>6.9006*$G$137</f>
        <v>0</v>
      </c>
      <c r="H155">
        <f>0*$H$137</f>
        <v>0</v>
      </c>
      <c r="I155">
        <f>2.3395*$I$137</f>
        <v>0</v>
      </c>
      <c r="J155">
        <f>-34.8352*$J$137</f>
        <v>0</v>
      </c>
      <c r="K155">
        <f>46.447*$K$137</f>
        <v>0</v>
      </c>
      <c r="L155">
        <f>0.0044*$L$137</f>
        <v>0</v>
      </c>
      <c r="M155">
        <f>0+D155+E155+G155+H155+I155+J155+K155+L155</f>
        <v>0</v>
      </c>
      <c r="N155">
        <f>0+D155+F155+G155+H155+I155+J155+K155+L155</f>
        <v>0</v>
      </c>
    </row>
    <row r="156" spans="3:14">
      <c r="C156" t="s">
        <v>32</v>
      </c>
      <c r="D156">
        <f>19.772*$D$137</f>
        <v>0</v>
      </c>
      <c r="E156">
        <f>89.6879*$E$137</f>
        <v>0</v>
      </c>
      <c r="F156">
        <f>-71.6263*$F$137</f>
        <v>0</v>
      </c>
      <c r="G156">
        <f>5.7976*$G$137</f>
        <v>0</v>
      </c>
      <c r="H156">
        <f>0*$H$137</f>
        <v>0</v>
      </c>
      <c r="I156">
        <f>2.4774*$I$137</f>
        <v>0</v>
      </c>
      <c r="J156">
        <f>-19.9446*$J$137</f>
        <v>0</v>
      </c>
      <c r="K156">
        <f>26.5928*$K$137</f>
        <v>0</v>
      </c>
      <c r="L156">
        <f>-0.0043*$L$137</f>
        <v>0</v>
      </c>
      <c r="M156">
        <f>0+D156+E156+G156+H156+I156+J156+K156+L156</f>
        <v>0</v>
      </c>
      <c r="N156">
        <f>0+D156+F156+G156+H156+I156+J156+K156+L156</f>
        <v>0</v>
      </c>
    </row>
    <row r="157" spans="3:14">
      <c r="C157" t="s">
        <v>33</v>
      </c>
      <c r="D157">
        <f>17.6641*$D$137</f>
        <v>0</v>
      </c>
      <c r="E157">
        <f>69.7099*$E$137</f>
        <v>0</v>
      </c>
      <c r="F157">
        <f>-53.9236*$F$137</f>
        <v>0</v>
      </c>
      <c r="G157">
        <f>3.9099*$G$137</f>
        <v>0</v>
      </c>
      <c r="H157">
        <f>0*$H$137</f>
        <v>0</v>
      </c>
      <c r="I157">
        <f>2.2688*$I$137</f>
        <v>0</v>
      </c>
      <c r="J157">
        <f>-4.5019*$J$137</f>
        <v>0</v>
      </c>
      <c r="K157">
        <f>6.0025*$K$137</f>
        <v>0</v>
      </c>
      <c r="L157">
        <f>-0.0075*$L$137</f>
        <v>0</v>
      </c>
      <c r="M157">
        <f>0+D157+E157+G157+H157+I157+J157+K157+L157</f>
        <v>0</v>
      </c>
      <c r="N157">
        <f>0+D157+F157+G157+H157+I157+J157+K157+L157</f>
        <v>0</v>
      </c>
    </row>
    <row r="158" spans="3:14">
      <c r="C158" t="s">
        <v>34</v>
      </c>
      <c r="D158">
        <f>11.8503*$D$137</f>
        <v>0</v>
      </c>
      <c r="E158">
        <f>42.177*$E$137</f>
        <v>0</v>
      </c>
      <c r="F158">
        <f>-31.4217*$F$137</f>
        <v>0</v>
      </c>
      <c r="G158">
        <f>2.0368*$G$137</f>
        <v>0</v>
      </c>
      <c r="H158">
        <f>0*$H$137</f>
        <v>0</v>
      </c>
      <c r="I158">
        <f>1.5314*$I$137</f>
        <v>0</v>
      </c>
      <c r="J158">
        <f>6.1103*$J$137</f>
        <v>0</v>
      </c>
      <c r="K158">
        <f>-8.147*$K$137</f>
        <v>0</v>
      </c>
      <c r="L158">
        <f>-0.0087*$L$137</f>
        <v>0</v>
      </c>
      <c r="M158">
        <f>0+D158+E158+G158+H158+I158+J158+K158+L158</f>
        <v>0</v>
      </c>
      <c r="N158">
        <f>0+D158+F158+G158+H158+I158+J158+K158+L158</f>
        <v>0</v>
      </c>
    </row>
    <row r="159" spans="3:14">
      <c r="C159" t="s">
        <v>35</v>
      </c>
      <c r="D159">
        <f>-12.1519*$D$137</f>
        <v>0</v>
      </c>
      <c r="E159">
        <f>45.0996*$E$137</f>
        <v>0</v>
      </c>
      <c r="F159">
        <f>-56.5553*$F$137</f>
        <v>0</v>
      </c>
      <c r="G159">
        <f>-2.5637*$G$137</f>
        <v>0</v>
      </c>
      <c r="H159">
        <f>0*$H$137</f>
        <v>0</v>
      </c>
      <c r="I159">
        <f>-1.4834*$I$137</f>
        <v>0</v>
      </c>
      <c r="J159">
        <f>59.895*$J$137</f>
        <v>0</v>
      </c>
      <c r="K159">
        <f>-79.86*$K$137</f>
        <v>0</v>
      </c>
      <c r="L159">
        <f>0.019*$L$137</f>
        <v>0</v>
      </c>
      <c r="M159">
        <f>0+D159+E159+G159+H159+I159+J159+K159+L159</f>
        <v>0</v>
      </c>
      <c r="N159">
        <f>0+D159+F159+G159+H159+I159+J159+K159+L159</f>
        <v>0</v>
      </c>
    </row>
    <row r="160" spans="3:14">
      <c r="C160" t="s">
        <v>36</v>
      </c>
      <c r="D160">
        <f>-3.4001*$D$137</f>
        <v>0</v>
      </c>
      <c r="E160">
        <f>3.9865*$E$137</f>
        <v>0</v>
      </c>
      <c r="F160">
        <f>-5.8118*$F$137</f>
        <v>0</v>
      </c>
      <c r="G160">
        <f>-0.4897*$G$137</f>
        <v>0</v>
      </c>
      <c r="H160">
        <f>0*$H$137</f>
        <v>0</v>
      </c>
      <c r="I160">
        <f>-0.4416*$I$137</f>
        <v>0</v>
      </c>
      <c r="J160">
        <f>17.5932*$J$137</f>
        <v>0</v>
      </c>
      <c r="K160">
        <f>-23.4577*$K$137</f>
        <v>0</v>
      </c>
      <c r="L160">
        <f>0.0127*$L$137</f>
        <v>0</v>
      </c>
      <c r="M160">
        <f>0+D160+E160+G160+H160+I160+J160+K160+L160</f>
        <v>0</v>
      </c>
      <c r="N160">
        <f>0+D160+F160+G160+H160+I160+J160+K160+L160</f>
        <v>0</v>
      </c>
    </row>
    <row r="161" spans="3:14">
      <c r="C161" t="s">
        <v>36</v>
      </c>
      <c r="D161">
        <f>-4.2062*$D$137</f>
        <v>0</v>
      </c>
      <c r="E161">
        <f>9.5337*$E$137</f>
        <v>0</v>
      </c>
      <c r="F161">
        <f>-12.6312*$F$137</f>
        <v>0</v>
      </c>
      <c r="G161">
        <f>-0.4862*$G$137</f>
        <v>0</v>
      </c>
      <c r="H161">
        <f>0*$H$137</f>
        <v>0</v>
      </c>
      <c r="I161">
        <f>-0.5573*$I$137</f>
        <v>0</v>
      </c>
      <c r="J161">
        <f>17.9112*$J$137</f>
        <v>0</v>
      </c>
      <c r="K161">
        <f>-23.8815*$K$137</f>
        <v>0</v>
      </c>
      <c r="L161">
        <f>-0.3292*$L$137</f>
        <v>0</v>
      </c>
      <c r="M161">
        <f>0+D161+E161+G161+H161+I161+J161+K161+L161</f>
        <v>0</v>
      </c>
      <c r="N161">
        <f>0+D161+F161+G161+H161+I161+J161+K161+L161</f>
        <v>0</v>
      </c>
    </row>
    <row r="162" spans="3:14">
      <c r="C162" t="s">
        <v>37</v>
      </c>
      <c r="D162">
        <f>-10.5427*$D$137</f>
        <v>0</v>
      </c>
      <c r="E162">
        <f>16.078*$E$137</f>
        <v>0</v>
      </c>
      <c r="F162">
        <f>-26.2187*$F$137</f>
        <v>0</v>
      </c>
      <c r="G162">
        <f>-1.0652*$G$137</f>
        <v>0</v>
      </c>
      <c r="H162">
        <f>0*$H$137</f>
        <v>0</v>
      </c>
      <c r="I162">
        <f>-1.3984*$I$137</f>
        <v>0</v>
      </c>
      <c r="J162">
        <f>25.3037*$J$137</f>
        <v>0</v>
      </c>
      <c r="K162">
        <f>-33.7383*$K$137</f>
        <v>0</v>
      </c>
      <c r="L162">
        <f>-0.3317*$L$137</f>
        <v>0</v>
      </c>
      <c r="M162">
        <f>0+D162+E162+G162+H162+I162+J162+K162+L162</f>
        <v>0</v>
      </c>
      <c r="N162">
        <f>0+D162+F162+G162+H162+I162+J162+K162+L162</f>
        <v>0</v>
      </c>
    </row>
    <row r="163" spans="3:14">
      <c r="C163" t="s">
        <v>38</v>
      </c>
      <c r="D163">
        <f>16.129*$D$137</f>
        <v>0</v>
      </c>
      <c r="E163">
        <f>32.591*$E$137</f>
        <v>0</v>
      </c>
      <c r="F163">
        <f>-21.7563*$F$137</f>
        <v>0</v>
      </c>
      <c r="G163">
        <f>1.8271*$G$137</f>
        <v>0</v>
      </c>
      <c r="H163">
        <f>0*$H$137</f>
        <v>0</v>
      </c>
      <c r="I163">
        <f>2.0688*$I$137</f>
        <v>0</v>
      </c>
      <c r="J163">
        <f>-51.9775*$J$137</f>
        <v>0</v>
      </c>
      <c r="K163">
        <f>69.3033*$K$137</f>
        <v>0</v>
      </c>
      <c r="L163">
        <f>0.9827*$L$137</f>
        <v>0</v>
      </c>
      <c r="M163">
        <f>0+D163+E163+G163+H163+I163+J163+K163+L163</f>
        <v>0</v>
      </c>
      <c r="N163">
        <f>0+D163+F163+G163+H163+I163+J163+K163+L163</f>
        <v>0</v>
      </c>
    </row>
    <row r="164" spans="3:14">
      <c r="C164" t="s">
        <v>39</v>
      </c>
      <c r="D164">
        <f>11.1658*$D$137</f>
        <v>0</v>
      </c>
      <c r="E164">
        <f>53.5144*$E$137</f>
        <v>0</v>
      </c>
      <c r="F164">
        <f>-46.3361*$F$137</f>
        <v>0</v>
      </c>
      <c r="G164">
        <f>1.6763*$G$137</f>
        <v>0</v>
      </c>
      <c r="H164">
        <f>0*$H$137</f>
        <v>0</v>
      </c>
      <c r="I164">
        <f>1.3679*$I$137</f>
        <v>0</v>
      </c>
      <c r="J164">
        <f>-33.421*$J$137</f>
        <v>0</v>
      </c>
      <c r="K164">
        <f>44.5613*$K$137</f>
        <v>0</v>
      </c>
      <c r="L164">
        <f>0.9718*$L$137</f>
        <v>0</v>
      </c>
      <c r="M164">
        <f>0+D164+E164+G164+H164+I164+J164+K164+L164</f>
        <v>0</v>
      </c>
      <c r="N164">
        <f>0+D164+F164+G164+H164+I164+J164+K164+L164</f>
        <v>0</v>
      </c>
    </row>
    <row r="165" spans="3:14">
      <c r="C165" t="s">
        <v>40</v>
      </c>
      <c r="D165">
        <f>6.0811*$D$137</f>
        <v>0</v>
      </c>
      <c r="E165">
        <f>73.8267*$E$137</f>
        <v>0</v>
      </c>
      <c r="F165">
        <f>-72.0782*$F$137</f>
        <v>0</v>
      </c>
      <c r="G165">
        <f>1.4854*$G$137</f>
        <v>0</v>
      </c>
      <c r="H165">
        <f>0*$H$137</f>
        <v>0</v>
      </c>
      <c r="I165">
        <f>0.686*$I$137</f>
        <v>0</v>
      </c>
      <c r="J165">
        <f>-18.1206*$J$137</f>
        <v>0</v>
      </c>
      <c r="K165">
        <f>24.1609*$K$137</f>
        <v>0</v>
      </c>
      <c r="L165">
        <f>1.0325*$L$137</f>
        <v>0</v>
      </c>
      <c r="M165">
        <f>0+D165+E165+G165+H165+I165+J165+K165+L165</f>
        <v>0</v>
      </c>
      <c r="N165">
        <f>0+D165+F165+G165+H165+I165+J165+K165+L165</f>
        <v>0</v>
      </c>
    </row>
    <row r="166" spans="3:14">
      <c r="C166" t="s">
        <v>41</v>
      </c>
      <c r="D166">
        <f>2.591*$D$137</f>
        <v>0</v>
      </c>
      <c r="E166">
        <f>89.083*$E$137</f>
        <v>0</v>
      </c>
      <c r="F166">
        <f>-90.0516*$F$137</f>
        <v>0</v>
      </c>
      <c r="G166">
        <f>1.8513*$G$137</f>
        <v>0</v>
      </c>
      <c r="H166">
        <f>0*$H$137</f>
        <v>0</v>
      </c>
      <c r="I166">
        <f>0.1926*$I$137</f>
        <v>0</v>
      </c>
      <c r="J166">
        <f>-16.1239*$J$137</f>
        <v>0</v>
      </c>
      <c r="K166">
        <f>21.4986*$K$137</f>
        <v>0</v>
      </c>
      <c r="L166">
        <f>1.0986*$L$137</f>
        <v>0</v>
      </c>
      <c r="M166">
        <f>0+D166+E166+G166+H166+I166+J166+K166+L166</f>
        <v>0</v>
      </c>
      <c r="N166">
        <f>0+D166+F166+G166+H166+I166+J166+K166+L166</f>
        <v>0</v>
      </c>
    </row>
    <row r="167" spans="3:14">
      <c r="C167" t="s">
        <v>42</v>
      </c>
      <c r="D167">
        <f>-3.0872*$D$137</f>
        <v>0</v>
      </c>
      <c r="E167">
        <f>114.3392*$E$137</f>
        <v>0</v>
      </c>
      <c r="F167">
        <f>-112.2153*$F$137</f>
        <v>0</v>
      </c>
      <c r="G167">
        <f>-2.806*$G$137</f>
        <v>0</v>
      </c>
      <c r="H167">
        <f>0*$H$137</f>
        <v>0</v>
      </c>
      <c r="I167">
        <f>-0.2055*$I$137</f>
        <v>0</v>
      </c>
      <c r="J167">
        <f>3.021*$J$137</f>
        <v>0</v>
      </c>
      <c r="K167">
        <f>-4.0279*$K$137</f>
        <v>0</v>
      </c>
      <c r="L167">
        <f>0.8652*$L$137</f>
        <v>0</v>
      </c>
      <c r="M167">
        <f>0+D167+E167+G167+H167+I167+J167+K167+L167</f>
        <v>0</v>
      </c>
      <c r="N167">
        <f>0+D167+F167+G167+H167+I167+J167+K167+L167</f>
        <v>0</v>
      </c>
    </row>
    <row r="168" spans="3:14">
      <c r="C168" t="s">
        <v>43</v>
      </c>
      <c r="D168">
        <f>0.9115*$D$137</f>
        <v>0</v>
      </c>
      <c r="E168">
        <f>117.2584*$E$137</f>
        <v>0</v>
      </c>
      <c r="F168">
        <f>-121.3432*$F$137</f>
        <v>0</v>
      </c>
      <c r="G168">
        <f>4.1335*$G$137</f>
        <v>0</v>
      </c>
      <c r="H168">
        <f>0*$H$137</f>
        <v>0</v>
      </c>
      <c r="I168">
        <f>-0.181*$I$137</f>
        <v>0</v>
      </c>
      <c r="J168">
        <f>-31.8458*$J$137</f>
        <v>0</v>
      </c>
      <c r="K168">
        <f>42.461*$K$137</f>
        <v>0</v>
      </c>
      <c r="L168">
        <f>1.506*$L$137</f>
        <v>0</v>
      </c>
      <c r="M168">
        <f>0+D168+E168+G168+H168+I168+J168+K168+L168</f>
        <v>0</v>
      </c>
      <c r="N168">
        <f>0+D168+F168+G168+H168+I168+J168+K168+L168</f>
        <v>0</v>
      </c>
    </row>
    <row r="169" spans="3:14">
      <c r="C169" t="s">
        <v>44</v>
      </c>
      <c r="D169">
        <f>1.2127*$D$137</f>
        <v>0</v>
      </c>
      <c r="E169">
        <f>136.0382*$E$137</f>
        <v>0</v>
      </c>
      <c r="F169">
        <f>-137.4647*$F$137</f>
        <v>0</v>
      </c>
      <c r="G169">
        <f>2.7731*$G$137</f>
        <v>0</v>
      </c>
      <c r="H169">
        <f>0*$H$137</f>
        <v>0</v>
      </c>
      <c r="I169">
        <f>-0.0531*$I$137</f>
        <v>0</v>
      </c>
      <c r="J169">
        <f>-14.742*$J$137</f>
        <v>0</v>
      </c>
      <c r="K169">
        <f>19.656*$K$137</f>
        <v>0</v>
      </c>
      <c r="L169">
        <f>1.5469*$L$137</f>
        <v>0</v>
      </c>
      <c r="M169">
        <f>0+D169+E169+G169+H169+I169+J169+K169+L169</f>
        <v>0</v>
      </c>
      <c r="N169">
        <f>0+D169+F169+G169+H169+I169+J169+K169+L169</f>
        <v>0</v>
      </c>
    </row>
    <row r="170" spans="3:14">
      <c r="C170" t="s">
        <v>45</v>
      </c>
      <c r="D170">
        <f>2.5814*$D$137</f>
        <v>0</v>
      </c>
      <c r="E170">
        <f>143.818*$E$137</f>
        <v>0</v>
      </c>
      <c r="F170">
        <f>-141.9829*$F$137</f>
        <v>0</v>
      </c>
      <c r="G170">
        <f>1.5091*$G$137</f>
        <v>0</v>
      </c>
      <c r="H170">
        <f>0*$H$137</f>
        <v>0</v>
      </c>
      <c r="I170">
        <f>0.2365*$I$137</f>
        <v>0</v>
      </c>
      <c r="J170">
        <f>-5.1801*$J$137</f>
        <v>0</v>
      </c>
      <c r="K170">
        <f>6.9068*$K$137</f>
        <v>0</v>
      </c>
      <c r="L170">
        <f>1.8049*$L$137</f>
        <v>0</v>
      </c>
      <c r="M170">
        <f>0+D170+E170+G170+H170+I170+J170+K170+L170</f>
        <v>0</v>
      </c>
      <c r="N170">
        <f>0+D170+F170+G170+H170+I170+J170+K170+L170</f>
        <v>0</v>
      </c>
    </row>
    <row r="171" spans="3:14">
      <c r="C171" t="s">
        <v>46</v>
      </c>
      <c r="D171">
        <f>4.8296*$D$137</f>
        <v>0</v>
      </c>
      <c r="E171">
        <f>146.0726*$E$137</f>
        <v>0</v>
      </c>
      <c r="F171">
        <f>-140.8025*$F$137</f>
        <v>0</v>
      </c>
      <c r="G171">
        <f>1.4579*$G$137</f>
        <v>0</v>
      </c>
      <c r="H171">
        <f>0*$H$137</f>
        <v>0</v>
      </c>
      <c r="I171">
        <f>0.5762*$I$137</f>
        <v>0</v>
      </c>
      <c r="J171">
        <f>-8.6749*$J$137</f>
        <v>0</v>
      </c>
      <c r="K171">
        <f>11.5665*$K$137</f>
        <v>0</v>
      </c>
      <c r="L171">
        <f>2.098*$L$137</f>
        <v>0</v>
      </c>
      <c r="M171">
        <f>0+D171+E171+G171+H171+I171+J171+K171+L171</f>
        <v>0</v>
      </c>
      <c r="N171">
        <f>0+D171+F171+G171+H171+I171+J171+K171+L171</f>
        <v>0</v>
      </c>
    </row>
    <row r="172" spans="3:14">
      <c r="C172" t="s">
        <v>47</v>
      </c>
      <c r="D172">
        <f>12.1471*$D$137</f>
        <v>0</v>
      </c>
      <c r="E172">
        <f>145.101*$E$137</f>
        <v>0</v>
      </c>
      <c r="F172">
        <f>-125.8235*$F$137</f>
        <v>0</v>
      </c>
      <c r="G172">
        <f>-4.0939*$G$137</f>
        <v>0</v>
      </c>
      <c r="H172">
        <f>0*$H$137</f>
        <v>0</v>
      </c>
      <c r="I172">
        <f>2.0879*$I$137</f>
        <v>0</v>
      </c>
      <c r="J172">
        <f>-10.4123*$J$137</f>
        <v>0</v>
      </c>
      <c r="K172">
        <f>13.883*$K$137</f>
        <v>0</v>
      </c>
      <c r="L172">
        <f>1.9192*$L$137</f>
        <v>0</v>
      </c>
      <c r="M172">
        <f>0+D172+E172+G172+H172+I172+J172+K172+L172</f>
        <v>0</v>
      </c>
      <c r="N172">
        <f>0+D172+F172+G172+H172+I172+J172+K172+L172</f>
        <v>0</v>
      </c>
    </row>
    <row r="173" spans="3:14">
      <c r="C173" t="s">
        <v>48</v>
      </c>
      <c r="D173">
        <f>6.2119*$D$137</f>
        <v>0</v>
      </c>
      <c r="E173">
        <f>151.7535*$E$137</f>
        <v>0</v>
      </c>
      <c r="F173">
        <f>-146.6789*$F$137</f>
        <v>0</v>
      </c>
      <c r="G173">
        <f>4.8253*$G$137</f>
        <v>0</v>
      </c>
      <c r="H173">
        <f>0*$H$137</f>
        <v>0</v>
      </c>
      <c r="I173">
        <f>0.5799*$I$137</f>
        <v>0</v>
      </c>
      <c r="J173">
        <f>-28.3428*$J$137</f>
        <v>0</v>
      </c>
      <c r="K173">
        <f>37.7904*$K$137</f>
        <v>0</v>
      </c>
      <c r="L173">
        <f>2.5457*$L$137</f>
        <v>0</v>
      </c>
      <c r="M173">
        <f>0+D173+E173+G173+H173+I173+J173+K173+L173</f>
        <v>0</v>
      </c>
      <c r="N173">
        <f>0+D173+F173+G173+H173+I173+J173+K173+L173</f>
        <v>0</v>
      </c>
    </row>
    <row r="174" spans="3:14">
      <c r="C174" t="s">
        <v>49</v>
      </c>
      <c r="D174">
        <f>9.1678*$D$137</f>
        <v>0</v>
      </c>
      <c r="E174">
        <f>151.2226*$E$137</f>
        <v>0</v>
      </c>
      <c r="F174">
        <f>-141.5006*$F$137</f>
        <v>0</v>
      </c>
      <c r="G174">
        <f>3.8667*$G$137</f>
        <v>0</v>
      </c>
      <c r="H174">
        <f>0*$H$137</f>
        <v>0</v>
      </c>
      <c r="I174">
        <f>1.0671*$I$137</f>
        <v>0</v>
      </c>
      <c r="J174">
        <f>-15.8285*$J$137</f>
        <v>0</v>
      </c>
      <c r="K174">
        <f>21.1046*$K$137</f>
        <v>0</v>
      </c>
      <c r="L174">
        <f>2.4411*$L$137</f>
        <v>0</v>
      </c>
      <c r="M174">
        <f>0+D174+E174+G174+H174+I174+J174+K174+L174</f>
        <v>0</v>
      </c>
      <c r="N174">
        <f>0+D174+F174+G174+H174+I174+J174+K174+L174</f>
        <v>0</v>
      </c>
    </row>
    <row r="175" spans="3:14">
      <c r="C175" t="s">
        <v>50</v>
      </c>
      <c r="D175">
        <f>12.379*$D$137</f>
        <v>0</v>
      </c>
      <c r="E175">
        <f>146.2124*$E$137</f>
        <v>0</v>
      </c>
      <c r="F175">
        <f>-131.3161*$F$137</f>
        <v>0</v>
      </c>
      <c r="G175">
        <f>3.1308*$G$137</f>
        <v>0</v>
      </c>
      <c r="H175">
        <f>0*$H$137</f>
        <v>0</v>
      </c>
      <c r="I175">
        <f>1.5926*$I$137</f>
        <v>0</v>
      </c>
      <c r="J175">
        <f>-9.6109*$J$137</f>
        <v>0</v>
      </c>
      <c r="K175">
        <f>12.8145*$K$137</f>
        <v>0</v>
      </c>
      <c r="L175">
        <f>2.4327*$L$137</f>
        <v>0</v>
      </c>
      <c r="M175">
        <f>0+D175+E175+G175+H175+I175+J175+K175+L175</f>
        <v>0</v>
      </c>
      <c r="N175">
        <f>0+D175+F175+G175+H175+I175+J175+K175+L175</f>
        <v>0</v>
      </c>
    </row>
    <row r="176" spans="3:14">
      <c r="C176" t="s">
        <v>51</v>
      </c>
      <c r="D176">
        <f>15.3167*$D$137</f>
        <v>0</v>
      </c>
      <c r="E176">
        <f>135.615*$E$137</f>
        <v>0</v>
      </c>
      <c r="F176">
        <f>-116.8415*$F$137</f>
        <v>0</v>
      </c>
      <c r="G176">
        <f>3.5803*$G$137</f>
        <v>0</v>
      </c>
      <c r="H176">
        <f>0*$H$137</f>
        <v>0</v>
      </c>
      <c r="I176">
        <f>2.0023*$I$137</f>
        <v>0</v>
      </c>
      <c r="J176">
        <f>-14.8444*$J$137</f>
        <v>0</v>
      </c>
      <c r="K176">
        <f>19.7925*$K$137</f>
        <v>0</v>
      </c>
      <c r="L176">
        <f>2.3896*$L$137</f>
        <v>0</v>
      </c>
      <c r="M176">
        <f>0+D176+E176+G176+H176+I176+J176+K176+L176</f>
        <v>0</v>
      </c>
      <c r="N176">
        <f>0+D176+F176+G176+H176+I176+J176+K176+L176</f>
        <v>0</v>
      </c>
    </row>
    <row r="177" spans="3:14">
      <c r="C177" t="s">
        <v>52</v>
      </c>
      <c r="D177">
        <f>18.4816*$D$137</f>
        <v>0</v>
      </c>
      <c r="E177">
        <f>101.4936*$E$137</f>
        <v>0</v>
      </c>
      <c r="F177">
        <f>-74.939*$F$137</f>
        <v>0</v>
      </c>
      <c r="G177">
        <f>-1.035*$G$137</f>
        <v>0</v>
      </c>
      <c r="H177">
        <f>0*$H$137</f>
        <v>0</v>
      </c>
      <c r="I177">
        <f>2.8679*$I$137</f>
        <v>0</v>
      </c>
      <c r="J177">
        <f>-8.5105*$J$137</f>
        <v>0</v>
      </c>
      <c r="K177">
        <f>11.3474*$K$137</f>
        <v>0</v>
      </c>
      <c r="L177">
        <f>-1.6215*$L$137</f>
        <v>0</v>
      </c>
      <c r="M177">
        <f>0+D177+E177+G177+H177+I177+J177+K177+L177</f>
        <v>0</v>
      </c>
      <c r="N177">
        <f>0+D177+F177+G177+H177+I177+J177+K177+L177</f>
        <v>0</v>
      </c>
    </row>
    <row r="178" spans="3:14">
      <c r="C178" t="s">
        <v>53</v>
      </c>
      <c r="D178">
        <f>16.5994*$D$137</f>
        <v>0</v>
      </c>
      <c r="E178">
        <f>117.4759*$E$137</f>
        <v>0</v>
      </c>
      <c r="F178">
        <f>-99.9994*$F$137</f>
        <v>0</v>
      </c>
      <c r="G178">
        <f>6.5664*$G$137</f>
        <v>0</v>
      </c>
      <c r="H178">
        <f>0*$H$137</f>
        <v>0</v>
      </c>
      <c r="I178">
        <f>1.994*$I$137</f>
        <v>0</v>
      </c>
      <c r="J178">
        <f>-36.0163*$J$137</f>
        <v>0</v>
      </c>
      <c r="K178">
        <f>48.0217*$K$137</f>
        <v>0</v>
      </c>
      <c r="L178">
        <f>4.5423*$L$137</f>
        <v>0</v>
      </c>
      <c r="M178">
        <f>0+D178+E178+G178+H178+I178+J178+K178+L178</f>
        <v>0</v>
      </c>
      <c r="N178">
        <f>0+D178+F178+G178+H178+I178+J178+K178+L178</f>
        <v>0</v>
      </c>
    </row>
    <row r="179" spans="3:14">
      <c r="C179" t="s">
        <v>54</v>
      </c>
      <c r="D179">
        <f>17.2471*$D$137</f>
        <v>0</v>
      </c>
      <c r="E179">
        <f>96.3756*$E$137</f>
        <v>0</v>
      </c>
      <c r="F179">
        <f>-79.588*$F$137</f>
        <v>0</v>
      </c>
      <c r="G179">
        <f>5.4599*$G$137</f>
        <v>0</v>
      </c>
      <c r="H179">
        <f>0*$H$137</f>
        <v>0</v>
      </c>
      <c r="I179">
        <f>2.1258*$I$137</f>
        <v>0</v>
      </c>
      <c r="J179">
        <f>-21.112*$J$137</f>
        <v>0</v>
      </c>
      <c r="K179">
        <f>28.1493*$K$137</f>
        <v>0</v>
      </c>
      <c r="L179">
        <f>5.5552*$L$137</f>
        <v>0</v>
      </c>
      <c r="M179">
        <f>0+D179+E179+G179+H179+I179+J179+K179+L179</f>
        <v>0</v>
      </c>
      <c r="N179">
        <f>0+D179+F179+G179+H179+I179+J179+K179+L179</f>
        <v>0</v>
      </c>
    </row>
    <row r="180" spans="3:14">
      <c r="C180" t="s">
        <v>55</v>
      </c>
      <c r="D180">
        <f>15.4797*$D$137</f>
        <v>0</v>
      </c>
      <c r="E180">
        <f>74.3367*$E$137</f>
        <v>0</v>
      </c>
      <c r="F180">
        <f>-59.7149*$F$137</f>
        <v>0</v>
      </c>
      <c r="G180">
        <f>3.6087*$G$137</f>
        <v>0</v>
      </c>
      <c r="H180">
        <f>0*$H$137</f>
        <v>0</v>
      </c>
      <c r="I180">
        <f>1.9658*$I$137</f>
        <v>0</v>
      </c>
      <c r="J180">
        <f>-5.617*$J$137</f>
        <v>0</v>
      </c>
      <c r="K180">
        <f>7.4894*$K$137</f>
        <v>0</v>
      </c>
      <c r="L180">
        <f>6.2707*$L$137</f>
        <v>0</v>
      </c>
      <c r="M180">
        <f>0+D180+E180+G180+H180+I180+J180+K180+L180</f>
        <v>0</v>
      </c>
      <c r="N180">
        <f>0+D180+F180+G180+H180+I180+J180+K180+L180</f>
        <v>0</v>
      </c>
    </row>
    <row r="181" spans="3:14">
      <c r="C181" t="s">
        <v>56</v>
      </c>
      <c r="D181">
        <f>10.3192*$D$137</f>
        <v>0</v>
      </c>
      <c r="E181">
        <f>44.4835*$E$137</f>
        <v>0</v>
      </c>
      <c r="F181">
        <f>-34.4236*$F$137</f>
        <v>0</v>
      </c>
      <c r="G181">
        <f>1.8163*$G$137</f>
        <v>0</v>
      </c>
      <c r="H181">
        <f>0*$H$137</f>
        <v>0</v>
      </c>
      <c r="I181">
        <f>1.3204*$I$137</f>
        <v>0</v>
      </c>
      <c r="J181">
        <f>5.2049*$J$137</f>
        <v>0</v>
      </c>
      <c r="K181">
        <f>-6.9399*$K$137</f>
        <v>0</v>
      </c>
      <c r="L181">
        <f>5.5474*$L$137</f>
        <v>0</v>
      </c>
      <c r="M181">
        <f>0+D181+E181+G181+H181+I181+J181+K181+L181</f>
        <v>0</v>
      </c>
      <c r="N181">
        <f>0+D181+F181+G181+H181+I181+J181+K181+L181</f>
        <v>0</v>
      </c>
    </row>
    <row r="182" spans="3:14">
      <c r="C182" t="s">
        <v>57</v>
      </c>
      <c r="D182">
        <f>-8.9522*$D$137</f>
        <v>0</v>
      </c>
      <c r="E182">
        <f>22.4148*$E$137</f>
        <v>0</v>
      </c>
      <c r="F182">
        <f>-32.0268*$F$137</f>
        <v>0</v>
      </c>
      <c r="G182">
        <f>-2.3736*$G$137</f>
        <v>0</v>
      </c>
      <c r="H182">
        <f>0*$H$137</f>
        <v>0</v>
      </c>
      <c r="I182">
        <f>-1.0131*$I$137</f>
        <v>0</v>
      </c>
      <c r="J182">
        <f>58.1696*$J$137</f>
        <v>0</v>
      </c>
      <c r="K182">
        <f>-77.5595*$K$137</f>
        <v>0</v>
      </c>
      <c r="L182">
        <f>-14.4126*$L$137</f>
        <v>0</v>
      </c>
      <c r="M182">
        <f>0+D182+E182+G182+H182+I182+J182+K182+L182</f>
        <v>0</v>
      </c>
      <c r="N182">
        <f>0+D182+F182+G182+H182+I182+J182+K182+L182</f>
        <v>0</v>
      </c>
    </row>
    <row r="183" spans="3:14">
      <c r="C183" t="s">
        <v>58</v>
      </c>
      <c r="D183">
        <f>-2.6435*$D$137</f>
        <v>0</v>
      </c>
      <c r="E183">
        <f>7.9705*$E$137</f>
        <v>0</v>
      </c>
      <c r="F183">
        <f>-9.7791*$F$137</f>
        <v>0</v>
      </c>
      <c r="G183">
        <f>-0.4521*$G$137</f>
        <v>0</v>
      </c>
      <c r="H183">
        <f>0*$H$137</f>
        <v>0</v>
      </c>
      <c r="I183">
        <f>-0.3292*$I$137</f>
        <v>0</v>
      </c>
      <c r="J183">
        <f>17.047*$J$137</f>
        <v>0</v>
      </c>
      <c r="K183">
        <f>-22.7293*$K$137</f>
        <v>0</v>
      </c>
      <c r="L183">
        <f>-3.1167*$L$137</f>
        <v>0</v>
      </c>
      <c r="M183">
        <f>0+D183+E183+G183+H183+I183+J183+K183+L183</f>
        <v>0</v>
      </c>
      <c r="N183">
        <f>0+D183+F183+G183+H183+I183+J183+K183+L183</f>
        <v>0</v>
      </c>
    </row>
    <row r="184" spans="3:14">
      <c r="C184" t="s">
        <v>58</v>
      </c>
      <c r="D184">
        <f>-3.5147*$D$137</f>
        <v>0</v>
      </c>
      <c r="E184">
        <f>2.7186*$E$137</f>
        <v>0</v>
      </c>
      <c r="F184">
        <f>-5.3872*$F$137</f>
        <v>0</v>
      </c>
      <c r="G184">
        <f>-0.45*$G$137</f>
        <v>0</v>
      </c>
      <c r="H184">
        <f>0*$H$137</f>
        <v>0</v>
      </c>
      <c r="I184">
        <f>-0.4591*$I$137</f>
        <v>0</v>
      </c>
      <c r="J184">
        <f>18.1807*$J$137</f>
        <v>0</v>
      </c>
      <c r="K184">
        <f>-24.2409*$K$137</f>
        <v>0</v>
      </c>
      <c r="L184">
        <f>-3.9027*$L$137</f>
        <v>0</v>
      </c>
      <c r="M184">
        <f>0+D184+E184+G184+H184+I184+J184+K184+L184</f>
        <v>0</v>
      </c>
      <c r="N184">
        <f>0+D184+F184+G184+H184+I184+J184+K184+L184</f>
        <v>0</v>
      </c>
    </row>
    <row r="185" spans="3:14">
      <c r="C185" t="s">
        <v>59</v>
      </c>
      <c r="D185">
        <f>-7.7524*$D$137</f>
        <v>0</v>
      </c>
      <c r="E185">
        <f>7.6744*$E$137</f>
        <v>0</v>
      </c>
      <c r="F185">
        <f>-15.8027*$F$137</f>
        <v>0</v>
      </c>
      <c r="G185">
        <f>-0.8843*$G$137</f>
        <v>0</v>
      </c>
      <c r="H185">
        <f>0*$H$137</f>
        <v>0</v>
      </c>
      <c r="I185">
        <f>-0.9928*$I$137</f>
        <v>0</v>
      </c>
      <c r="J185">
        <f>23.4405*$J$137</f>
        <v>0</v>
      </c>
      <c r="K185">
        <f>-31.254*$K$137</f>
        <v>0</v>
      </c>
      <c r="L185">
        <f>-16.5659*$L$137</f>
        <v>0</v>
      </c>
      <c r="M185">
        <f>0+D185+E185+G185+H185+I185+J185+K185+L185</f>
        <v>0</v>
      </c>
      <c r="N185">
        <f>0+D185+F185+G185+H185+I185+J185+K185+L185</f>
        <v>0</v>
      </c>
    </row>
    <row r="186" spans="3:14">
      <c r="C186" t="s">
        <v>60</v>
      </c>
      <c r="D186">
        <f>13.9674*$D$137</f>
        <v>0</v>
      </c>
      <c r="E186">
        <f>28.7615*$E$137</f>
        <v>0</v>
      </c>
      <c r="F186">
        <f>-14.7879*$F$137</f>
        <v>0</v>
      </c>
      <c r="G186">
        <f>1.8856*$G$137</f>
        <v>0</v>
      </c>
      <c r="H186">
        <f>0*$H$137</f>
        <v>0</v>
      </c>
      <c r="I186">
        <f>1.7582*$I$137</f>
        <v>0</v>
      </c>
      <c r="J186">
        <f>-56.0739*$J$137</f>
        <v>0</v>
      </c>
      <c r="K186">
        <f>74.7652*$K$137</f>
        <v>0</v>
      </c>
      <c r="L186">
        <f>2.048*$L$137</f>
        <v>0</v>
      </c>
      <c r="M186">
        <f>0+D186+E186+G186+H186+I186+J186+K186+L186</f>
        <v>0</v>
      </c>
      <c r="N186">
        <f>0+D186+F186+G186+H186+I186+J186+K186+L186</f>
        <v>0</v>
      </c>
    </row>
    <row r="187" spans="3:14">
      <c r="C187" t="s">
        <v>61</v>
      </c>
      <c r="D187">
        <f>10.1945*$D$137</f>
        <v>0</v>
      </c>
      <c r="E187">
        <f>45.5899*$E$137</f>
        <v>0</v>
      </c>
      <c r="F187">
        <f>-37.838*$F$137</f>
        <v>0</v>
      </c>
      <c r="G187">
        <f>2.2571*$G$137</f>
        <v>0</v>
      </c>
      <c r="H187">
        <f>0*$H$137</f>
        <v>0</v>
      </c>
      <c r="I187">
        <f>1.2109*$I$137</f>
        <v>0</v>
      </c>
      <c r="J187">
        <f>-39.7959*$J$137</f>
        <v>0</v>
      </c>
      <c r="K187">
        <f>53.0612*$K$137</f>
        <v>0</v>
      </c>
      <c r="L187">
        <f>-27.4168*$L$137</f>
        <v>0</v>
      </c>
      <c r="M187">
        <f>0+D187+E187+G187+H187+I187+J187+K187+L187</f>
        <v>0</v>
      </c>
      <c r="N187">
        <f>0+D187+F187+G187+H187+I187+J187+K187+L187</f>
        <v>0</v>
      </c>
    </row>
    <row r="188" spans="3:14">
      <c r="C188" t="s">
        <v>62</v>
      </c>
      <c r="D188">
        <f>5.9558*$D$137</f>
        <v>0</v>
      </c>
      <c r="E188">
        <f>55.5616*$E$137</f>
        <v>0</v>
      </c>
      <c r="F188">
        <f>-51.7459*$F$137</f>
        <v>0</v>
      </c>
      <c r="G188">
        <f>2.6038*$G$137</f>
        <v>0</v>
      </c>
      <c r="H188">
        <f>0*$H$137</f>
        <v>0</v>
      </c>
      <c r="I188">
        <f>0.6302*$I$137</f>
        <v>0</v>
      </c>
      <c r="J188">
        <f>-26.9026*$J$137</f>
        <v>0</v>
      </c>
      <c r="K188">
        <f>35.8701*$K$137</f>
        <v>0</v>
      </c>
      <c r="L188">
        <f>-49.4521*$L$137</f>
        <v>0</v>
      </c>
      <c r="M188">
        <f>0+D188+E188+G188+H188+I188+J188+K188+L188</f>
        <v>0</v>
      </c>
      <c r="N188">
        <f>0+D188+F188+G188+H188+I188+J188+K188+L188</f>
        <v>0</v>
      </c>
    </row>
    <row r="189" spans="3:14">
      <c r="C189" t="s">
        <v>63</v>
      </c>
      <c r="D189">
        <f>2.7188*$D$137</f>
        <v>0</v>
      </c>
      <c r="E189">
        <f>59.3186*$E$137</f>
        <v>0</v>
      </c>
      <c r="F189">
        <f>-58.1577*$F$137</f>
        <v>0</v>
      </c>
      <c r="G189">
        <f>3.4883*$G$137</f>
        <v>0</v>
      </c>
      <c r="H189">
        <f>0*$H$137</f>
        <v>0</v>
      </c>
      <c r="I189">
        <f>0.1499*$I$137</f>
        <v>0</v>
      </c>
      <c r="J189">
        <f>-27.3163*$J$137</f>
        <v>0</v>
      </c>
      <c r="K189">
        <f>36.4218*$K$137</f>
        <v>0</v>
      </c>
      <c r="L189">
        <f>-64.8245*$L$137</f>
        <v>0</v>
      </c>
      <c r="M189">
        <f>0+D189+E189+G189+H189+I189+J189+K189+L189</f>
        <v>0</v>
      </c>
      <c r="N189">
        <f>0+D189+F189+G189+H189+I189+J189+K189+L189</f>
        <v>0</v>
      </c>
    </row>
    <row r="190" spans="3:14">
      <c r="C190" t="s">
        <v>64</v>
      </c>
      <c r="D190">
        <f>-2.5687*$D$137</f>
        <v>0</v>
      </c>
      <c r="E190">
        <f>53.2923*$E$137</f>
        <v>0</v>
      </c>
      <c r="F190">
        <f>-50.5576*$F$137</f>
        <v>0</v>
      </c>
      <c r="G190">
        <f>0.8036*$G$137</f>
        <v>0</v>
      </c>
      <c r="H190">
        <f>0*$H$137</f>
        <v>0</v>
      </c>
      <c r="I190">
        <f>-0.3044*$I$137</f>
        <v>0</v>
      </c>
      <c r="J190">
        <f>5.3723*$J$137</f>
        <v>0</v>
      </c>
      <c r="K190">
        <f>-7.163*$K$137</f>
        <v>0</v>
      </c>
      <c r="L190">
        <f>-103.8204*$L$137</f>
        <v>0</v>
      </c>
      <c r="M190">
        <f>0+D190+E190+G190+H190+I190+J190+K190+L190</f>
        <v>0</v>
      </c>
      <c r="N190">
        <f>0+D190+F190+G190+H190+I190+J190+K190+L190</f>
        <v>0</v>
      </c>
    </row>
    <row r="191" spans="3:14">
      <c r="C191" t="s">
        <v>65</v>
      </c>
      <c r="D191">
        <f>0.9328*$D$137</f>
        <v>0</v>
      </c>
      <c r="E191">
        <f>66.2357*$E$137</f>
        <v>0</v>
      </c>
      <c r="F191">
        <f>-68.7232*$F$137</f>
        <v>0</v>
      </c>
      <c r="G191">
        <f>6.048*$G$137</f>
        <v>0</v>
      </c>
      <c r="H191">
        <f>0*$H$137</f>
        <v>0</v>
      </c>
      <c r="I191">
        <f>-0.2591*$I$137</f>
        <v>0</v>
      </c>
      <c r="J191">
        <f>-51.9319*$J$137</f>
        <v>0</v>
      </c>
      <c r="K191">
        <f>69.2426*$K$137</f>
        <v>0</v>
      </c>
      <c r="L191">
        <f>-51.2497*$L$137</f>
        <v>0</v>
      </c>
      <c r="M191">
        <f>0+D191+E191+G191+H191+I191+J191+K191+L191</f>
        <v>0</v>
      </c>
      <c r="N191">
        <f>0+D191+F191+G191+H191+I191+J191+K191+L191</f>
        <v>0</v>
      </c>
    </row>
    <row r="192" spans="3:14">
      <c r="C192" t="s">
        <v>66</v>
      </c>
      <c r="D192">
        <f>0.2431*$D$137</f>
        <v>0</v>
      </c>
      <c r="E192">
        <f>62.0275*$E$137</f>
        <v>0</v>
      </c>
      <c r="F192">
        <f>-64.838*$F$137</f>
        <v>0</v>
      </c>
      <c r="G192">
        <f>4.7808*$G$137</f>
        <v>0</v>
      </c>
      <c r="H192">
        <f>0*$H$137</f>
        <v>0</v>
      </c>
      <c r="I192">
        <f>-0.3048*$I$137</f>
        <v>0</v>
      </c>
      <c r="J192">
        <f>-28.1512*$J$137</f>
        <v>0</v>
      </c>
      <c r="K192">
        <f>37.5349*$K$137</f>
        <v>0</v>
      </c>
      <c r="L192">
        <f>-41.1811*$L$137</f>
        <v>0</v>
      </c>
      <c r="M192">
        <f>0+D192+E192+G192+H192+I192+J192+K192+L192</f>
        <v>0</v>
      </c>
      <c r="N192">
        <f>0+D192+F192+G192+H192+I192+J192+K192+L192</f>
        <v>0</v>
      </c>
    </row>
    <row r="193" spans="3:14">
      <c r="C193" t="s">
        <v>67</v>
      </c>
      <c r="D193">
        <f>-0.1147*$D$137</f>
        <v>0</v>
      </c>
      <c r="E193">
        <f>49.3155*$E$137</f>
        <v>0</v>
      </c>
      <c r="F193">
        <f>-51.5204*$F$137</f>
        <v>0</v>
      </c>
      <c r="G193">
        <f>2.7928*$G$137</f>
        <v>0</v>
      </c>
      <c r="H193">
        <f>0*$H$137</f>
        <v>0</v>
      </c>
      <c r="I193">
        <f>-0.2635*$I$137</f>
        <v>0</v>
      </c>
      <c r="J193">
        <f>-8.2521*$J$137</f>
        <v>0</v>
      </c>
      <c r="K193">
        <f>11.0028*$K$137</f>
        <v>0</v>
      </c>
      <c r="L193">
        <f>-28.2499*$L$137</f>
        <v>0</v>
      </c>
      <c r="M193">
        <f>0+D193+E193+G193+H193+I193+J193+K193+L193</f>
        <v>0</v>
      </c>
      <c r="N193">
        <f>0+D193+F193+G193+H193+I193+J193+K193+L193</f>
        <v>0</v>
      </c>
    </row>
    <row r="194" spans="3:14">
      <c r="C194" t="s">
        <v>68</v>
      </c>
      <c r="D194">
        <f>0.0946*$D$137</f>
        <v>0</v>
      </c>
      <c r="E194">
        <f>28.0548*$E$137</f>
        <v>0</v>
      </c>
      <c r="F194">
        <f>-25.1616*$F$137</f>
        <v>0</v>
      </c>
      <c r="G194">
        <f>0.3596*$G$137</f>
        <v>0</v>
      </c>
      <c r="H194">
        <f>0*$H$137</f>
        <v>0</v>
      </c>
      <c r="I194">
        <f>-0.1004*$I$137</f>
        <v>0</v>
      </c>
      <c r="J194">
        <f>-19.6795*$J$137</f>
        <v>0</v>
      </c>
      <c r="K194">
        <f>26.2393*$K$137</f>
        <v>0</v>
      </c>
      <c r="L194">
        <f>-9.0332*$L$137</f>
        <v>0</v>
      </c>
      <c r="M194">
        <f>0+D194+E194+G194+H194+I194+J194+K194+L194</f>
        <v>0</v>
      </c>
      <c r="N194">
        <f>0+D194+F194+G194+H194+I194+J194+K194+L194</f>
        <v>0</v>
      </c>
    </row>
    <row r="195" spans="3:14">
      <c r="C195" t="s">
        <v>69</v>
      </c>
      <c r="D195">
        <f>-0.4505*$D$137</f>
        <v>0</v>
      </c>
      <c r="E195">
        <f>15.2374*$E$137</f>
        <v>0</v>
      </c>
      <c r="F195">
        <f>-14.6278*$F$137</f>
        <v>0</v>
      </c>
      <c r="G195">
        <f>-0.4127*$G$137</f>
        <v>0</v>
      </c>
      <c r="H195">
        <f>0*$H$137</f>
        <v>0</v>
      </c>
      <c r="I195">
        <f>0.005*$I$137</f>
        <v>0</v>
      </c>
      <c r="J195">
        <f>52.1715*$J$137</f>
        <v>0</v>
      </c>
      <c r="K195">
        <f>-69.562*$K$137</f>
        <v>0</v>
      </c>
      <c r="L195">
        <f>11.7422*$L$137</f>
        <v>0</v>
      </c>
      <c r="M195">
        <f>0+D195+E195+G195+H195+I195+J195+K195+L195</f>
        <v>0</v>
      </c>
      <c r="N195">
        <f>0+D195+F195+G195+H195+I195+J195+K195+L195</f>
        <v>0</v>
      </c>
    </row>
    <row r="200" spans="3:14">
      <c r="C200" t="s">
        <v>72</v>
      </c>
    </row>
    <row r="202" spans="3:14">
      <c r="C202" t="s">
        <v>2</v>
      </c>
    </row>
    <row r="203" spans="3:14">
      <c r="C203" t="s">
        <v>3</v>
      </c>
      <c r="D203" t="s">
        <v>4</v>
      </c>
      <c r="E203" t="s">
        <v>5</v>
      </c>
      <c r="F203" t="s">
        <v>6</v>
      </c>
      <c r="G203" t="s">
        <v>7</v>
      </c>
      <c r="H203" t="s">
        <v>8</v>
      </c>
      <c r="I203" t="s">
        <v>9</v>
      </c>
      <c r="J203" t="s">
        <v>10</v>
      </c>
      <c r="K203" t="s">
        <v>11</v>
      </c>
      <c r="L203" t="s">
        <v>12</v>
      </c>
      <c r="M203" t="s">
        <v>13</v>
      </c>
      <c r="N203" t="s">
        <v>14</v>
      </c>
    </row>
    <row r="204" spans="3:14">
      <c r="C204" t="s">
        <v>78</v>
      </c>
      <c r="D204">
        <f>5.793*$D$202</f>
        <v>0</v>
      </c>
      <c r="E204">
        <f>109.322*$E$202</f>
        <v>0</v>
      </c>
      <c r="F204">
        <f>-112.304*$F$202</f>
        <v>0</v>
      </c>
      <c r="G204">
        <f>4.617*$G$202</f>
        <v>0</v>
      </c>
      <c r="H204">
        <f>0*$H$202</f>
        <v>0</v>
      </c>
      <c r="I204">
        <f>0.713*$I$202</f>
        <v>0</v>
      </c>
      <c r="J204">
        <f>304.92*$J$202</f>
        <v>0</v>
      </c>
      <c r="K204">
        <f>-406.56*$K$202</f>
        <v>0</v>
      </c>
      <c r="L204">
        <f>-0.045*$L$202</f>
        <v>0</v>
      </c>
      <c r="M204">
        <f>0+D204+E204+G204+H204+I204+J204+K204+L204</f>
        <v>0</v>
      </c>
      <c r="N204">
        <f>0+D204+F204+G204+H204+I204+J204+K204+L204</f>
        <v>0</v>
      </c>
    </row>
    <row r="205" spans="3:14">
      <c r="C205" t="s">
        <v>16</v>
      </c>
      <c r="D205">
        <f>10.619*$D$202</f>
        <v>0</v>
      </c>
      <c r="E205">
        <f>88.908*$E$202</f>
        <v>0</v>
      </c>
      <c r="F205">
        <f>-80.669*$F$202</f>
        <v>0</v>
      </c>
      <c r="G205">
        <f>5.061*$G$202</f>
        <v>0</v>
      </c>
      <c r="H205">
        <f>0*$H$202</f>
        <v>0</v>
      </c>
      <c r="I205">
        <f>1.287*$I$202</f>
        <v>0</v>
      </c>
      <c r="J205">
        <f>251.114*$J$202</f>
        <v>0</v>
      </c>
      <c r="K205">
        <f>-334.819*$K$202</f>
        <v>0</v>
      </c>
      <c r="L205">
        <f>-0.042*$L$202</f>
        <v>0</v>
      </c>
      <c r="M205">
        <f>0+D205+E205+G205+H205+I205+J205+K205+L205</f>
        <v>0</v>
      </c>
      <c r="N205">
        <f>0+D205+F205+G205+H205+I205+J205+K205+L205</f>
        <v>0</v>
      </c>
    </row>
    <row r="206" spans="3:14">
      <c r="C206" t="s">
        <v>17</v>
      </c>
      <c r="D206">
        <f>20.766*$D$202</f>
        <v>0</v>
      </c>
      <c r="E206">
        <f>75.707*$E$202</f>
        <v>0</v>
      </c>
      <c r="F206">
        <f>-52.398*$F$202</f>
        <v>0</v>
      </c>
      <c r="G206">
        <f>7.594*$G$202</f>
        <v>0</v>
      </c>
      <c r="H206">
        <f>0*$H$202</f>
        <v>0</v>
      </c>
      <c r="I206">
        <f>2.557*$I$202</f>
        <v>0</v>
      </c>
      <c r="J206">
        <f>141.822*$J$202</f>
        <v>0</v>
      </c>
      <c r="K206">
        <f>-189.096*$K$202</f>
        <v>0</v>
      </c>
      <c r="L206">
        <f>-0.033*$L$202</f>
        <v>0</v>
      </c>
      <c r="M206">
        <f>0+D206+E206+G206+H206+I206+J206+K206+L206</f>
        <v>0</v>
      </c>
      <c r="N206">
        <f>0+D206+F206+G206+H206+I206+J206+K206+L206</f>
        <v>0</v>
      </c>
    </row>
    <row r="207" spans="3:14">
      <c r="C207" t="s">
        <v>18</v>
      </c>
      <c r="D207">
        <f>25.181*$D$202</f>
        <v>0</v>
      </c>
      <c r="E207">
        <f>84.842*$E$202</f>
        <v>0</v>
      </c>
      <c r="F207">
        <f>-59.538*$F$202</f>
        <v>0</v>
      </c>
      <c r="G207">
        <f>11.412*$G$202</f>
        <v>0</v>
      </c>
      <c r="H207">
        <f>0*$H$202</f>
        <v>0</v>
      </c>
      <c r="I207">
        <f>2.986*$I$202</f>
        <v>0</v>
      </c>
      <c r="J207">
        <f>51.092*$J$202</f>
        <v>0</v>
      </c>
      <c r="K207">
        <f>-68.122*$K$202</f>
        <v>0</v>
      </c>
      <c r="L207">
        <f>-0.033*$L$202</f>
        <v>0</v>
      </c>
      <c r="M207">
        <f>0+D207+E207+G207+H207+I207+J207+K207+L207</f>
        <v>0</v>
      </c>
      <c r="N207">
        <f>0+D207+F207+G207+H207+I207+J207+K207+L207</f>
        <v>0</v>
      </c>
    </row>
    <row r="208" spans="3:14">
      <c r="C208" t="s">
        <v>19</v>
      </c>
      <c r="D208">
        <f>23.872*$D$202</f>
        <v>0</v>
      </c>
      <c r="E208">
        <f>97.099*$E$202</f>
        <v>0</v>
      </c>
      <c r="F208">
        <f>-73.513*$F$202</f>
        <v>0</v>
      </c>
      <c r="G208">
        <f>13.913*$G$202</f>
        <v>0</v>
      </c>
      <c r="H208">
        <f>0*$H$202</f>
        <v>0</v>
      </c>
      <c r="I208">
        <f>2.651*$I$202</f>
        <v>0</v>
      </c>
      <c r="J208">
        <f>-18.803*$J$202</f>
        <v>0</v>
      </c>
      <c r="K208">
        <f>25.071*$K$202</f>
        <v>0</v>
      </c>
      <c r="L208">
        <f>-0.034*$L$202</f>
        <v>0</v>
      </c>
      <c r="M208">
        <f>0+D208+E208+G208+H208+I208+J208+K208+L208</f>
        <v>0</v>
      </c>
      <c r="N208">
        <f>0+D208+F208+G208+H208+I208+J208+K208+L208</f>
        <v>0</v>
      </c>
    </row>
    <row r="209" spans="3:14">
      <c r="C209" t="s">
        <v>20</v>
      </c>
      <c r="D209">
        <f>17.271*$D$202</f>
        <v>0</v>
      </c>
      <c r="E209">
        <f>119.358*$E$202</f>
        <v>0</v>
      </c>
      <c r="F209">
        <f>-103.359*$F$202</f>
        <v>0</v>
      </c>
      <c r="G209">
        <f>15.911*$G$202</f>
        <v>0</v>
      </c>
      <c r="H209">
        <f>0*$H$202</f>
        <v>0</v>
      </c>
      <c r="I209">
        <f>1.518*$I$202</f>
        <v>0</v>
      </c>
      <c r="J209">
        <f>-61.734*$J$202</f>
        <v>0</v>
      </c>
      <c r="K209">
        <f>82.312*$K$202</f>
        <v>0</v>
      </c>
      <c r="L209">
        <f>-0.034*$L$202</f>
        <v>0</v>
      </c>
      <c r="M209">
        <f>0+D209+E209+G209+H209+I209+J209+K209+L209</f>
        <v>0</v>
      </c>
      <c r="N209">
        <f>0+D209+F209+G209+H209+I209+J209+K209+L209</f>
        <v>0</v>
      </c>
    </row>
    <row r="210" spans="3:14">
      <c r="C210" t="s">
        <v>21</v>
      </c>
      <c r="D210">
        <f>26.474*$D$202</f>
        <v>0</v>
      </c>
      <c r="E210">
        <f>96.97*$E$202</f>
        <v>0</v>
      </c>
      <c r="F210">
        <f>-54.778*$F$202</f>
        <v>0</v>
      </c>
      <c r="G210">
        <f>1.457*$G$202</f>
        <v>0</v>
      </c>
      <c r="H210">
        <f>0*$H$202</f>
        <v>0</v>
      </c>
      <c r="I210">
        <f>3.93*$I$202</f>
        <v>0</v>
      </c>
      <c r="J210">
        <f>74.818*$J$202</f>
        <v>0</v>
      </c>
      <c r="K210">
        <f>-99.758*$K$202</f>
        <v>0</v>
      </c>
      <c r="L210">
        <f>-0.035*$L$202</f>
        <v>0</v>
      </c>
      <c r="M210">
        <f>0+D210+E210+G210+H210+I210+J210+K210+L210</f>
        <v>0</v>
      </c>
      <c r="N210">
        <f>0+D210+F210+G210+H210+I210+J210+K210+L210</f>
        <v>0</v>
      </c>
    </row>
    <row r="211" spans="3:14">
      <c r="C211" t="s">
        <v>22</v>
      </c>
      <c r="D211">
        <f>15.9*$D$202</f>
        <v>0</v>
      </c>
      <c r="E211">
        <f>88.363*$E$202</f>
        <v>0</v>
      </c>
      <c r="F211">
        <f>-66.832*$F$202</f>
        <v>0</v>
      </c>
      <c r="G211">
        <f>3.269*$G$202</f>
        <v>0</v>
      </c>
      <c r="H211">
        <f>0*$H$202</f>
        <v>0</v>
      </c>
      <c r="I211">
        <f>2.217*$I$202</f>
        <v>0</v>
      </c>
      <c r="J211">
        <f>42.137*$J$202</f>
        <v>0</v>
      </c>
      <c r="K211">
        <f>-56.183*$K$202</f>
        <v>0</v>
      </c>
      <c r="L211">
        <f>-0.035*$L$202</f>
        <v>0</v>
      </c>
      <c r="M211">
        <f>0+D211+E211+G211+H211+I211+J211+K211+L211</f>
        <v>0</v>
      </c>
      <c r="N211">
        <f>0+D211+F211+G211+H211+I211+J211+K211+L211</f>
        <v>0</v>
      </c>
    </row>
    <row r="212" spans="3:14">
      <c r="C212" t="s">
        <v>23</v>
      </c>
      <c r="D212">
        <f>5.123*$D$202</f>
        <v>0</v>
      </c>
      <c r="E212">
        <f>89.168*$E$202</f>
        <v>0</v>
      </c>
      <c r="F212">
        <f>-84.509*$F$202</f>
        <v>0</v>
      </c>
      <c r="G212">
        <f>5.56*$G$202</f>
        <v>0</v>
      </c>
      <c r="H212">
        <f>0*$H$202</f>
        <v>0</v>
      </c>
      <c r="I212">
        <f>0.454*$I$202</f>
        <v>0</v>
      </c>
      <c r="J212">
        <f>4.237*$J$202</f>
        <v>0</v>
      </c>
      <c r="K212">
        <f>-5.649*$K$202</f>
        <v>0</v>
      </c>
      <c r="L212">
        <f>-0.034*$L$202</f>
        <v>0</v>
      </c>
      <c r="M212">
        <f>0+D212+E212+G212+H212+I212+J212+K212+L212</f>
        <v>0</v>
      </c>
      <c r="N212">
        <f>0+D212+F212+G212+H212+I212+J212+K212+L212</f>
        <v>0</v>
      </c>
    </row>
    <row r="213" spans="3:14">
      <c r="C213" t="s">
        <v>24</v>
      </c>
      <c r="D213">
        <f>-6.672*$D$202</f>
        <v>0</v>
      </c>
      <c r="E213">
        <f>95.879*$E$202</f>
        <v>0</v>
      </c>
      <c r="F213">
        <f>-111.505*$F$202</f>
        <v>0</v>
      </c>
      <c r="G213">
        <f>8.072*$G$202</f>
        <v>0</v>
      </c>
      <c r="H213">
        <f>0*$H$202</f>
        <v>0</v>
      </c>
      <c r="I213">
        <f>-1.477*$I$202</f>
        <v>0</v>
      </c>
      <c r="J213">
        <f>-23.511*$J$202</f>
        <v>0</v>
      </c>
      <c r="K213">
        <f>31.348*$K$202</f>
        <v>0</v>
      </c>
      <c r="L213">
        <f>-0.033*$L$202</f>
        <v>0</v>
      </c>
      <c r="M213">
        <f>0+D213+E213+G213+H213+I213+J213+K213+L213</f>
        <v>0</v>
      </c>
      <c r="N213">
        <f>0+D213+F213+G213+H213+I213+J213+K213+L213</f>
        <v>0</v>
      </c>
    </row>
    <row r="214" spans="3:14">
      <c r="C214" t="s">
        <v>25</v>
      </c>
      <c r="D214">
        <f>-20.258*$D$202</f>
        <v>0</v>
      </c>
      <c r="E214">
        <f>114.545*$E$202</f>
        <v>0</v>
      </c>
      <c r="F214">
        <f>-153.968*$F$202</f>
        <v>0</v>
      </c>
      <c r="G214">
        <f>11.834*$G$202</f>
        <v>0</v>
      </c>
      <c r="H214">
        <f>0*$H$202</f>
        <v>0</v>
      </c>
      <c r="I214">
        <f>-3.791*$I$202</f>
        <v>0</v>
      </c>
      <c r="J214">
        <f>-27.891*$J$202</f>
        <v>0</v>
      </c>
      <c r="K214">
        <f>37.188*$K$202</f>
        <v>0</v>
      </c>
      <c r="L214">
        <f>-0.033*$L$202</f>
        <v>0</v>
      </c>
      <c r="M214">
        <f>0+D214+E214+G214+H214+I214+J214+K214+L214</f>
        <v>0</v>
      </c>
      <c r="N214">
        <f>0+D214+F214+G214+H214+I214+J214+K214+L214</f>
        <v>0</v>
      </c>
    </row>
    <row r="215" spans="3:14">
      <c r="C215" t="s">
        <v>26</v>
      </c>
      <c r="D215">
        <f>-8.556*$D$202</f>
        <v>0</v>
      </c>
      <c r="E215">
        <f>103.29*$E$202</f>
        <v>0</v>
      </c>
      <c r="F215">
        <f>-101.405*$F$202</f>
        <v>0</v>
      </c>
      <c r="G215">
        <f>-10.136*$G$202</f>
        <v>0</v>
      </c>
      <c r="H215">
        <f>0*$H$202</f>
        <v>0</v>
      </c>
      <c r="I215">
        <f>-0.512*$I$202</f>
        <v>0</v>
      </c>
      <c r="J215">
        <f>35.684*$J$202</f>
        <v>0</v>
      </c>
      <c r="K215">
        <f>-47.579*$K$202</f>
        <v>0</v>
      </c>
      <c r="L215">
        <f>-0.033*$L$202</f>
        <v>0</v>
      </c>
      <c r="M215">
        <f>0+D215+E215+G215+H215+I215+J215+K215+L215</f>
        <v>0</v>
      </c>
      <c r="N215">
        <f>0+D215+F215+G215+H215+I215+J215+K215+L215</f>
        <v>0</v>
      </c>
    </row>
    <row r="216" spans="3:14">
      <c r="C216" t="s">
        <v>27</v>
      </c>
      <c r="D216">
        <f>-19.985*$D$202</f>
        <v>0</v>
      </c>
      <c r="E216">
        <f>90.266*$E$202</f>
        <v>0</v>
      </c>
      <c r="F216">
        <f>-111.412*$F$202</f>
        <v>0</v>
      </c>
      <c r="G216">
        <f>-6.395*$G$202</f>
        <v>0</v>
      </c>
      <c r="H216">
        <f>0*$H$202</f>
        <v>0</v>
      </c>
      <c r="I216">
        <f>-2.497*$I$202</f>
        <v>0</v>
      </c>
      <c r="J216">
        <f>23.535*$J$202</f>
        <v>0</v>
      </c>
      <c r="K216">
        <f>-31.38*$K$202</f>
        <v>0</v>
      </c>
      <c r="L216">
        <f>-0.033*$L$202</f>
        <v>0</v>
      </c>
      <c r="M216">
        <f>0+D216+E216+G216+H216+I216+J216+K216+L216</f>
        <v>0</v>
      </c>
      <c r="N216">
        <f>0+D216+F216+G216+H216+I216+J216+K216+L216</f>
        <v>0</v>
      </c>
    </row>
    <row r="217" spans="3:14">
      <c r="C217" t="s">
        <v>28</v>
      </c>
      <c r="D217">
        <f>-28.886*$D$202</f>
        <v>0</v>
      </c>
      <c r="E217">
        <f>91.802*$E$202</f>
        <v>0</v>
      </c>
      <c r="F217">
        <f>-126.307*$F$202</f>
        <v>0</v>
      </c>
      <c r="G217">
        <f>-2.863*$G$202</f>
        <v>0</v>
      </c>
      <c r="H217">
        <f>0*$H$202</f>
        <v>0</v>
      </c>
      <c r="I217">
        <f>-4.085*$I$202</f>
        <v>0</v>
      </c>
      <c r="J217">
        <f>-4.507*$J$202</f>
        <v>0</v>
      </c>
      <c r="K217">
        <f>6.009*$K$202</f>
        <v>0</v>
      </c>
      <c r="L217">
        <f>-0.034*$L$202</f>
        <v>0</v>
      </c>
      <c r="M217">
        <f>0+D217+E217+G217+H217+I217+J217+K217+L217</f>
        <v>0</v>
      </c>
      <c r="N217">
        <f>0+D217+F217+G217+H217+I217+J217+K217+L217</f>
        <v>0</v>
      </c>
    </row>
    <row r="218" spans="3:14">
      <c r="C218" t="s">
        <v>29</v>
      </c>
      <c r="D218">
        <f>-35.738*$D$202</f>
        <v>0</v>
      </c>
      <c r="E218">
        <f>97.714*$E$202</f>
        <v>0</v>
      </c>
      <c r="F218">
        <f>-147.216*$F$202</f>
        <v>0</v>
      </c>
      <c r="G218">
        <f>0.606*$G$202</f>
        <v>0</v>
      </c>
      <c r="H218">
        <f>0*$H$202</f>
        <v>0</v>
      </c>
      <c r="I218">
        <f>-5.375*$I$202</f>
        <v>0</v>
      </c>
      <c r="J218">
        <f>-29.049*$J$202</f>
        <v>0</v>
      </c>
      <c r="K218">
        <f>38.732*$K$202</f>
        <v>0</v>
      </c>
      <c r="L218">
        <f>-0.036*$L$202</f>
        <v>0</v>
      </c>
      <c r="M218">
        <f>0+D218+E218+G218+H218+I218+J218+K218+L218</f>
        <v>0</v>
      </c>
      <c r="N218">
        <f>0+D218+F218+G218+H218+I218+J218+K218+L218</f>
        <v>0</v>
      </c>
    </row>
    <row r="219" spans="3:14">
      <c r="C219" t="s">
        <v>30</v>
      </c>
      <c r="D219">
        <f>-38.414*$D$202</f>
        <v>0</v>
      </c>
      <c r="E219">
        <f>113.8*$E$202</f>
        <v>0</v>
      </c>
      <c r="F219">
        <f>-179.559*$F$202</f>
        <v>0</v>
      </c>
      <c r="G219">
        <f>4.984*$G$202</f>
        <v>0</v>
      </c>
      <c r="H219">
        <f>0*$H$202</f>
        <v>0</v>
      </c>
      <c r="I219">
        <f>-6.166*$I$202</f>
        <v>0</v>
      </c>
      <c r="J219">
        <f>-40.78*$J$202</f>
        <v>0</v>
      </c>
      <c r="K219">
        <f>54.373*$K$202</f>
        <v>0</v>
      </c>
      <c r="L219">
        <f>-0.044*$L$202</f>
        <v>0</v>
      </c>
      <c r="M219">
        <f>0+D219+E219+G219+H219+I219+J219+K219+L219</f>
        <v>0</v>
      </c>
      <c r="N219">
        <f>0+D219+F219+G219+H219+I219+J219+K219+L219</f>
        <v>0</v>
      </c>
    </row>
    <row r="220" spans="3:14">
      <c r="C220" t="s">
        <v>31</v>
      </c>
      <c r="D220">
        <f>-44.145*$D$202</f>
        <v>0</v>
      </c>
      <c r="E220">
        <f>107.173*$E$202</f>
        <v>0</v>
      </c>
      <c r="F220">
        <f>-140.478*$F$202</f>
        <v>0</v>
      </c>
      <c r="G220">
        <f>-14.724*$G$202</f>
        <v>0</v>
      </c>
      <c r="H220">
        <f>0*$H$202</f>
        <v>0</v>
      </c>
      <c r="I220">
        <f>-5.459*$I$202</f>
        <v>0</v>
      </c>
      <c r="J220">
        <f>44.137*$J$202</f>
        <v>0</v>
      </c>
      <c r="K220">
        <f>-58.849*$K$202</f>
        <v>0</v>
      </c>
      <c r="L220">
        <f>-0.026*$L$202</f>
        <v>0</v>
      </c>
      <c r="M220">
        <f>0+D220+E220+G220+H220+I220+J220+K220+L220</f>
        <v>0</v>
      </c>
      <c r="N220">
        <f>0+D220+F220+G220+H220+I220+J220+K220+L220</f>
        <v>0</v>
      </c>
    </row>
    <row r="221" spans="3:14">
      <c r="C221" t="s">
        <v>32</v>
      </c>
      <c r="D221">
        <f>-37.831*$D$202</f>
        <v>0</v>
      </c>
      <c r="E221">
        <f>97.258*$E$202</f>
        <v>0</v>
      </c>
      <c r="F221">
        <f>-138.832*$F$202</f>
        <v>0</v>
      </c>
      <c r="G221">
        <f>-10.089*$G$202</f>
        <v>0</v>
      </c>
      <c r="H221">
        <f>0*$H$202</f>
        <v>0</v>
      </c>
      <c r="I221">
        <f>-4.928*$I$202</f>
        <v>0</v>
      </c>
      <c r="J221">
        <f>12.673*$J$202</f>
        <v>0</v>
      </c>
      <c r="K221">
        <f>-16.898*$K$202</f>
        <v>0</v>
      </c>
      <c r="L221">
        <f>-0.032*$L$202</f>
        <v>0</v>
      </c>
      <c r="M221">
        <f>0+D221+E221+G221+H221+I221+J221+K221+L221</f>
        <v>0</v>
      </c>
      <c r="N221">
        <f>0+D221+F221+G221+H221+I221+J221+K221+L221</f>
        <v>0</v>
      </c>
    </row>
    <row r="222" spans="3:14">
      <c r="C222" t="s">
        <v>33</v>
      </c>
      <c r="D222">
        <f>-24.566*$D$202</f>
        <v>0</v>
      </c>
      <c r="E222">
        <f>97.804*$E$202</f>
        <v>0</v>
      </c>
      <c r="F222">
        <f>-133.506*$F$202</f>
        <v>0</v>
      </c>
      <c r="G222">
        <f>-5.063*$G$202</f>
        <v>0</v>
      </c>
      <c r="H222">
        <f>0*$H$202</f>
        <v>0</v>
      </c>
      <c r="I222">
        <f>-3.384*$I$202</f>
        <v>0</v>
      </c>
      <c r="J222">
        <f>-43.223*$J$202</f>
        <v>0</v>
      </c>
      <c r="K222">
        <f>57.631*$K$202</f>
        <v>0</v>
      </c>
      <c r="L222">
        <f>-0.041*$L$202</f>
        <v>0</v>
      </c>
      <c r="M222">
        <f>0+D222+E222+G222+H222+I222+J222+K222+L222</f>
        <v>0</v>
      </c>
      <c r="N222">
        <f>0+D222+F222+G222+H222+I222+J222+K222+L222</f>
        <v>0</v>
      </c>
    </row>
    <row r="223" spans="3:14">
      <c r="C223" t="s">
        <v>34</v>
      </c>
      <c r="D223">
        <f>0.697*$D$202</f>
        <v>0</v>
      </c>
      <c r="E223">
        <f>111.099*$E$202</f>
        <v>0</v>
      </c>
      <c r="F223">
        <f>-118.7*$F$202</f>
        <v>0</v>
      </c>
      <c r="G223">
        <f>0.911*$G$202</f>
        <v>0</v>
      </c>
      <c r="H223">
        <f>0*$H$202</f>
        <v>0</v>
      </c>
      <c r="I223">
        <f>-0.188*$I$202</f>
        <v>0</v>
      </c>
      <c r="J223">
        <f>-113.634*$J$202</f>
        <v>0</v>
      </c>
      <c r="K223">
        <f>151.512*$K$202</f>
        <v>0</v>
      </c>
      <c r="L223">
        <f>-0.062*$L$202</f>
        <v>0</v>
      </c>
      <c r="M223">
        <f>0+D223+E223+G223+H223+I223+J223+K223+L223</f>
        <v>0</v>
      </c>
      <c r="N223">
        <f>0+D223+F223+G223+H223+I223+J223+K223+L223</f>
        <v>0</v>
      </c>
    </row>
    <row r="224" spans="3:14">
      <c r="C224" t="s">
        <v>35</v>
      </c>
      <c r="D224">
        <f>43.473*$D$202</f>
        <v>0</v>
      </c>
      <c r="E224">
        <f>146.137*$E$202</f>
        <v>0</v>
      </c>
      <c r="F224">
        <f>-115.986*$F$202</f>
        <v>0</v>
      </c>
      <c r="G224">
        <f>7.176*$G$202</f>
        <v>0</v>
      </c>
      <c r="H224">
        <f>0*$H$202</f>
        <v>0</v>
      </c>
      <c r="I224">
        <f>5.414*$I$202</f>
        <v>0</v>
      </c>
      <c r="J224">
        <f>-190.314*$J$202</f>
        <v>0</v>
      </c>
      <c r="K224">
        <f>253.752*$K$202</f>
        <v>0</v>
      </c>
      <c r="L224">
        <f>-0.117*$L$202</f>
        <v>0</v>
      </c>
      <c r="M224">
        <f>0+D224+E224+G224+H224+I224+J224+K224+L224</f>
        <v>0</v>
      </c>
      <c r="N224">
        <f>0+D224+F224+G224+H224+I224+J224+K224+L224</f>
        <v>0</v>
      </c>
    </row>
    <row r="225" spans="3:14">
      <c r="C225" t="s">
        <v>36</v>
      </c>
      <c r="D225">
        <f>-14.633*$D$202</f>
        <v>0</v>
      </c>
      <c r="E225">
        <f>14.418*$E$202</f>
        <v>0</v>
      </c>
      <c r="F225">
        <f>-31.336*$F$202</f>
        <v>0</v>
      </c>
      <c r="G225">
        <f>-1.267*$G$202</f>
        <v>0</v>
      </c>
      <c r="H225">
        <f>0*$H$202</f>
        <v>0</v>
      </c>
      <c r="I225">
        <f>-1.949*$I$202</f>
        <v>0</v>
      </c>
      <c r="J225">
        <f>16.833*$J$202</f>
        <v>0</v>
      </c>
      <c r="K225">
        <f>-22.444*$K$202</f>
        <v>0</v>
      </c>
      <c r="L225">
        <f>0.024*$L$202</f>
        <v>0</v>
      </c>
      <c r="M225">
        <f>0+D225+E225+G225+H225+I225+J225+K225+L225</f>
        <v>0</v>
      </c>
      <c r="N225">
        <f>0+D225+F225+G225+H225+I225+J225+K225+L225</f>
        <v>0</v>
      </c>
    </row>
    <row r="226" spans="3:14">
      <c r="C226" t="s">
        <v>36</v>
      </c>
      <c r="D226">
        <f>14.081*$D$202</f>
        <v>0</v>
      </c>
      <c r="E226">
        <f>32.74*$E$202</f>
        <v>0</v>
      </c>
      <c r="F226">
        <f>-15.93*$F$202</f>
        <v>0</v>
      </c>
      <c r="G226">
        <f>1.287*$G$202</f>
        <v>0</v>
      </c>
      <c r="H226">
        <f>0*$H$202</f>
        <v>0</v>
      </c>
      <c r="I226">
        <f>1.869*$I$202</f>
        <v>0</v>
      </c>
      <c r="J226">
        <f>-16.428*$J$202</f>
        <v>0</v>
      </c>
      <c r="K226">
        <f>21.904*$K$202</f>
        <v>0</v>
      </c>
      <c r="L226">
        <f>0.005701*$L$202</f>
        <v>0</v>
      </c>
      <c r="M226">
        <f>0+D226+E226+G226+H226+I226+J226+K226+L226</f>
        <v>0</v>
      </c>
      <c r="N226">
        <f>0+D226+F226+G226+H226+I226+J226+K226+L226</f>
        <v>0</v>
      </c>
    </row>
    <row r="227" spans="3:14">
      <c r="C227" t="s">
        <v>37</v>
      </c>
      <c r="D227">
        <f>14.081*$D$202</f>
        <v>0</v>
      </c>
      <c r="E227">
        <f>32.74*$E$202</f>
        <v>0</v>
      </c>
      <c r="F227">
        <f>-15.93*$F$202</f>
        <v>0</v>
      </c>
      <c r="G227">
        <f>1.287*$G$202</f>
        <v>0</v>
      </c>
      <c r="H227">
        <f>0*$H$202</f>
        <v>0</v>
      </c>
      <c r="I227">
        <f>1.869*$I$202</f>
        <v>0</v>
      </c>
      <c r="J227">
        <f>-16.428*$J$202</f>
        <v>0</v>
      </c>
      <c r="K227">
        <f>21.904*$K$202</f>
        <v>0</v>
      </c>
      <c r="L227">
        <f>0.005701*$L$202</f>
        <v>0</v>
      </c>
      <c r="M227">
        <f>0+D227+E227+G227+H227+I227+J227+K227+L227</f>
        <v>0</v>
      </c>
      <c r="N227">
        <f>0+D227+F227+G227+H227+I227+J227+K227+L227</f>
        <v>0</v>
      </c>
    </row>
    <row r="228" spans="3:14">
      <c r="C228" t="s">
        <v>38</v>
      </c>
      <c r="D228">
        <f>-28.785*$D$202</f>
        <v>0</v>
      </c>
      <c r="E228">
        <f>23.352*$E$202</f>
        <v>0</v>
      </c>
      <c r="F228">
        <f>-46.092*$F$202</f>
        <v>0</v>
      </c>
      <c r="G228">
        <f>-4.476*$G$202</f>
        <v>0</v>
      </c>
      <c r="H228">
        <f>0*$H$202</f>
        <v>0</v>
      </c>
      <c r="I228">
        <f>-3.55*$I$202</f>
        <v>0</v>
      </c>
      <c r="J228">
        <f>153.335*$J$202</f>
        <v>0</v>
      </c>
      <c r="K228">
        <f>-204.447*$K$202</f>
        <v>0</v>
      </c>
      <c r="L228">
        <f>-1.93*$L$202</f>
        <v>0</v>
      </c>
      <c r="M228">
        <f>0+D228+E228+G228+H228+I228+J228+K228+L228</f>
        <v>0</v>
      </c>
      <c r="N228">
        <f>0+D228+F228+G228+H228+I228+J228+K228+L228</f>
        <v>0</v>
      </c>
    </row>
    <row r="229" spans="3:14">
      <c r="C229" t="s">
        <v>39</v>
      </c>
      <c r="D229">
        <f>5.638*$D$202</f>
        <v>0</v>
      </c>
      <c r="E229">
        <f>36.173*$E$202</f>
        <v>0</v>
      </c>
      <c r="F229">
        <f>-21.254*$F$202</f>
        <v>0</v>
      </c>
      <c r="G229">
        <f>1.781*$G$202</f>
        <v>0</v>
      </c>
      <c r="H229">
        <f>0*$H$202</f>
        <v>0</v>
      </c>
      <c r="I229">
        <f>0.897*$I$202</f>
        <v>0</v>
      </c>
      <c r="J229">
        <f>75.083*$J$202</f>
        <v>0</v>
      </c>
      <c r="K229">
        <f>-100.111*$K$202</f>
        <v>0</v>
      </c>
      <c r="L229">
        <f>-1.855*$L$202</f>
        <v>0</v>
      </c>
      <c r="M229">
        <f>0+D229+E229+G229+H229+I229+J229+K229+L229</f>
        <v>0</v>
      </c>
      <c r="N229">
        <f>0+D229+F229+G229+H229+I229+J229+K229+L229</f>
        <v>0</v>
      </c>
    </row>
    <row r="230" spans="3:14">
      <c r="C230" t="s">
        <v>40</v>
      </c>
      <c r="D230">
        <f>23.466*$D$202</f>
        <v>0</v>
      </c>
      <c r="E230">
        <f>50.048*$E$202</f>
        <v>0</v>
      </c>
      <c r="F230">
        <f>-21.409*$F$202</f>
        <v>0</v>
      </c>
      <c r="G230">
        <f>7.22*$G$202</f>
        <v>0</v>
      </c>
      <c r="H230">
        <f>0*$H$202</f>
        <v>0</v>
      </c>
      <c r="I230">
        <f>3.072*$I$202</f>
        <v>0</v>
      </c>
      <c r="J230">
        <f>9.808*$J$202</f>
        <v>0</v>
      </c>
      <c r="K230">
        <f>-13.077*$K$202</f>
        <v>0</v>
      </c>
      <c r="L230">
        <f>-2.099*$L$202</f>
        <v>0</v>
      </c>
      <c r="M230">
        <f>0+D230+E230+G230+H230+I230+J230+K230+L230</f>
        <v>0</v>
      </c>
      <c r="N230">
        <f>0+D230+F230+G230+H230+I230+J230+K230+L230</f>
        <v>0</v>
      </c>
    </row>
    <row r="231" spans="3:14">
      <c r="C231" t="s">
        <v>41</v>
      </c>
      <c r="D231">
        <f>32.702*$D$202</f>
        <v>0</v>
      </c>
      <c r="E231">
        <f>56.798*$E$202</f>
        <v>0</v>
      </c>
      <c r="F231">
        <f>-31.245*$F$202</f>
        <v>0</v>
      </c>
      <c r="G231">
        <f>11.576*$G$202</f>
        <v>0</v>
      </c>
      <c r="H231">
        <f>0*$H$202</f>
        <v>0</v>
      </c>
      <c r="I231">
        <f>4.072*$I$202</f>
        <v>0</v>
      </c>
      <c r="J231">
        <f>-35.341*$J$202</f>
        <v>0</v>
      </c>
      <c r="K231">
        <f>47.121*$K$202</f>
        <v>0</v>
      </c>
      <c r="L231">
        <f>-2.45*$L$202</f>
        <v>0</v>
      </c>
      <c r="M231">
        <f>0+D231+E231+G231+H231+I231+J231+K231+L231</f>
        <v>0</v>
      </c>
      <c r="N231">
        <f>0+D231+F231+G231+H231+I231+J231+K231+L231</f>
        <v>0</v>
      </c>
    </row>
    <row r="232" spans="3:14">
      <c r="C232" t="s">
        <v>42</v>
      </c>
      <c r="D232">
        <f>36.689*$D$202</f>
        <v>0</v>
      </c>
      <c r="E232">
        <f>74.307*$E$202</f>
        <v>0</v>
      </c>
      <c r="F232">
        <f>-65.068*$F$202</f>
        <v>0</v>
      </c>
      <c r="G232">
        <f>16.039*$G$202</f>
        <v>0</v>
      </c>
      <c r="H232">
        <f>0*$H$202</f>
        <v>0</v>
      </c>
      <c r="I232">
        <f>4.258*$I$202</f>
        <v>0</v>
      </c>
      <c r="J232">
        <f>-55.613*$J$202</f>
        <v>0</v>
      </c>
      <c r="K232">
        <f>74.15*$K$202</f>
        <v>0</v>
      </c>
      <c r="L232">
        <f>-2.914*$L$202</f>
        <v>0</v>
      </c>
      <c r="M232">
        <f>0+D232+E232+G232+H232+I232+J232+K232+L232</f>
        <v>0</v>
      </c>
      <c r="N232">
        <f>0+D232+F232+G232+H232+I232+J232+K232+L232</f>
        <v>0</v>
      </c>
    </row>
    <row r="233" spans="3:14">
      <c r="C233" t="s">
        <v>43</v>
      </c>
      <c r="D233">
        <f>26.454*$D$202</f>
        <v>0</v>
      </c>
      <c r="E233">
        <f>75.53*$E$202</f>
        <v>0</v>
      </c>
      <c r="F233">
        <f>-25.451*$F$202</f>
        <v>0</v>
      </c>
      <c r="G233">
        <f>-3.195*$G$202</f>
        <v>0</v>
      </c>
      <c r="H233">
        <f>0*$H$202</f>
        <v>0</v>
      </c>
      <c r="I233">
        <f>4.276*$I$202</f>
        <v>0</v>
      </c>
      <c r="J233">
        <f>36.666*$J$202</f>
        <v>0</v>
      </c>
      <c r="K233">
        <f>-48.888*$K$202</f>
        <v>0</v>
      </c>
      <c r="L233">
        <f>-2.704*$L$202</f>
        <v>0</v>
      </c>
      <c r="M233">
        <f>0+D233+E233+G233+H233+I233+J233+K233+L233</f>
        <v>0</v>
      </c>
      <c r="N233">
        <f>0+D233+F233+G233+H233+I233+J233+K233+L233</f>
        <v>0</v>
      </c>
    </row>
    <row r="234" spans="3:14">
      <c r="C234" t="s">
        <v>44</v>
      </c>
      <c r="D234">
        <f>21.853*$D$202</f>
        <v>0</v>
      </c>
      <c r="E234">
        <f>45.389*$E$202</f>
        <v>0</v>
      </c>
      <c r="F234">
        <f>-14.038*$F$202</f>
        <v>0</v>
      </c>
      <c r="G234">
        <f>0.747*$G$202</f>
        <v>0</v>
      </c>
      <c r="H234">
        <f>0*$H$202</f>
        <v>0</v>
      </c>
      <c r="I234">
        <f>3.258*$I$202</f>
        <v>0</v>
      </c>
      <c r="J234">
        <f>18.294*$J$202</f>
        <v>0</v>
      </c>
      <c r="K234">
        <f>-24.392*$K$202</f>
        <v>0</v>
      </c>
      <c r="L234">
        <f>-3.218*$L$202</f>
        <v>0</v>
      </c>
      <c r="M234">
        <f>0+D234+E234+G234+H234+I234+J234+K234+L234</f>
        <v>0</v>
      </c>
      <c r="N234">
        <f>0+D234+F234+G234+H234+I234+J234+K234+L234</f>
        <v>0</v>
      </c>
    </row>
    <row r="235" spans="3:14">
      <c r="C235" t="s">
        <v>45</v>
      </c>
      <c r="D235">
        <f>14.105*$D$202</f>
        <v>0</v>
      </c>
      <c r="E235">
        <f>35.825*$E$202</f>
        <v>0</v>
      </c>
      <c r="F235">
        <f>-17.469*$F$202</f>
        <v>0</v>
      </c>
      <c r="G235">
        <f>4.456*$G$202</f>
        <v>0</v>
      </c>
      <c r="H235">
        <f>0*$H$202</f>
        <v>0</v>
      </c>
      <c r="I235">
        <f>1.826*$I$202</f>
        <v>0</v>
      </c>
      <c r="J235">
        <f>-9.387*$J$202</f>
        <v>0</v>
      </c>
      <c r="K235">
        <f>12.516*$K$202</f>
        <v>0</v>
      </c>
      <c r="L235">
        <f>-3.734*$L$202</f>
        <v>0</v>
      </c>
      <c r="M235">
        <f>0+D235+E235+G235+H235+I235+J235+K235+L235</f>
        <v>0</v>
      </c>
      <c r="N235">
        <f>0+D235+F235+G235+H235+I235+J235+K235+L235</f>
        <v>0</v>
      </c>
    </row>
    <row r="236" spans="3:14">
      <c r="C236" t="s">
        <v>46</v>
      </c>
      <c r="D236">
        <f>4.118*$D$202</f>
        <v>0</v>
      </c>
      <c r="E236">
        <f>39.229*$E$202</f>
        <v>0</v>
      </c>
      <c r="F236">
        <f>-42.892*$F$202</f>
        <v>0</v>
      </c>
      <c r="G236">
        <f>8.084*$G$202</f>
        <v>0</v>
      </c>
      <c r="H236">
        <f>0*$H$202</f>
        <v>0</v>
      </c>
      <c r="I236">
        <f>0.075*$I$202</f>
        <v>0</v>
      </c>
      <c r="J236">
        <f>-28.301*$J$202</f>
        <v>0</v>
      </c>
      <c r="K236">
        <f>37.735*$K$202</f>
        <v>0</v>
      </c>
      <c r="L236">
        <f>-4.289*$L$202</f>
        <v>0</v>
      </c>
      <c r="M236">
        <f>0+D236+E236+G236+H236+I236+J236+K236+L236</f>
        <v>0</v>
      </c>
      <c r="N236">
        <f>0+D236+F236+G236+H236+I236+J236+K236+L236</f>
        <v>0</v>
      </c>
    </row>
    <row r="237" spans="3:14">
      <c r="C237" t="s">
        <v>47</v>
      </c>
      <c r="D237">
        <f>-8.608*$D$202</f>
        <v>0</v>
      </c>
      <c r="E237">
        <f>59.753*$E$202</f>
        <v>0</v>
      </c>
      <c r="F237">
        <f>-91.107*$F$202</f>
        <v>0</v>
      </c>
      <c r="G237">
        <f>12.768*$G$202</f>
        <v>0</v>
      </c>
      <c r="H237">
        <f>0*$H$202</f>
        <v>0</v>
      </c>
      <c r="I237">
        <f>-2.181*$I$202</f>
        <v>0</v>
      </c>
      <c r="J237">
        <f>-24.691*$J$202</f>
        <v>0</v>
      </c>
      <c r="K237">
        <f>32.921*$K$202</f>
        <v>0</v>
      </c>
      <c r="L237">
        <f>-4.82*$L$202</f>
        <v>0</v>
      </c>
      <c r="M237">
        <f>0+D237+E237+G237+H237+I237+J237+K237+L237</f>
        <v>0</v>
      </c>
      <c r="N237">
        <f>0+D237+F237+G237+H237+I237+J237+K237+L237</f>
        <v>0</v>
      </c>
    </row>
    <row r="238" spans="3:14">
      <c r="C238" t="s">
        <v>48</v>
      </c>
      <c r="D238">
        <f>2.447*$D$202</f>
        <v>0</v>
      </c>
      <c r="E238">
        <f>57.557*$E$202</f>
        <v>0</v>
      </c>
      <c r="F238">
        <f>-43.402*$F$202</f>
        <v>0</v>
      </c>
      <c r="G238">
        <f>-9.781*$G$202</f>
        <v>0</v>
      </c>
      <c r="H238">
        <f>0*$H$202</f>
        <v>0</v>
      </c>
      <c r="I238">
        <f>1.055*$I$202</f>
        <v>0</v>
      </c>
      <c r="J238">
        <f>32.805*$J$202</f>
        <v>0</v>
      </c>
      <c r="K238">
        <f>-43.74*$K$202</f>
        <v>0</v>
      </c>
      <c r="L238">
        <f>-5.062*$L$202</f>
        <v>0</v>
      </c>
      <c r="M238">
        <f>0+D238+E238+G238+H238+I238+J238+K238+L238</f>
        <v>0</v>
      </c>
      <c r="N238">
        <f>0+D238+F238+G238+H238+I238+J238+K238+L238</f>
        <v>0</v>
      </c>
    </row>
    <row r="239" spans="3:14">
      <c r="C239" t="s">
        <v>49</v>
      </c>
      <c r="D239">
        <f>-9.459*$D$202</f>
        <v>0</v>
      </c>
      <c r="E239">
        <f>23.753*$E$202</f>
        <v>0</v>
      </c>
      <c r="F239">
        <f>-38.335*$F$202</f>
        <v>0</v>
      </c>
      <c r="G239">
        <f>-5.596*$G$202</f>
        <v>0</v>
      </c>
      <c r="H239">
        <f>0*$H$202</f>
        <v>0</v>
      </c>
      <c r="I239">
        <f>-1.031*$I$202</f>
        <v>0</v>
      </c>
      <c r="J239">
        <f>25.195*$J$202</f>
        <v>0</v>
      </c>
      <c r="K239">
        <f>-33.593*$K$202</f>
        <v>0</v>
      </c>
      <c r="L239">
        <f>-4.934*$L$202</f>
        <v>0</v>
      </c>
      <c r="M239">
        <f>0+D239+E239+G239+H239+I239+J239+K239+L239</f>
        <v>0</v>
      </c>
      <c r="N239">
        <f>0+D239+F239+G239+H239+I239+J239+K239+L239</f>
        <v>0</v>
      </c>
    </row>
    <row r="240" spans="3:14">
      <c r="C240" t="s">
        <v>50</v>
      </c>
      <c r="D240">
        <f>-19.333*$D$202</f>
        <v>0</v>
      </c>
      <c r="E240">
        <f>19.815*$E$202</f>
        <v>0</v>
      </c>
      <c r="F240">
        <f>-50.826*$F$202</f>
        <v>0</v>
      </c>
      <c r="G240">
        <f>-1.839*$G$202</f>
        <v>0</v>
      </c>
      <c r="H240">
        <f>0*$H$202</f>
        <v>0</v>
      </c>
      <c r="I240">
        <f>-2.775*$I$202</f>
        <v>0</v>
      </c>
      <c r="J240">
        <f>-0.034*$J$202</f>
        <v>0</v>
      </c>
      <c r="K240">
        <f>0.045*$K$202</f>
        <v>0</v>
      </c>
      <c r="L240">
        <f>-4.124*$L$202</f>
        <v>0</v>
      </c>
      <c r="M240">
        <f>0+D240+E240+G240+H240+I240+J240+K240+L240</f>
        <v>0</v>
      </c>
      <c r="N240">
        <f>0+D240+F240+G240+H240+I240+J240+K240+L240</f>
        <v>0</v>
      </c>
    </row>
    <row r="241" spans="3:14">
      <c r="C241" t="s">
        <v>51</v>
      </c>
      <c r="D241">
        <f>-27.666*$D$202</f>
        <v>0</v>
      </c>
      <c r="E241">
        <f>28.037*$E$202</f>
        <v>0</v>
      </c>
      <c r="F241">
        <f>-71.966*$F$202</f>
        <v>0</v>
      </c>
      <c r="G241">
        <f>1.713*$G$202</f>
        <v>0</v>
      </c>
      <c r="H241">
        <f>0*$H$202</f>
        <v>0</v>
      </c>
      <c r="I241">
        <f>-4.287*$I$202</f>
        <v>0</v>
      </c>
      <c r="J241">
        <f>-22.697*$J$202</f>
        <v>0</v>
      </c>
      <c r="K241">
        <f>30.262*$K$202</f>
        <v>0</v>
      </c>
      <c r="L241">
        <f>-2.051*$L$202</f>
        <v>0</v>
      </c>
      <c r="M241">
        <f>0+D241+E241+G241+H241+I241+J241+K241+L241</f>
        <v>0</v>
      </c>
      <c r="N241">
        <f>0+D241+F241+G241+H241+I241+J241+K241+L241</f>
        <v>0</v>
      </c>
    </row>
    <row r="242" spans="3:14">
      <c r="C242" t="s">
        <v>52</v>
      </c>
      <c r="D242">
        <f>-32.92*$D$202</f>
        <v>0</v>
      </c>
      <c r="E242">
        <f>49.207*$E$202</f>
        <v>0</v>
      </c>
      <c r="F242">
        <f>-108.689*$F$202</f>
        <v>0</v>
      </c>
      <c r="G242">
        <f>6.004*$G$202</f>
        <v>0</v>
      </c>
      <c r="H242">
        <f>0*$H$202</f>
        <v>0</v>
      </c>
      <c r="I242">
        <f>-5.451*$I$202</f>
        <v>0</v>
      </c>
      <c r="J242">
        <f>-33.243*$J$202</f>
        <v>0</v>
      </c>
      <c r="K242">
        <f>44.324*$K$202</f>
        <v>0</v>
      </c>
      <c r="L242">
        <f>2.823*$L$202</f>
        <v>0</v>
      </c>
      <c r="M242">
        <f>0+D242+E242+G242+H242+I242+J242+K242+L242</f>
        <v>0</v>
      </c>
      <c r="N242">
        <f>0+D242+F242+G242+H242+I242+J242+K242+L242</f>
        <v>0</v>
      </c>
    </row>
    <row r="243" spans="3:14">
      <c r="C243" t="s">
        <v>53</v>
      </c>
      <c r="D243">
        <f>-33.599*$D$202</f>
        <v>0</v>
      </c>
      <c r="E243">
        <f>41.916*$E$202</f>
        <v>0</v>
      </c>
      <c r="F243">
        <f>-72.393*$F$202</f>
        <v>0</v>
      </c>
      <c r="G243">
        <f>-13.285*$G$202</f>
        <v>0</v>
      </c>
      <c r="H243">
        <f>0*$H$202</f>
        <v>0</v>
      </c>
      <c r="I243">
        <f>-4.022*$I$202</f>
        <v>0</v>
      </c>
      <c r="J243">
        <f>51.338*$J$202</f>
        <v>0</v>
      </c>
      <c r="K243">
        <f>-68.451*$K$202</f>
        <v>0</v>
      </c>
      <c r="L243">
        <f>-10.194*$L$202</f>
        <v>0</v>
      </c>
      <c r="M243">
        <f>0+D243+E243+G243+H243+I243+J243+K243+L243</f>
        <v>0</v>
      </c>
      <c r="N243">
        <f>0+D243+F243+G243+H243+I243+J243+K243+L243</f>
        <v>0</v>
      </c>
    </row>
    <row r="244" spans="3:14">
      <c r="C244" t="s">
        <v>54</v>
      </c>
      <c r="D244">
        <f>-30.547*$D$202</f>
        <v>0</v>
      </c>
      <c r="E244">
        <f>25.968*$E$202</f>
        <v>0</v>
      </c>
      <c r="F244">
        <f>-65.523*$F$202</f>
        <v>0</v>
      </c>
      <c r="G244">
        <f>-8.915*$G$202</f>
        <v>0</v>
      </c>
      <c r="H244">
        <f>0*$H$202</f>
        <v>0</v>
      </c>
      <c r="I244">
        <f>-3.955*$I$202</f>
        <v>0</v>
      </c>
      <c r="J244">
        <f>20.049*$J$202</f>
        <v>0</v>
      </c>
      <c r="K244">
        <f>-26.732*$K$202</f>
        <v>0</v>
      </c>
      <c r="L244">
        <f>-4.141*$L$202</f>
        <v>0</v>
      </c>
      <c r="M244">
        <f>0+D244+E244+G244+H244+I244+J244+K244+L244</f>
        <v>0</v>
      </c>
      <c r="N244">
        <f>0+D244+F244+G244+H244+I244+J244+K244+L244</f>
        <v>0</v>
      </c>
    </row>
    <row r="245" spans="3:14">
      <c r="C245" t="s">
        <v>55</v>
      </c>
      <c r="D245">
        <f>-21.086*$D$202</f>
        <v>0</v>
      </c>
      <c r="E245">
        <f>27.224*$E$202</f>
        <v>0</v>
      </c>
      <c r="F245">
        <f>-59.99*$F$202</f>
        <v>0</v>
      </c>
      <c r="G245">
        <f>-4.247*$G$202</f>
        <v>0</v>
      </c>
      <c r="H245">
        <f>0*$H$202</f>
        <v>0</v>
      </c>
      <c r="I245">
        <f>-2.95*$I$202</f>
        <v>0</v>
      </c>
      <c r="J245">
        <f>-36.011*$J$202</f>
        <v>0</v>
      </c>
      <c r="K245">
        <f>48.015*$K$202</f>
        <v>0</v>
      </c>
      <c r="L245">
        <f>3.325*$L$202</f>
        <v>0</v>
      </c>
      <c r="M245">
        <f>0+D245+E245+G245+H245+I245+J245+K245+L245</f>
        <v>0</v>
      </c>
      <c r="N245">
        <f>0+D245+F245+G245+H245+I245+J245+K245+L245</f>
        <v>0</v>
      </c>
    </row>
    <row r="246" spans="3:14">
      <c r="C246" t="s">
        <v>56</v>
      </c>
      <c r="D246">
        <f>-1.209*$D$202</f>
        <v>0</v>
      </c>
      <c r="E246">
        <f>39.136*$E$202</f>
        <v>0</v>
      </c>
      <c r="F246">
        <f>-43.233*$F$202</f>
        <v>0</v>
      </c>
      <c r="G246">
        <f>1.194*$G$202</f>
        <v>0</v>
      </c>
      <c r="H246">
        <f>0*$H$202</f>
        <v>0</v>
      </c>
      <c r="I246">
        <f>-0.518*$I$202</f>
        <v>0</v>
      </c>
      <c r="J246">
        <f>-106.713*$J$202</f>
        <v>0</v>
      </c>
      <c r="K246">
        <f>142.284*$K$202</f>
        <v>0</v>
      </c>
      <c r="L246">
        <f>17.521*$L$202</f>
        <v>0</v>
      </c>
      <c r="M246">
        <f>0+D246+E246+G246+H246+I246+J246+K246+L246</f>
        <v>0</v>
      </c>
      <c r="N246">
        <f>0+D246+F246+G246+H246+I246+J246+K246+L246</f>
        <v>0</v>
      </c>
    </row>
    <row r="247" spans="3:14">
      <c r="C247" t="s">
        <v>57</v>
      </c>
      <c r="D247">
        <f>33.337*$D$202</f>
        <v>0</v>
      </c>
      <c r="E247">
        <f>75.964*$E$202</f>
        <v>0</v>
      </c>
      <c r="F247">
        <f>-35.2*$F$202</f>
        <v>0</v>
      </c>
      <c r="G247">
        <f>6.65*$G$202</f>
        <v>0</v>
      </c>
      <c r="H247">
        <f>0*$H$202</f>
        <v>0</v>
      </c>
      <c r="I247">
        <f>3.912*$I$202</f>
        <v>0</v>
      </c>
      <c r="J247">
        <f>-183.481*$J$202</f>
        <v>0</v>
      </c>
      <c r="K247">
        <f>244.641*$K$202</f>
        <v>0</v>
      </c>
      <c r="L247">
        <f>46.702*$L$202</f>
        <v>0</v>
      </c>
      <c r="M247">
        <f>0+D247+E247+G247+H247+I247+J247+K247+L247</f>
        <v>0</v>
      </c>
      <c r="N247">
        <f>0+D247+F247+G247+H247+I247+J247+K247+L247</f>
        <v>0</v>
      </c>
    </row>
    <row r="248" spans="3:14">
      <c r="C248" t="s">
        <v>58</v>
      </c>
      <c r="D248">
        <f>-11.756*$D$202</f>
        <v>0</v>
      </c>
      <c r="E248">
        <f>17.893*$E$202</f>
        <v>0</v>
      </c>
      <c r="F248">
        <f>-34.188*$F$202</f>
        <v>0</v>
      </c>
      <c r="G248">
        <f>-0.989*$G$202</f>
        <v>0</v>
      </c>
      <c r="H248">
        <f>0*$H$202</f>
        <v>0</v>
      </c>
      <c r="I248">
        <f>-1.539*$I$202</f>
        <v>0</v>
      </c>
      <c r="J248">
        <f>16.781*$J$202</f>
        <v>0</v>
      </c>
      <c r="K248">
        <f>-22.374*$K$202</f>
        <v>0</v>
      </c>
      <c r="L248">
        <f>-12.252*$L$202</f>
        <v>0</v>
      </c>
      <c r="M248">
        <f>0+D248+E248+G248+H248+I248+J248+K248+L248</f>
        <v>0</v>
      </c>
      <c r="N248">
        <f>0+D248+F248+G248+H248+I248+J248+K248+L248</f>
        <v>0</v>
      </c>
    </row>
    <row r="249" spans="3:14">
      <c r="C249" t="s">
        <v>58</v>
      </c>
      <c r="D249">
        <f>9.417*$D$202</f>
        <v>0</v>
      </c>
      <c r="E249">
        <f>25.627*$E$202</f>
        <v>0</v>
      </c>
      <c r="F249">
        <f>-13.335*$F$202</f>
        <v>0</v>
      </c>
      <c r="G249">
        <f>0.965*$G$202</f>
        <v>0</v>
      </c>
      <c r="H249">
        <f>0*$H$202</f>
        <v>0</v>
      </c>
      <c r="I249">
        <f>1.186*$I$202</f>
        <v>0</v>
      </c>
      <c r="J249">
        <f>-11.689*$J$202</f>
        <v>0</v>
      </c>
      <c r="K249">
        <f>15.585*$K$202</f>
        <v>0</v>
      </c>
      <c r="L249">
        <f>28.14*$L$202</f>
        <v>0</v>
      </c>
      <c r="M249">
        <f>0+D249+E249+G249+H249+I249+J249+K249+L249</f>
        <v>0</v>
      </c>
      <c r="N249">
        <f>0+D249+F249+G249+H249+I249+J249+K249+L249</f>
        <v>0</v>
      </c>
    </row>
    <row r="250" spans="3:14">
      <c r="C250" t="s">
        <v>59</v>
      </c>
      <c r="D250">
        <f>9.417*$D$202</f>
        <v>0</v>
      </c>
      <c r="E250">
        <f>25.627*$E$202</f>
        <v>0</v>
      </c>
      <c r="F250">
        <f>-13.334*$F$202</f>
        <v>0</v>
      </c>
      <c r="G250">
        <f>0.965*$G$202</f>
        <v>0</v>
      </c>
      <c r="H250">
        <f>0*$H$202</f>
        <v>0</v>
      </c>
      <c r="I250">
        <f>1.186*$I$202</f>
        <v>0</v>
      </c>
      <c r="J250">
        <f>-11.689*$J$202</f>
        <v>0</v>
      </c>
      <c r="K250">
        <f>15.585*$K$202</f>
        <v>0</v>
      </c>
      <c r="L250">
        <f>28.14*$L$202</f>
        <v>0</v>
      </c>
      <c r="M250">
        <f>0+D250+E250+G250+H250+I250+J250+K250+L250</f>
        <v>0</v>
      </c>
      <c r="N250">
        <f>0+D250+F250+G250+H250+I250+J250+K250+L250</f>
        <v>0</v>
      </c>
    </row>
    <row r="251" spans="3:14">
      <c r="C251" t="s">
        <v>60</v>
      </c>
      <c r="D251">
        <f>-30.197*$D$202</f>
        <v>0</v>
      </c>
      <c r="E251">
        <f>19.17*$E$202</f>
        <v>0</v>
      </c>
      <c r="F251">
        <f>-45.502*$F$202</f>
        <v>0</v>
      </c>
      <c r="G251">
        <f>-3.782*$G$202</f>
        <v>0</v>
      </c>
      <c r="H251">
        <f>0*$H$202</f>
        <v>0</v>
      </c>
      <c r="I251">
        <f>-3.852*$I$202</f>
        <v>0</v>
      </c>
      <c r="J251">
        <f>178.451*$J$202</f>
        <v>0</v>
      </c>
      <c r="K251">
        <f>-237.934*$K$202</f>
        <v>0</v>
      </c>
      <c r="L251">
        <f>2.832*$L$202</f>
        <v>0</v>
      </c>
      <c r="M251">
        <f>0+D251+E251+G251+H251+I251+J251+K251+L251</f>
        <v>0</v>
      </c>
      <c r="N251">
        <f>0+D251+F251+G251+H251+I251+J251+K251+L251</f>
        <v>0</v>
      </c>
    </row>
    <row r="252" spans="3:14">
      <c r="C252" t="s">
        <v>61</v>
      </c>
      <c r="D252">
        <f>-9.626*$D$202</f>
        <v>0</v>
      </c>
      <c r="E252">
        <f>18.898*$E$202</f>
        <v>0</v>
      </c>
      <c r="F252">
        <f>-26.307*$F$202</f>
        <v>0</v>
      </c>
      <c r="G252">
        <f>1.08*$G$202</f>
        <v>0</v>
      </c>
      <c r="H252">
        <f>0*$H$202</f>
        <v>0</v>
      </c>
      <c r="I252">
        <f>-1.398*$I$202</f>
        <v>0</v>
      </c>
      <c r="J252">
        <f>106.983*$J$202</f>
        <v>0</v>
      </c>
      <c r="K252">
        <f>-142.644*$K$202</f>
        <v>0</v>
      </c>
      <c r="L252">
        <f>40.626*$L$202</f>
        <v>0</v>
      </c>
      <c r="M252">
        <f>0+D252+E252+G252+H252+I252+J252+K252+L252</f>
        <v>0</v>
      </c>
      <c r="N252">
        <f>0+D252+F252+G252+H252+I252+J252+K252+L252</f>
        <v>0</v>
      </c>
    </row>
    <row r="253" spans="3:14">
      <c r="C253" t="s">
        <v>62</v>
      </c>
      <c r="D253">
        <f>0.143*$D$202</f>
        <v>0</v>
      </c>
      <c r="E253">
        <f>24.795*$E$202</f>
        <v>0</v>
      </c>
      <c r="F253">
        <f>-29.974*$F$202</f>
        <v>0</v>
      </c>
      <c r="G253">
        <f>4.947*$G$202</f>
        <v>0</v>
      </c>
      <c r="H253">
        <f>0*$H$202</f>
        <v>0</v>
      </c>
      <c r="I253">
        <f>-0.337*$I$202</f>
        <v>0</v>
      </c>
      <c r="J253">
        <f>40.338*$J$202</f>
        <v>0</v>
      </c>
      <c r="K253">
        <f>-53.784*$K$202</f>
        <v>0</v>
      </c>
      <c r="L253">
        <f>54.793*$L$202</f>
        <v>0</v>
      </c>
      <c r="M253">
        <f>0+D253+E253+G253+H253+I253+J253+K253+L253</f>
        <v>0</v>
      </c>
      <c r="N253">
        <f>0+D253+F253+G253+H253+I253+J253+K253+L253</f>
        <v>0</v>
      </c>
    </row>
    <row r="254" spans="3:14">
      <c r="C254" t="s">
        <v>63</v>
      </c>
      <c r="D254">
        <f>5.728*$D$202</f>
        <v>0</v>
      </c>
      <c r="E254">
        <f>30.487*$E$202</f>
        <v>0</v>
      </c>
      <c r="F254">
        <f>-40.472*$F$202</f>
        <v>0</v>
      </c>
      <c r="G254">
        <f>7.458*$G$202</f>
        <v>0</v>
      </c>
      <c r="H254">
        <f>0*$H$202</f>
        <v>0</v>
      </c>
      <c r="I254">
        <f>0.223*$I$202</f>
        <v>0</v>
      </c>
      <c r="J254">
        <f>-14.203*$J$202</f>
        <v>0</v>
      </c>
      <c r="K254">
        <f>18.937*$K$202</f>
        <v>0</v>
      </c>
      <c r="L254">
        <f>62.734*$L$202</f>
        <v>0</v>
      </c>
      <c r="M254">
        <f>0+D254+E254+G254+H254+I254+J254+K254+L254</f>
        <v>0</v>
      </c>
      <c r="N254">
        <f>0+D254+F254+G254+H254+I254+J254+K254+L254</f>
        <v>0</v>
      </c>
    </row>
    <row r="255" spans="3:14">
      <c r="C255" t="s">
        <v>64</v>
      </c>
      <c r="D255">
        <f>9.601*$D$202</f>
        <v>0</v>
      </c>
      <c r="E255">
        <f>51.065*$E$202</f>
        <v>0</v>
      </c>
      <c r="F255">
        <f>-69.34*$F$202</f>
        <v>0</v>
      </c>
      <c r="G255">
        <f>9.346*$G$202</f>
        <v>0</v>
      </c>
      <c r="H255">
        <f>0*$H$202</f>
        <v>0</v>
      </c>
      <c r="I255">
        <f>0.545*$I$202</f>
        <v>0</v>
      </c>
      <c r="J255">
        <f>-57.229*$J$202</f>
        <v>0</v>
      </c>
      <c r="K255">
        <f>76.305*$K$202</f>
        <v>0</v>
      </c>
      <c r="L255">
        <f>77.945*$L$202</f>
        <v>0</v>
      </c>
      <c r="M255">
        <f>0+D255+E255+G255+H255+I255+J255+K255+L255</f>
        <v>0</v>
      </c>
      <c r="N255">
        <f>0+D255+F255+G255+H255+I255+J255+K255+L255</f>
        <v>0</v>
      </c>
    </row>
    <row r="256" spans="3:14">
      <c r="C256" t="s">
        <v>65</v>
      </c>
      <c r="D256">
        <f>1.6*$D$202</f>
        <v>0</v>
      </c>
      <c r="E256">
        <f>49.855*$E$202</f>
        <v>0</v>
      </c>
      <c r="F256">
        <f>-32.666*$F$202</f>
        <v>0</v>
      </c>
      <c r="G256">
        <f>-4.632*$G$202</f>
        <v>0</v>
      </c>
      <c r="H256">
        <f>0*$H$202</f>
        <v>0</v>
      </c>
      <c r="I256">
        <f>0.589*$I$202</f>
        <v>0</v>
      </c>
      <c r="J256">
        <f>86.788*$J$202</f>
        <v>0</v>
      </c>
      <c r="K256">
        <f>-115.718*$K$202</f>
        <v>0</v>
      </c>
      <c r="L256">
        <f>-55.976*$L$202</f>
        <v>0</v>
      </c>
      <c r="M256">
        <f>0+D256+E256+G256+H256+I256+J256+K256+L256</f>
        <v>0</v>
      </c>
      <c r="N256">
        <f>0+D256+F256+G256+H256+I256+J256+K256+L256</f>
        <v>0</v>
      </c>
    </row>
    <row r="257" spans="3:14">
      <c r="C257" t="s">
        <v>66</v>
      </c>
      <c r="D257">
        <f>2.223*$D$202</f>
        <v>0</v>
      </c>
      <c r="E257">
        <f>30.58*$E$202</f>
        <v>0</v>
      </c>
      <c r="F257">
        <f>-27.373*$F$202</f>
        <v>0</v>
      </c>
      <c r="G257">
        <f>-3.202*$G$202</f>
        <v>0</v>
      </c>
      <c r="H257">
        <f>0*$H$202</f>
        <v>0</v>
      </c>
      <c r="I257">
        <f>0.526*$I$202</f>
        <v>0</v>
      </c>
      <c r="J257">
        <f>22.476*$J$202</f>
        <v>0</v>
      </c>
      <c r="K257">
        <f>-29.969*$K$202</f>
        <v>0</v>
      </c>
      <c r="L257">
        <f>-50.692*$L$202</f>
        <v>0</v>
      </c>
      <c r="M257">
        <f>0+D257+E257+G257+H257+I257+J257+K257+L257</f>
        <v>0</v>
      </c>
      <c r="N257">
        <f>0+D257+F257+G257+H257+I257+J257+K257+L257</f>
        <v>0</v>
      </c>
    </row>
    <row r="258" spans="3:14">
      <c r="C258" t="s">
        <v>67</v>
      </c>
      <c r="D258">
        <f>1.66*$D$202</f>
        <v>0</v>
      </c>
      <c r="E258">
        <f>29.535*$E$202</f>
        <v>0</v>
      </c>
      <c r="F258">
        <f>-30.825*$F$202</f>
        <v>0</v>
      </c>
      <c r="G258">
        <f>-1.382*$G$202</f>
        <v>0</v>
      </c>
      <c r="H258">
        <f>0*$H$202</f>
        <v>0</v>
      </c>
      <c r="I258">
        <f>0.32*$I$202</f>
        <v>0</v>
      </c>
      <c r="J258">
        <f>-66.73*$J$202</f>
        <v>0</v>
      </c>
      <c r="K258">
        <f>88.973*$K$202</f>
        <v>0</v>
      </c>
      <c r="L258">
        <f>-51.325*$L$202</f>
        <v>0</v>
      </c>
      <c r="M258">
        <f>0+D258+E258+G258+H258+I258+J258+K258+L258</f>
        <v>0</v>
      </c>
      <c r="N258">
        <f>0+D258+F258+G258+H258+I258+J258+K258+L258</f>
        <v>0</v>
      </c>
    </row>
    <row r="259" spans="3:14">
      <c r="C259" t="s">
        <v>68</v>
      </c>
      <c r="D259">
        <f>1.314*$D$202</f>
        <v>0</v>
      </c>
      <c r="E259">
        <f>30.247*$E$202</f>
        <v>0</v>
      </c>
      <c r="F259">
        <f>-30.691*$F$202</f>
        <v>0</v>
      </c>
      <c r="G259">
        <f>0.294*$G$202</f>
        <v>0</v>
      </c>
      <c r="H259">
        <f>0*$H$202</f>
        <v>0</v>
      </c>
      <c r="I259">
        <f>0.147*$I$202</f>
        <v>0</v>
      </c>
      <c r="J259">
        <f>-168.907*$J$202</f>
        <v>0</v>
      </c>
      <c r="K259">
        <f>225.21*$K$202</f>
        <v>0</v>
      </c>
      <c r="L259">
        <f>-44.18*$L$202</f>
        <v>0</v>
      </c>
      <c r="M259">
        <f>0+D259+E259+G259+H259+I259+J259+K259+L259</f>
        <v>0</v>
      </c>
      <c r="N259">
        <f>0+D259+F259+G259+H259+I259+J259+K259+L259</f>
        <v>0</v>
      </c>
    </row>
    <row r="260" spans="3:14">
      <c r="C260" t="s">
        <v>69</v>
      </c>
      <c r="D260">
        <f>2.135*$D$202</f>
        <v>0</v>
      </c>
      <c r="E260">
        <f>48.635*$E$202</f>
        <v>0</v>
      </c>
      <c r="F260">
        <f>-40.917*$F$202</f>
        <v>0</v>
      </c>
      <c r="G260">
        <f>-1.408*$G$202</f>
        <v>0</v>
      </c>
      <c r="H260">
        <f>0*$H$202</f>
        <v>0</v>
      </c>
      <c r="I260">
        <f>0.234*$I$202</f>
        <v>0</v>
      </c>
      <c r="J260">
        <f>-290.103*$J$202</f>
        <v>0</v>
      </c>
      <c r="K260">
        <f>386.804*$K$202</f>
        <v>0</v>
      </c>
      <c r="L260">
        <f>-16.436*$L$202</f>
        <v>0</v>
      </c>
      <c r="M260">
        <f>0+D260+E260+G260+H260+I260+J260+K260+L260</f>
        <v>0</v>
      </c>
      <c r="N260">
        <f>0+D260+F260+G260+H260+I260+J260+K260+L260</f>
        <v>0</v>
      </c>
    </row>
    <row r="265" spans="3:14">
      <c r="C265" t="s">
        <v>73</v>
      </c>
    </row>
    <row r="267" spans="3:14">
      <c r="C267" t="s">
        <v>2</v>
      </c>
    </row>
    <row r="268" spans="3:14">
      <c r="C268" t="s">
        <v>3</v>
      </c>
      <c r="D268" t="s">
        <v>4</v>
      </c>
      <c r="E268" t="s">
        <v>5</v>
      </c>
      <c r="F268" t="s">
        <v>6</v>
      </c>
      <c r="G268" t="s">
        <v>7</v>
      </c>
      <c r="H268" t="s">
        <v>8</v>
      </c>
      <c r="I268" t="s">
        <v>9</v>
      </c>
      <c r="J268" t="s">
        <v>10</v>
      </c>
      <c r="K268" t="s">
        <v>11</v>
      </c>
      <c r="L268" t="s">
        <v>12</v>
      </c>
      <c r="M268" t="s">
        <v>13</v>
      </c>
      <c r="N268" t="s">
        <v>14</v>
      </c>
    </row>
    <row r="269" spans="3:14">
      <c r="C269" t="s">
        <v>78</v>
      </c>
      <c r="D269">
        <f>-48.223*$D$267</f>
        <v>0</v>
      </c>
      <c r="E269">
        <f>164.467*$E$267</f>
        <v>0</v>
      </c>
      <c r="F269">
        <f>-252.771*$F$267</f>
        <v>0</v>
      </c>
      <c r="G269">
        <f>22.498*$G$267</f>
        <v>0</v>
      </c>
      <c r="H269">
        <f>0*$H$267</f>
        <v>0</v>
      </c>
      <c r="I269">
        <f>-8.831*$I$267</f>
        <v>0</v>
      </c>
      <c r="J269">
        <f>91.81*$J$267</f>
        <v>0</v>
      </c>
      <c r="K269">
        <f>-122.413*$K$267</f>
        <v>0</v>
      </c>
      <c r="L269">
        <f>0.06*$L$267</f>
        <v>0</v>
      </c>
      <c r="M269">
        <f>0+D269+E269+G269+H269+I269+J269+K269+L269</f>
        <v>0</v>
      </c>
      <c r="N269">
        <f>0+D269+F269+G269+H269+I269+J269+K269+L269</f>
        <v>0</v>
      </c>
    </row>
    <row r="270" spans="3:14">
      <c r="C270" t="s">
        <v>16</v>
      </c>
      <c r="D270">
        <f>-50.455*$D$267</f>
        <v>0</v>
      </c>
      <c r="E270">
        <f>160.907*$E$267</f>
        <v>0</v>
      </c>
      <c r="F270">
        <f>-251.649*$F$267</f>
        <v>0</v>
      </c>
      <c r="G270">
        <f>21.354*$G$267</f>
        <v>0</v>
      </c>
      <c r="H270">
        <f>0*$H$267</f>
        <v>0</v>
      </c>
      <c r="I270">
        <f>-9.078*$I$267</f>
        <v>0</v>
      </c>
      <c r="J270">
        <f>38.733*$J$267</f>
        <v>0</v>
      </c>
      <c r="K270">
        <f>-51.644*$K$267</f>
        <v>0</v>
      </c>
      <c r="L270">
        <f>0.058*$L$267</f>
        <v>0</v>
      </c>
      <c r="M270">
        <f>0+D270+E270+G270+H270+I270+J270+K270+L270</f>
        <v>0</v>
      </c>
      <c r="N270">
        <f>0+D270+F270+G270+H270+I270+J270+K270+L270</f>
        <v>0</v>
      </c>
    </row>
    <row r="271" spans="3:14">
      <c r="C271" t="s">
        <v>17</v>
      </c>
      <c r="D271">
        <f>-94.166*$D$267</f>
        <v>0</v>
      </c>
      <c r="E271">
        <f>127.509*$E$267</f>
        <v>0</v>
      </c>
      <c r="F271">
        <f>-283.877*$F$267</f>
        <v>0</v>
      </c>
      <c r="G271">
        <f>13.798*$G$267</f>
        <v>0</v>
      </c>
      <c r="H271">
        <f>0*$H$267</f>
        <v>0</v>
      </c>
      <c r="I271">
        <f>-15.108*$I$267</f>
        <v>0</v>
      </c>
      <c r="J271">
        <f>-108.361*$J$267</f>
        <v>0</v>
      </c>
      <c r="K271">
        <f>144.481*$K$267</f>
        <v>0</v>
      </c>
      <c r="L271">
        <f>0.054*$L$267</f>
        <v>0</v>
      </c>
      <c r="M271">
        <f>0+D271+E271+G271+H271+I271+J271+K271+L271</f>
        <v>0</v>
      </c>
      <c r="N271">
        <f>0+D271+F271+G271+H271+I271+J271+K271+L271</f>
        <v>0</v>
      </c>
    </row>
    <row r="272" spans="3:14">
      <c r="C272" t="s">
        <v>18</v>
      </c>
      <c r="D272">
        <f>-143.742*$D$267</f>
        <v>0</v>
      </c>
      <c r="E272">
        <f>99.435*$E$267</f>
        <v>0</v>
      </c>
      <c r="F272">
        <f>-323.073*$F$267</f>
        <v>0</v>
      </c>
      <c r="G272">
        <f>3.5*$G$267</f>
        <v>0</v>
      </c>
      <c r="H272">
        <f>0*$H$267</f>
        <v>0</v>
      </c>
      <c r="I272">
        <f>-21.839*$I$267</f>
        <v>0</v>
      </c>
      <c r="J272">
        <f>-175.19*$J$267</f>
        <v>0</v>
      </c>
      <c r="K272">
        <f>233.587*$K$267</f>
        <v>0</v>
      </c>
      <c r="L272">
        <f>0.05*$L$267</f>
        <v>0</v>
      </c>
      <c r="M272">
        <f>0+D272+E272+G272+H272+I272+J272+K272+L272</f>
        <v>0</v>
      </c>
      <c r="N272">
        <f>0+D272+F272+G272+H272+I272+J272+K272+L272</f>
        <v>0</v>
      </c>
    </row>
    <row r="273" spans="3:14">
      <c r="C273" t="s">
        <v>19</v>
      </c>
      <c r="D273">
        <f>-201.493*$D$267</f>
        <v>0</v>
      </c>
      <c r="E273">
        <f>71.873*$E$267</f>
        <v>0</v>
      </c>
      <c r="F273">
        <f>-368.06*$F$267</f>
        <v>0</v>
      </c>
      <c r="G273">
        <f>-9.596*$G$267</f>
        <v>0</v>
      </c>
      <c r="H273">
        <f>0*$H$267</f>
        <v>0</v>
      </c>
      <c r="I273">
        <f>-29.564*$I$267</f>
        <v>0</v>
      </c>
      <c r="J273">
        <f>-171.893*$J$267</f>
        <v>0</v>
      </c>
      <c r="K273">
        <f>229.191*$K$267</f>
        <v>0</v>
      </c>
      <c r="L273">
        <f>0.048*$L$267</f>
        <v>0</v>
      </c>
      <c r="M273">
        <f>0+D273+E273+G273+H273+I273+J273+K273+L273</f>
        <v>0</v>
      </c>
      <c r="N273">
        <f>0+D273+F273+G273+H273+I273+J273+K273+L273</f>
        <v>0</v>
      </c>
    </row>
    <row r="274" spans="3:14">
      <c r="C274" t="s">
        <v>20</v>
      </c>
      <c r="D274">
        <f>-257.842*$D$267</f>
        <v>0</v>
      </c>
      <c r="E274">
        <f>48.794*$E$267</f>
        <v>0</v>
      </c>
      <c r="F274">
        <f>-411.083*$F$267</f>
        <v>0</v>
      </c>
      <c r="G274">
        <f>-22.214*$G$267</f>
        <v>0</v>
      </c>
      <c r="H274">
        <f>0*$H$267</f>
        <v>0</v>
      </c>
      <c r="I274">
        <f>-37.069*$I$267</f>
        <v>0</v>
      </c>
      <c r="J274">
        <f>-156.885*$J$267</f>
        <v>0</v>
      </c>
      <c r="K274">
        <f>209.18*$K$267</f>
        <v>0</v>
      </c>
      <c r="L274">
        <f>0.045*$L$267</f>
        <v>0</v>
      </c>
      <c r="M274">
        <f>0+D274+E274+G274+H274+I274+J274+K274+L274</f>
        <v>0</v>
      </c>
      <c r="N274">
        <f>0+D274+F274+G274+H274+I274+J274+K274+L274</f>
        <v>0</v>
      </c>
    </row>
    <row r="275" spans="3:14">
      <c r="C275" t="s">
        <v>21</v>
      </c>
      <c r="D275">
        <f>-291.858*$D$267</f>
        <v>0</v>
      </c>
      <c r="E275">
        <f>38.884*$E$267</f>
        <v>0</v>
      </c>
      <c r="F275">
        <f>-443.915*$F$267</f>
        <v>0</v>
      </c>
      <c r="G275">
        <f>-27.69*$G$267</f>
        <v>0</v>
      </c>
      <c r="H275">
        <f>0*$H$267</f>
        <v>0</v>
      </c>
      <c r="I275">
        <f>-41.829*$I$267</f>
        <v>0</v>
      </c>
      <c r="J275">
        <f>-174.943*$J$267</f>
        <v>0</v>
      </c>
      <c r="K275">
        <f>233.257*$K$267</f>
        <v>0</v>
      </c>
      <c r="L275">
        <f>0.042*$L$267</f>
        <v>0</v>
      </c>
      <c r="M275">
        <f>0+D275+E275+G275+H275+I275+J275+K275+L275</f>
        <v>0</v>
      </c>
      <c r="N275">
        <f>0+D275+F275+G275+H275+I275+J275+K275+L275</f>
        <v>0</v>
      </c>
    </row>
    <row r="276" spans="3:14">
      <c r="C276" t="s">
        <v>22</v>
      </c>
      <c r="D276">
        <f>-324.389*$D$267</f>
        <v>0</v>
      </c>
      <c r="E276">
        <f>32.842*$E$267</f>
        <v>0</v>
      </c>
      <c r="F276">
        <f>-483.886*$F$267</f>
        <v>0</v>
      </c>
      <c r="G276">
        <f>-30.53*$G$267</f>
        <v>0</v>
      </c>
      <c r="H276">
        <f>0*$H$267</f>
        <v>0</v>
      </c>
      <c r="I276">
        <f>-46.567*$I$267</f>
        <v>0</v>
      </c>
      <c r="J276">
        <f>-223.567*$J$267</f>
        <v>0</v>
      </c>
      <c r="K276">
        <f>298.089*$K$267</f>
        <v>0</v>
      </c>
      <c r="L276">
        <f>0.04*$L$267</f>
        <v>0</v>
      </c>
      <c r="M276">
        <f>0+D276+E276+G276+H276+I276+J276+K276+L276</f>
        <v>0</v>
      </c>
      <c r="N276">
        <f>0+D276+F276+G276+H276+I276+J276+K276+L276</f>
        <v>0</v>
      </c>
    </row>
    <row r="277" spans="3:14">
      <c r="C277" t="s">
        <v>23</v>
      </c>
      <c r="D277">
        <f>-351.676*$D$267</f>
        <v>0</v>
      </c>
      <c r="E277">
        <f>30.319*$E$267</f>
        <v>0</v>
      </c>
      <c r="F277">
        <f>-513.108*$F$267</f>
        <v>0</v>
      </c>
      <c r="G277">
        <f>-34.972*$G$267</f>
        <v>0</v>
      </c>
      <c r="H277">
        <f>0*$H$267</f>
        <v>0</v>
      </c>
      <c r="I277">
        <f>-50.414*$I$267</f>
        <v>0</v>
      </c>
      <c r="J277">
        <f>-243.458*$J$267</f>
        <v>0</v>
      </c>
      <c r="K277">
        <f>324.611*$K$267</f>
        <v>0</v>
      </c>
      <c r="L277">
        <f>0.038*$L$267</f>
        <v>0</v>
      </c>
      <c r="M277">
        <f>0+D277+E277+G277+H277+I277+J277+K277+L277</f>
        <v>0</v>
      </c>
      <c r="N277">
        <f>0+D277+F277+G277+H277+I277+J277+K277+L277</f>
        <v>0</v>
      </c>
    </row>
    <row r="278" spans="3:14">
      <c r="C278" t="s">
        <v>24</v>
      </c>
      <c r="D278">
        <f>-358.413*$D$267</f>
        <v>0</v>
      </c>
      <c r="E278">
        <f>24.882*$E$267</f>
        <v>0</v>
      </c>
      <c r="F278">
        <f>-510.491*$F$267</f>
        <v>0</v>
      </c>
      <c r="G278">
        <f>-40.916*$G$267</f>
        <v>0</v>
      </c>
      <c r="H278">
        <f>0*$H$267</f>
        <v>0</v>
      </c>
      <c r="I278">
        <f>-50.998*$I$267</f>
        <v>0</v>
      </c>
      <c r="J278">
        <f>-232.309*$J$267</f>
        <v>0</v>
      </c>
      <c r="K278">
        <f>309.745*$K$267</f>
        <v>0</v>
      </c>
      <c r="L278">
        <f>0.037*$L$267</f>
        <v>0</v>
      </c>
      <c r="M278">
        <f>0+D278+E278+G278+H278+I278+J278+K278+L278</f>
        <v>0</v>
      </c>
      <c r="N278">
        <f>0+D278+F278+G278+H278+I278+J278+K278+L278</f>
        <v>0</v>
      </c>
    </row>
    <row r="279" spans="3:14">
      <c r="C279" t="s">
        <v>25</v>
      </c>
      <c r="D279">
        <f>-359.359*$D$267</f>
        <v>0</v>
      </c>
      <c r="E279">
        <f>23.946*$E$267</f>
        <v>0</v>
      </c>
      <c r="F279">
        <f>-505.942*$F$267</f>
        <v>0</v>
      </c>
      <c r="G279">
        <f>-45.753*$G$267</f>
        <v>0</v>
      </c>
      <c r="H279">
        <f>0*$H$267</f>
        <v>0</v>
      </c>
      <c r="I279">
        <f>-50.789*$I$267</f>
        <v>0</v>
      </c>
      <c r="J279">
        <f>-216.958*$J$267</f>
        <v>0</v>
      </c>
      <c r="K279">
        <f>289.277*$K$267</f>
        <v>0</v>
      </c>
      <c r="L279">
        <f>0.036*$L$267</f>
        <v>0</v>
      </c>
      <c r="M279">
        <f>0+D279+E279+G279+H279+I279+J279+K279+L279</f>
        <v>0</v>
      </c>
      <c r="N279">
        <f>0+D279+F279+G279+H279+I279+J279+K279+L279</f>
        <v>0</v>
      </c>
    </row>
    <row r="280" spans="3:14">
      <c r="C280" t="s">
        <v>26</v>
      </c>
      <c r="D280">
        <f>-352.592*$D$267</f>
        <v>0</v>
      </c>
      <c r="E280">
        <f>26.406*$E$267</f>
        <v>0</v>
      </c>
      <c r="F280">
        <f>-497.406*$F$267</f>
        <v>0</v>
      </c>
      <c r="G280">
        <f>-44.199*$G$267</f>
        <v>0</v>
      </c>
      <c r="H280">
        <f>0*$H$267</f>
        <v>0</v>
      </c>
      <c r="I280">
        <f>-49.918*$I$267</f>
        <v>0</v>
      </c>
      <c r="J280">
        <f>-227.559*$J$267</f>
        <v>0</v>
      </c>
      <c r="K280">
        <f>303.412*$K$267</f>
        <v>0</v>
      </c>
      <c r="L280">
        <f>0.035*$L$267</f>
        <v>0</v>
      </c>
      <c r="M280">
        <f>0+D280+E280+G280+H280+I280+J280+K280+L280</f>
        <v>0</v>
      </c>
      <c r="N280">
        <f>0+D280+F280+G280+H280+I280+J280+K280+L280</f>
        <v>0</v>
      </c>
    </row>
    <row r="281" spans="3:14">
      <c r="C281" t="s">
        <v>27</v>
      </c>
      <c r="D281">
        <f>-339.241*$D$267</f>
        <v>0</v>
      </c>
      <c r="E281">
        <f>28.779*$E$267</f>
        <v>0</v>
      </c>
      <c r="F281">
        <f>-485.781*$F$267</f>
        <v>0</v>
      </c>
      <c r="G281">
        <f>-38.315*$G$267</f>
        <v>0</v>
      </c>
      <c r="H281">
        <f>0*$H$267</f>
        <v>0</v>
      </c>
      <c r="I281">
        <f>-48.396*$I$267</f>
        <v>0</v>
      </c>
      <c r="J281">
        <f>-257.694*$J$267</f>
        <v>0</v>
      </c>
      <c r="K281">
        <f>343.592*$K$267</f>
        <v>0</v>
      </c>
      <c r="L281">
        <f>0.034*$L$267</f>
        <v>0</v>
      </c>
      <c r="M281">
        <f>0+D281+E281+G281+H281+I281+J281+K281+L281</f>
        <v>0</v>
      </c>
      <c r="N281">
        <f>0+D281+F281+G281+H281+I281+J281+K281+L281</f>
        <v>0</v>
      </c>
    </row>
    <row r="282" spans="3:14">
      <c r="C282" t="s">
        <v>28</v>
      </c>
      <c r="D282">
        <f>-319.006*$D$267</f>
        <v>0</v>
      </c>
      <c r="E282">
        <f>32.579*$E$267</f>
        <v>0</v>
      </c>
      <c r="F282">
        <f>-464.515*$F$267</f>
        <v>0</v>
      </c>
      <c r="G282">
        <f>-34.798*$G$267</f>
        <v>0</v>
      </c>
      <c r="H282">
        <f>0*$H$267</f>
        <v>0</v>
      </c>
      <c r="I282">
        <f>-45.674*$I$267</f>
        <v>0</v>
      </c>
      <c r="J282">
        <f>-267.517*$J$267</f>
        <v>0</v>
      </c>
      <c r="K282">
        <f>356.689*$K$267</f>
        <v>0</v>
      </c>
      <c r="L282">
        <f>0.034*$L$267</f>
        <v>0</v>
      </c>
      <c r="M282">
        <f>0+D282+E282+G282+H282+I282+J282+K282+L282</f>
        <v>0</v>
      </c>
      <c r="N282">
        <f>0+D282+F282+G282+H282+I282+J282+K282+L282</f>
        <v>0</v>
      </c>
    </row>
    <row r="283" spans="3:14">
      <c r="C283" t="s">
        <v>29</v>
      </c>
      <c r="D283">
        <f>-279.865*$D$267</f>
        <v>0</v>
      </c>
      <c r="E283">
        <f>34.026*$E$267</f>
        <v>0</v>
      </c>
      <c r="F283">
        <f>-408.485*$F$267</f>
        <v>0</v>
      </c>
      <c r="G283">
        <f>-33.351*$G$267</f>
        <v>0</v>
      </c>
      <c r="H283">
        <f>0*$H$267</f>
        <v>0</v>
      </c>
      <c r="I283">
        <f>-39.868*$I$267</f>
        <v>0</v>
      </c>
      <c r="J283">
        <f>-250.953*$J$267</f>
        <v>0</v>
      </c>
      <c r="K283">
        <f>334.604*$K$267</f>
        <v>0</v>
      </c>
      <c r="L283">
        <f>0.035*$L$267</f>
        <v>0</v>
      </c>
      <c r="M283">
        <f>0+D283+E283+G283+H283+I283+J283+K283+L283</f>
        <v>0</v>
      </c>
      <c r="N283">
        <f>0+D283+F283+G283+H283+I283+J283+K283+L283</f>
        <v>0</v>
      </c>
    </row>
    <row r="284" spans="3:14">
      <c r="C284" t="s">
        <v>30</v>
      </c>
      <c r="D284">
        <f>-239.583*$D$267</f>
        <v>0</v>
      </c>
      <c r="E284">
        <f>34.821*$E$267</f>
        <v>0</v>
      </c>
      <c r="F284">
        <f>-345.85*$F$267</f>
        <v>0</v>
      </c>
      <c r="G284">
        <f>-31.57*$G$267</f>
        <v>0</v>
      </c>
      <c r="H284">
        <f>0*$H$267</f>
        <v>0</v>
      </c>
      <c r="I284">
        <f>-33.91*$I$267</f>
        <v>0</v>
      </c>
      <c r="J284">
        <f>-232.258*$J$267</f>
        <v>0</v>
      </c>
      <c r="K284">
        <f>309.677*$K$267</f>
        <v>0</v>
      </c>
      <c r="L284">
        <f>0.034*$L$267</f>
        <v>0</v>
      </c>
      <c r="M284">
        <f>0+D284+E284+G284+H284+I284+J284+K284+L284</f>
        <v>0</v>
      </c>
      <c r="N284">
        <f>0+D284+F284+G284+H284+I284+J284+K284+L284</f>
        <v>0</v>
      </c>
    </row>
    <row r="285" spans="3:14">
      <c r="C285" t="s">
        <v>31</v>
      </c>
      <c r="D285">
        <f>-198.081*$D$267</f>
        <v>0</v>
      </c>
      <c r="E285">
        <f>37.729*$E$267</f>
        <v>0</v>
      </c>
      <c r="F285">
        <f>-289.88*$F$267</f>
        <v>0</v>
      </c>
      <c r="G285">
        <f>-26.023*$G$267</f>
        <v>0</v>
      </c>
      <c r="H285">
        <f>0*$H$267</f>
        <v>0</v>
      </c>
      <c r="I285">
        <f>-28.101*$I$267</f>
        <v>0</v>
      </c>
      <c r="J285">
        <f>-245.01*$J$267</f>
        <v>0</v>
      </c>
      <c r="K285">
        <f>326.68*$K$267</f>
        <v>0</v>
      </c>
      <c r="L285">
        <f>0.033*$L$267</f>
        <v>0</v>
      </c>
      <c r="M285">
        <f>0+D285+E285+G285+H285+I285+J285+K285+L285</f>
        <v>0</v>
      </c>
      <c r="N285">
        <f>0+D285+F285+G285+H285+I285+J285+K285+L285</f>
        <v>0</v>
      </c>
    </row>
    <row r="286" spans="3:14">
      <c r="C286" t="s">
        <v>32</v>
      </c>
      <c r="D286">
        <f>-136.52*$D$267</f>
        <v>0</v>
      </c>
      <c r="E286">
        <f>39.434*$E$267</f>
        <v>0</v>
      </c>
      <c r="F286">
        <f>-213.471*$F$267</f>
        <v>0</v>
      </c>
      <c r="G286">
        <f>-14.866*$G$267</f>
        <v>0</v>
      </c>
      <c r="H286">
        <f>0*$H$267</f>
        <v>0</v>
      </c>
      <c r="I286">
        <f>-19.765*$I$267</f>
        <v>0</v>
      </c>
      <c r="J286">
        <f>-274.603*$J$267</f>
        <v>0</v>
      </c>
      <c r="K286">
        <f>366.138*$K$267</f>
        <v>0</v>
      </c>
      <c r="L286">
        <f>0.03*$L$267</f>
        <v>0</v>
      </c>
      <c r="M286">
        <f>0+D286+E286+G286+H286+I286+J286+K286+L286</f>
        <v>0</v>
      </c>
      <c r="N286">
        <f>0+D286+F286+G286+H286+I286+J286+K286+L286</f>
        <v>0</v>
      </c>
    </row>
    <row r="287" spans="3:14">
      <c r="C287" t="s">
        <v>33</v>
      </c>
      <c r="D287">
        <f>-89.168*$D$267</f>
        <v>0</v>
      </c>
      <c r="E287">
        <f>35.741*$E$267</f>
        <v>0</v>
      </c>
      <c r="F287">
        <f>-148.083*$F$267</f>
        <v>0</v>
      </c>
      <c r="G287">
        <f>-7.232*$G$267</f>
        <v>0</v>
      </c>
      <c r="H287">
        <f>0*$H$267</f>
        <v>0</v>
      </c>
      <c r="I287">
        <f>-13.207*$I$267</f>
        <v>0</v>
      </c>
      <c r="J287">
        <f>-275.888*$J$267</f>
        <v>0</v>
      </c>
      <c r="K287">
        <f>367.851*$K$267</f>
        <v>0</v>
      </c>
      <c r="L287">
        <f>0.025*$L$267</f>
        <v>0</v>
      </c>
      <c r="M287">
        <f>0+D287+E287+G287+H287+I287+J287+K287+L287</f>
        <v>0</v>
      </c>
      <c r="N287">
        <f>0+D287+F287+G287+H287+I287+J287+K287+L287</f>
        <v>0</v>
      </c>
    </row>
    <row r="288" spans="3:14">
      <c r="C288" t="s">
        <v>34</v>
      </c>
      <c r="D288">
        <f>-57*$D$267</f>
        <v>0</v>
      </c>
      <c r="E288">
        <f>24.121*$E$267</f>
        <v>0</v>
      </c>
      <c r="F288">
        <f>-97.983*$F$267</f>
        <v>0</v>
      </c>
      <c r="G288">
        <f>-3.534*$G$267</f>
        <v>0</v>
      </c>
      <c r="H288">
        <f>0*$H$267</f>
        <v>0</v>
      </c>
      <c r="I288">
        <f>-8.561*$I$267</f>
        <v>0</v>
      </c>
      <c r="J288">
        <f>-233.431*$J$267</f>
        <v>0</v>
      </c>
      <c r="K288">
        <f>311.242*$K$267</f>
        <v>0</v>
      </c>
      <c r="L288">
        <f>0.015*$L$267</f>
        <v>0</v>
      </c>
      <c r="M288">
        <f>0+D288+E288+G288+H288+I288+J288+K288+L288</f>
        <v>0</v>
      </c>
      <c r="N288">
        <f>0+D288+F288+G288+H288+I288+J288+K288+L288</f>
        <v>0</v>
      </c>
    </row>
    <row r="289" spans="3:14">
      <c r="C289" t="s">
        <v>35</v>
      </c>
      <c r="D289">
        <f>-13.325*$D$267</f>
        <v>0</v>
      </c>
      <c r="E289">
        <f>12.929*$E$267</f>
        <v>0</v>
      </c>
      <c r="F289">
        <f>-28.233*$F$267</f>
        <v>0</v>
      </c>
      <c r="G289">
        <f>-0.072*$G$267</f>
        <v>0</v>
      </c>
      <c r="H289">
        <f>0*$H$267</f>
        <v>0</v>
      </c>
      <c r="I289">
        <f>-2.084*$I$267</f>
        <v>0</v>
      </c>
      <c r="J289">
        <f>-175.718*$J$267</f>
        <v>0</v>
      </c>
      <c r="K289">
        <f>234.291*$K$267</f>
        <v>0</v>
      </c>
      <c r="L289">
        <f>0.003657*$L$267</f>
        <v>0</v>
      </c>
      <c r="M289">
        <f>0+D289+E289+G289+H289+I289+J289+K289+L289</f>
        <v>0</v>
      </c>
      <c r="N289">
        <f>0+D289+F289+G289+H289+I289+J289+K289+L289</f>
        <v>0</v>
      </c>
    </row>
    <row r="290" spans="3:14">
      <c r="C290" t="s">
        <v>36</v>
      </c>
      <c r="D290">
        <f>-14.273*$D$267</f>
        <v>0</v>
      </c>
      <c r="E290">
        <f>8.909*$E$267</f>
        <v>0</v>
      </c>
      <c r="F290">
        <f>-24.055*$F$267</f>
        <v>0</v>
      </c>
      <c r="G290">
        <f>-1.182*$G$267</f>
        <v>0</v>
      </c>
      <c r="H290">
        <f>0*$H$267</f>
        <v>0</v>
      </c>
      <c r="I290">
        <f>-2.11*$I$267</f>
        <v>0</v>
      </c>
      <c r="J290">
        <f>-153.088*$J$267</f>
        <v>0</v>
      </c>
      <c r="K290">
        <f>204.117*$K$267</f>
        <v>0</v>
      </c>
      <c r="L290">
        <f>0.0006652*$L$267</f>
        <v>0</v>
      </c>
      <c r="M290">
        <f>0+D290+E290+G290+H290+I290+J290+K290+L290</f>
        <v>0</v>
      </c>
      <c r="N290">
        <f>0+D290+F290+G290+H290+I290+J290+K290+L290</f>
        <v>0</v>
      </c>
    </row>
    <row r="291" spans="3:14">
      <c r="C291" t="s">
        <v>36</v>
      </c>
      <c r="D291">
        <f>-11.755*$D$267</f>
        <v>0</v>
      </c>
      <c r="E291">
        <f>4.595*$E$267</f>
        <v>0</v>
      </c>
      <c r="F291">
        <f>-23.872*$F$267</f>
        <v>0</v>
      </c>
      <c r="G291">
        <f>-1.388*$G$267</f>
        <v>0</v>
      </c>
      <c r="H291">
        <f>0*$H$267</f>
        <v>0</v>
      </c>
      <c r="I291">
        <f>-1.733*$I$267</f>
        <v>0</v>
      </c>
      <c r="J291">
        <f>-156.198*$J$267</f>
        <v>0</v>
      </c>
      <c r="K291">
        <f>208.264*$K$267</f>
        <v>0</v>
      </c>
      <c r="L291">
        <f>-0.222*$L$267</f>
        <v>0</v>
      </c>
      <c r="M291">
        <f>0+D291+E291+G291+H291+I291+J291+K291+L291</f>
        <v>0</v>
      </c>
      <c r="N291">
        <f>0+D291+F291+G291+H291+I291+J291+K291+L291</f>
        <v>0</v>
      </c>
    </row>
    <row r="292" spans="3:14">
      <c r="C292" t="s">
        <v>37</v>
      </c>
      <c r="D292">
        <f>-11.755*$D$267</f>
        <v>0</v>
      </c>
      <c r="E292">
        <f>4.595*$E$267</f>
        <v>0</v>
      </c>
      <c r="F292">
        <f>-23.872*$F$267</f>
        <v>0</v>
      </c>
      <c r="G292">
        <f>-1.388*$G$267</f>
        <v>0</v>
      </c>
      <c r="H292">
        <f>0*$H$267</f>
        <v>0</v>
      </c>
      <c r="I292">
        <f>-1.733*$I$267</f>
        <v>0</v>
      </c>
      <c r="J292">
        <f>-156.198*$J$267</f>
        <v>0</v>
      </c>
      <c r="K292">
        <f>208.264*$K$267</f>
        <v>0</v>
      </c>
      <c r="L292">
        <f>-0.222*$L$267</f>
        <v>0</v>
      </c>
      <c r="M292">
        <f>0+D292+E292+G292+H292+I292+J292+K292+L292</f>
        <v>0</v>
      </c>
      <c r="N292">
        <f>0+D292+F292+G292+H292+I292+J292+K292+L292</f>
        <v>0</v>
      </c>
    </row>
    <row r="293" spans="3:14">
      <c r="C293" t="s">
        <v>38</v>
      </c>
      <c r="D293">
        <f>-27.197*$D$267</f>
        <v>0</v>
      </c>
      <c r="E293">
        <f>53.123*$E$267</f>
        <v>0</v>
      </c>
      <c r="F293">
        <f>-92.942*$F$267</f>
        <v>0</v>
      </c>
      <c r="G293">
        <f>2.892*$G$267</f>
        <v>0</v>
      </c>
      <c r="H293">
        <f>0*$H$267</f>
        <v>0</v>
      </c>
      <c r="I293">
        <f>-4.312*$I$267</f>
        <v>0</v>
      </c>
      <c r="J293">
        <f>-176.001*$J$267</f>
        <v>0</v>
      </c>
      <c r="K293">
        <f>234.668*$K$267</f>
        <v>0</v>
      </c>
      <c r="L293">
        <f>1.864*$L$267</f>
        <v>0</v>
      </c>
      <c r="M293">
        <f>0+D293+E293+G293+H293+I293+J293+K293+L293</f>
        <v>0</v>
      </c>
      <c r="N293">
        <f>0+D293+F293+G293+H293+I293+J293+K293+L293</f>
        <v>0</v>
      </c>
    </row>
    <row r="294" spans="3:14">
      <c r="C294" t="s">
        <v>39</v>
      </c>
      <c r="D294">
        <f>-70.24*$D$267</f>
        <v>0</v>
      </c>
      <c r="E294">
        <f>32.21*$E$267</f>
        <v>0</v>
      </c>
      <c r="F294">
        <f>-134.914*$F$267</f>
        <v>0</v>
      </c>
      <c r="G294">
        <f>-1.152*$G$267</f>
        <v>0</v>
      </c>
      <c r="H294">
        <f>0*$H$267</f>
        <v>0</v>
      </c>
      <c r="I294">
        <f>-10.676*$I$267</f>
        <v>0</v>
      </c>
      <c r="J294">
        <f>-237.27*$J$267</f>
        <v>0</v>
      </c>
      <c r="K294">
        <f>316.36*$K$267</f>
        <v>0</v>
      </c>
      <c r="L294">
        <f>1.835*$L$267</f>
        <v>0</v>
      </c>
      <c r="M294">
        <f>0+D294+E294+G294+H294+I294+J294+K294+L294</f>
        <v>0</v>
      </c>
      <c r="N294">
        <f>0+D294+F294+G294+H294+I294+J294+K294+L294</f>
        <v>0</v>
      </c>
    </row>
    <row r="295" spans="3:14">
      <c r="C295" t="s">
        <v>40</v>
      </c>
      <c r="D295">
        <f>-104.474*$D$267</f>
        <v>0</v>
      </c>
      <c r="E295">
        <f>29.678*$E$267</f>
        <v>0</v>
      </c>
      <c r="F295">
        <f>-171.208*$F$267</f>
        <v>0</v>
      </c>
      <c r="G295">
        <f>-6.803*$G$267</f>
        <v>0</v>
      </c>
      <c r="H295">
        <f>0*$H$267</f>
        <v>0</v>
      </c>
      <c r="I295">
        <f>-15.475*$I$267</f>
        <v>0</v>
      </c>
      <c r="J295">
        <f>-257.779*$J$267</f>
        <v>0</v>
      </c>
      <c r="K295">
        <f>343.705*$K$267</f>
        <v>0</v>
      </c>
      <c r="L295">
        <f>2.115*$L$267</f>
        <v>0</v>
      </c>
      <c r="M295">
        <f>0+D295+E295+G295+H295+I295+J295+K295+L295</f>
        <v>0</v>
      </c>
      <c r="N295">
        <f>0+D295+F295+G295+H295+I295+J295+K295+L295</f>
        <v>0</v>
      </c>
    </row>
    <row r="296" spans="3:14">
      <c r="C296" t="s">
        <v>41</v>
      </c>
      <c r="D296">
        <f>-150.812*$D$267</f>
        <v>0</v>
      </c>
      <c r="E296">
        <f>25.551*$E$267</f>
        <v>0</v>
      </c>
      <c r="F296">
        <f>-225.937*$F$267</f>
        <v>0</v>
      </c>
      <c r="G296">
        <f>-16.045*$G$267</f>
        <v>0</v>
      </c>
      <c r="H296">
        <f>0*$H$267</f>
        <v>0</v>
      </c>
      <c r="I296">
        <f>-21.759*$I$267</f>
        <v>0</v>
      </c>
      <c r="J296">
        <f>-238.745*$J$267</f>
        <v>0</v>
      </c>
      <c r="K296">
        <f>318.326*$K$267</f>
        <v>0</v>
      </c>
      <c r="L296">
        <f>2.61*$L$267</f>
        <v>0</v>
      </c>
      <c r="M296">
        <f>0+D296+E296+G296+H296+I296+J296+K296+L296</f>
        <v>0</v>
      </c>
      <c r="N296">
        <f>0+D296+F296+G296+H296+I296+J296+K296+L296</f>
        <v>0</v>
      </c>
    </row>
    <row r="297" spans="3:14">
      <c r="C297" t="s">
        <v>42</v>
      </c>
      <c r="D297">
        <f>-207.593*$D$267</f>
        <v>0</v>
      </c>
      <c r="E297">
        <f>22.394*$E$267</f>
        <v>0</v>
      </c>
      <c r="F297">
        <f>-293.208*$F$267</f>
        <v>0</v>
      </c>
      <c r="G297">
        <f>-25.892*$G$267</f>
        <v>0</v>
      </c>
      <c r="H297">
        <f>0*$H$267</f>
        <v>0</v>
      </c>
      <c r="I297">
        <f>-29.488*$I$267</f>
        <v>0</v>
      </c>
      <c r="J297">
        <f>-216.263*$J$267</f>
        <v>0</v>
      </c>
      <c r="K297">
        <f>288.351*$K$267</f>
        <v>0</v>
      </c>
      <c r="L297">
        <f>3.157*$L$267</f>
        <v>0</v>
      </c>
      <c r="M297">
        <f>0+D297+E297+G297+H297+I297+J297+K297+L297</f>
        <v>0</v>
      </c>
      <c r="N297">
        <f>0+D297+F297+G297+H297+I297+J297+K297+L297</f>
        <v>0</v>
      </c>
    </row>
    <row r="298" spans="3:14">
      <c r="C298" t="s">
        <v>43</v>
      </c>
      <c r="D298">
        <f>-243.808*$D$267</f>
        <v>0</v>
      </c>
      <c r="E298">
        <f>20.2*$E$267</f>
        <v>0</v>
      </c>
      <c r="F298">
        <f>-342.43*$F$267</f>
        <v>0</v>
      </c>
      <c r="G298">
        <f>-29.139*$G$267</f>
        <v>0</v>
      </c>
      <c r="H298">
        <f>0*$H$267</f>
        <v>0</v>
      </c>
      <c r="I298">
        <f>-34.717*$I$267</f>
        <v>0</v>
      </c>
      <c r="J298">
        <f>-218.581*$J$267</f>
        <v>0</v>
      </c>
      <c r="K298">
        <f>291.442*$K$267</f>
        <v>0</v>
      </c>
      <c r="L298">
        <f>3.79*$L$267</f>
        <v>0</v>
      </c>
      <c r="M298">
        <f>0+D298+E298+G298+H298+I298+J298+K298+L298</f>
        <v>0</v>
      </c>
      <c r="N298">
        <f>0+D298+F298+G298+H298+I298+J298+K298+L298</f>
        <v>0</v>
      </c>
    </row>
    <row r="299" spans="3:14">
      <c r="C299" t="s">
        <v>44</v>
      </c>
      <c r="D299">
        <f>-277.025*$D$267</f>
        <v>0</v>
      </c>
      <c r="E299">
        <f>20.898*$E$267</f>
        <v>0</v>
      </c>
      <c r="F299">
        <f>-395.656*$F$267</f>
        <v>0</v>
      </c>
      <c r="G299">
        <f>-29.68*$G$267</f>
        <v>0</v>
      </c>
      <c r="H299">
        <f>0*$H$267</f>
        <v>0</v>
      </c>
      <c r="I299">
        <f>-39.731*$I$267</f>
        <v>0</v>
      </c>
      <c r="J299">
        <f>-245.993*$J$267</f>
        <v>0</v>
      </c>
      <c r="K299">
        <f>327.991*$K$267</f>
        <v>0</v>
      </c>
      <c r="L299">
        <f>4.398*$L$267</f>
        <v>0</v>
      </c>
      <c r="M299">
        <f>0+D299+E299+G299+H299+I299+J299+K299+L299</f>
        <v>0</v>
      </c>
      <c r="N299">
        <f>0+D299+F299+G299+H299+I299+J299+K299+L299</f>
        <v>0</v>
      </c>
    </row>
    <row r="300" spans="3:14">
      <c r="C300" t="s">
        <v>45</v>
      </c>
      <c r="D300">
        <f>-307.879*$D$267</f>
        <v>0</v>
      </c>
      <c r="E300">
        <f>20.501*$E$267</f>
        <v>0</v>
      </c>
      <c r="F300">
        <f>-435.105*$F$267</f>
        <v>0</v>
      </c>
      <c r="G300">
        <f>-32.892*$G$267</f>
        <v>0</v>
      </c>
      <c r="H300">
        <f>0*$H$267</f>
        <v>0</v>
      </c>
      <c r="I300">
        <f>-44.193*$I$267</f>
        <v>0</v>
      </c>
      <c r="J300">
        <f>-252.117*$J$267</f>
        <v>0</v>
      </c>
      <c r="K300">
        <f>336.156*$K$267</f>
        <v>0</v>
      </c>
      <c r="L300">
        <f>4.985*$L$267</f>
        <v>0</v>
      </c>
      <c r="M300">
        <f>0+D300+E300+G300+H300+I300+J300+K300+L300</f>
        <v>0</v>
      </c>
      <c r="N300">
        <f>0+D300+F300+G300+H300+I300+J300+K300+L300</f>
        <v>0</v>
      </c>
    </row>
    <row r="301" spans="3:14">
      <c r="C301" t="s">
        <v>46</v>
      </c>
      <c r="D301">
        <f>-319.717*$D$267</f>
        <v>0</v>
      </c>
      <c r="E301">
        <f>19.493*$E$267</f>
        <v>0</v>
      </c>
      <c r="F301">
        <f>-440.077*$F$267</f>
        <v>0</v>
      </c>
      <c r="G301">
        <f>-38.369*$G$267</f>
        <v>0</v>
      </c>
      <c r="H301">
        <f>0*$H$267</f>
        <v>0</v>
      </c>
      <c r="I301">
        <f>-45.549*$I$267</f>
        <v>0</v>
      </c>
      <c r="J301">
        <f>-233.641*$J$267</f>
        <v>0</v>
      </c>
      <c r="K301">
        <f>311.522*$K$267</f>
        <v>0</v>
      </c>
      <c r="L301">
        <f>5.526*$L$267</f>
        <v>0</v>
      </c>
      <c r="M301">
        <f>0+D301+E301+G301+H301+I301+J301+K301+L301</f>
        <v>0</v>
      </c>
      <c r="N301">
        <f>0+D301+F301+G301+H301+I301+J301+K301+L301</f>
        <v>0</v>
      </c>
    </row>
    <row r="302" spans="3:14">
      <c r="C302" t="s">
        <v>47</v>
      </c>
      <c r="D302">
        <f>-326.322*$D$267</f>
        <v>0</v>
      </c>
      <c r="E302">
        <f>21.083*$E$267</f>
        <v>0</v>
      </c>
      <c r="F302">
        <f>-442.941*$F$267</f>
        <v>0</v>
      </c>
      <c r="G302">
        <f>-43.174*$G$267</f>
        <v>0</v>
      </c>
      <c r="H302">
        <f>0*$H$267</f>
        <v>0</v>
      </c>
      <c r="I302">
        <f>-46.163*$I$267</f>
        <v>0</v>
      </c>
      <c r="J302">
        <f>-214.517*$J$267</f>
        <v>0</v>
      </c>
      <c r="K302">
        <f>286.022*$K$267</f>
        <v>0</v>
      </c>
      <c r="L302">
        <f>5.87*$L$267</f>
        <v>0</v>
      </c>
      <c r="M302">
        <f>0+D302+E302+G302+H302+I302+J302+K302+L302</f>
        <v>0</v>
      </c>
      <c r="N302">
        <f>0+D302+F302+G302+H302+I302+J302+K302+L302</f>
        <v>0</v>
      </c>
    </row>
    <row r="303" spans="3:14">
      <c r="C303" t="s">
        <v>48</v>
      </c>
      <c r="D303">
        <f>-326.144*$D$267</f>
        <v>0</v>
      </c>
      <c r="E303">
        <f>23.35*$E$267</f>
        <v>0</v>
      </c>
      <c r="F303">
        <f>-443.815*$F$267</f>
        <v>0</v>
      </c>
      <c r="G303">
        <f>-41.837*$G$267</f>
        <v>0</v>
      </c>
      <c r="H303">
        <f>0*$H$267</f>
        <v>0</v>
      </c>
      <c r="I303">
        <f>-46.238*$I$267</f>
        <v>0</v>
      </c>
      <c r="J303">
        <f>-222.565*$J$267</f>
        <v>0</v>
      </c>
      <c r="K303">
        <f>296.753*$K$267</f>
        <v>0</v>
      </c>
      <c r="L303">
        <f>6.302*$L$267</f>
        <v>0</v>
      </c>
      <c r="M303">
        <f>0+D303+E303+G303+H303+I303+J303+K303+L303</f>
        <v>0</v>
      </c>
      <c r="N303">
        <f>0+D303+F303+G303+H303+I303+J303+K303+L303</f>
        <v>0</v>
      </c>
    </row>
    <row r="304" spans="3:14">
      <c r="C304" t="s">
        <v>49</v>
      </c>
      <c r="D304">
        <f>-318.361*$D$267</f>
        <v>0</v>
      </c>
      <c r="E304">
        <f>25.335*$E$267</f>
        <v>0</v>
      </c>
      <c r="F304">
        <f>-440.197*$F$267</f>
        <v>0</v>
      </c>
      <c r="G304">
        <f>-36.072*$G$267</f>
        <v>0</v>
      </c>
      <c r="H304">
        <f>0*$H$267</f>
        <v>0</v>
      </c>
      <c r="I304">
        <f>-45.519*$I$267</f>
        <v>0</v>
      </c>
      <c r="J304">
        <f>-249.969*$J$267</f>
        <v>0</v>
      </c>
      <c r="K304">
        <f>333.292*$K$267</f>
        <v>0</v>
      </c>
      <c r="L304">
        <f>6.498*$L$267</f>
        <v>0</v>
      </c>
      <c r="M304">
        <f>0+D304+E304+G304+H304+I304+J304+K304+L304</f>
        <v>0</v>
      </c>
      <c r="N304">
        <f>0+D304+F304+G304+H304+I304+J304+K304+L304</f>
        <v>0</v>
      </c>
    </row>
    <row r="305" spans="3:14">
      <c r="C305" t="s">
        <v>50</v>
      </c>
      <c r="D305">
        <f>-303.181*$D$267</f>
        <v>0</v>
      </c>
      <c r="E305">
        <f>27.027*$E$267</f>
        <v>0</v>
      </c>
      <c r="F305">
        <f>-424.93*$F$267</f>
        <v>0</v>
      </c>
      <c r="G305">
        <f>-32.852*$G$267</f>
        <v>0</v>
      </c>
      <c r="H305">
        <f>0*$H$267</f>
        <v>0</v>
      </c>
      <c r="I305">
        <f>-43.512*$I$267</f>
        <v>0</v>
      </c>
      <c r="J305">
        <f>-259.114*$J$267</f>
        <v>0</v>
      </c>
      <c r="K305">
        <f>345.485*$K$267</f>
        <v>0</v>
      </c>
      <c r="L305">
        <f>6.138*$L$267</f>
        <v>0</v>
      </c>
      <c r="M305">
        <f>0+D305+E305+G305+H305+I305+J305+K305+L305</f>
        <v>0</v>
      </c>
      <c r="N305">
        <f>0+D305+F305+G305+H305+I305+J305+K305+L305</f>
        <v>0</v>
      </c>
    </row>
    <row r="306" spans="3:14">
      <c r="C306" t="s">
        <v>51</v>
      </c>
      <c r="D306">
        <f>-268.622*$D$267</f>
        <v>0</v>
      </c>
      <c r="E306">
        <f>28.44*$E$267</f>
        <v>0</v>
      </c>
      <c r="F306">
        <f>-375.683*$F$267</f>
        <v>0</v>
      </c>
      <c r="G306">
        <f>-31.815*$G$267</f>
        <v>0</v>
      </c>
      <c r="H306">
        <f>0*$H$267</f>
        <v>0</v>
      </c>
      <c r="I306">
        <f>-38.348*$I$267</f>
        <v>0</v>
      </c>
      <c r="J306">
        <f>-243.088*$J$267</f>
        <v>0</v>
      </c>
      <c r="K306">
        <f>324.118*$K$267</f>
        <v>0</v>
      </c>
      <c r="L306">
        <f>5.237*$L$267</f>
        <v>0</v>
      </c>
      <c r="M306">
        <f>0+D306+E306+G306+H306+I306+J306+K306+L306</f>
        <v>0</v>
      </c>
      <c r="N306">
        <f>0+D306+F306+G306+H306+I306+J306+K306+L306</f>
        <v>0</v>
      </c>
    </row>
    <row r="307" spans="3:14">
      <c r="C307" t="s">
        <v>52</v>
      </c>
      <c r="D307">
        <f>-232.081*$D$267</f>
        <v>0</v>
      </c>
      <c r="E307">
        <f>29.257*$E$267</f>
        <v>0</v>
      </c>
      <c r="F307">
        <f>-320.186*$F$267</f>
        <v>0</v>
      </c>
      <c r="G307">
        <f>-30.447*$G$267</f>
        <v>0</v>
      </c>
      <c r="H307">
        <f>0*$H$267</f>
        <v>0</v>
      </c>
      <c r="I307">
        <f>-32.907*$I$267</f>
        <v>0</v>
      </c>
      <c r="J307">
        <f>-225.735*$J$267</f>
        <v>0</v>
      </c>
      <c r="K307">
        <f>300.98*$K$267</f>
        <v>0</v>
      </c>
      <c r="L307">
        <f>4.24*$L$267</f>
        <v>0</v>
      </c>
      <c r="M307">
        <f>0+D307+E307+G307+H307+I307+J307+K307+L307</f>
        <v>0</v>
      </c>
      <c r="N307">
        <f>0+D307+F307+G307+H307+I307+J307+K307+L307</f>
        <v>0</v>
      </c>
    </row>
    <row r="308" spans="3:14">
      <c r="C308" t="s">
        <v>53</v>
      </c>
      <c r="D308">
        <f>-194.866*$D$267</f>
        <v>0</v>
      </c>
      <c r="E308">
        <f>31.547*$E$267</f>
        <v>0</v>
      </c>
      <c r="F308">
        <f>-272.189*$F$267</f>
        <v>0</v>
      </c>
      <c r="G308">
        <f>-25.406*$G$267</f>
        <v>0</v>
      </c>
      <c r="H308">
        <f>0*$H$267</f>
        <v>0</v>
      </c>
      <c r="I308">
        <f>-27.691*$I$267</f>
        <v>0</v>
      </c>
      <c r="J308">
        <f>-240.144*$J$267</f>
        <v>0</v>
      </c>
      <c r="K308">
        <f>320.192*$K$267</f>
        <v>0</v>
      </c>
      <c r="L308">
        <f>4.499*$L$267</f>
        <v>0</v>
      </c>
      <c r="M308">
        <f>0+D308+E308+G308+H308+I308+J308+K308+L308</f>
        <v>0</v>
      </c>
      <c r="N308">
        <f>0+D308+F308+G308+H308+I308+J308+K308+L308</f>
        <v>0</v>
      </c>
    </row>
    <row r="309" spans="3:14">
      <c r="C309" t="s">
        <v>54</v>
      </c>
      <c r="D309">
        <f>-137.87*$D$267</f>
        <v>0</v>
      </c>
      <c r="E309">
        <f>32.515*$E$267</f>
        <v>0</v>
      </c>
      <c r="F309">
        <f>-201.089*$F$267</f>
        <v>0</v>
      </c>
      <c r="G309">
        <f>-14.757*$G$267</f>
        <v>0</v>
      </c>
      <c r="H309">
        <f>0*$H$267</f>
        <v>0</v>
      </c>
      <c r="I309">
        <f>-19.993*$I$267</f>
        <v>0</v>
      </c>
      <c r="J309">
        <f>-271.029*$J$267</f>
        <v>0</v>
      </c>
      <c r="K309">
        <f>361.372*$K$267</f>
        <v>0</v>
      </c>
      <c r="L309">
        <f>5.46*$L$267</f>
        <v>0</v>
      </c>
      <c r="M309">
        <f>0+D309+E309+G309+H309+I309+J309+K309+L309</f>
        <v>0</v>
      </c>
      <c r="N309">
        <f>0+D309+F309+G309+H309+I309+J309+K309+L309</f>
        <v>0</v>
      </c>
    </row>
    <row r="310" spans="3:14">
      <c r="C310" t="s">
        <v>55</v>
      </c>
      <c r="D310">
        <f>-92.753*$D$267</f>
        <v>0</v>
      </c>
      <c r="E310">
        <f>29.425*$E$267</f>
        <v>0</v>
      </c>
      <c r="F310">
        <f>-140.294*$F$267</f>
        <v>0</v>
      </c>
      <c r="G310">
        <f>-7.423*$G$267</f>
        <v>0</v>
      </c>
      <c r="H310">
        <f>0*$H$267</f>
        <v>0</v>
      </c>
      <c r="I310">
        <f>-13.739*$I$267</f>
        <v>0</v>
      </c>
      <c r="J310">
        <f>-273.675*$J$267</f>
        <v>0</v>
      </c>
      <c r="K310">
        <f>364.9*$K$267</f>
        <v>0</v>
      </c>
      <c r="L310">
        <f>5.29*$L$267</f>
        <v>0</v>
      </c>
      <c r="M310">
        <f>0+D310+E310+G310+H310+I310+J310+K310+L310</f>
        <v>0</v>
      </c>
      <c r="N310">
        <f>0+D310+F310+G310+H310+I310+J310+K310+L310</f>
        <v>0</v>
      </c>
    </row>
    <row r="311" spans="3:14">
      <c r="C311" t="s">
        <v>56</v>
      </c>
      <c r="D311">
        <f>-59.831*$D$267</f>
        <v>0</v>
      </c>
      <c r="E311">
        <f>20.109*$E$267</f>
        <v>0</v>
      </c>
      <c r="F311">
        <f>-94.454*$F$267</f>
        <v>0</v>
      </c>
      <c r="G311">
        <f>-3.733*$G$267</f>
        <v>0</v>
      </c>
      <c r="H311">
        <f>0*$H$267</f>
        <v>0</v>
      </c>
      <c r="I311">
        <f>-8.974*$I$267</f>
        <v>0</v>
      </c>
      <c r="J311">
        <f>-232.404*$J$267</f>
        <v>0</v>
      </c>
      <c r="K311">
        <f>309.871*$K$267</f>
        <v>0</v>
      </c>
      <c r="L311">
        <f>3.616*$L$267</f>
        <v>0</v>
      </c>
      <c r="M311">
        <f>0+D311+E311+G311+H311+I311+J311+K311+L311</f>
        <v>0</v>
      </c>
      <c r="N311">
        <f>0+D311+F311+G311+H311+I311+J311+K311+L311</f>
        <v>0</v>
      </c>
    </row>
    <row r="312" spans="3:14">
      <c r="C312" t="s">
        <v>57</v>
      </c>
      <c r="D312">
        <f>-14.518*$D$267</f>
        <v>0</v>
      </c>
      <c r="E312">
        <f>11.619*$E$267</f>
        <v>0</v>
      </c>
      <c r="F312">
        <f>-27.624*$F$267</f>
        <v>0</v>
      </c>
      <c r="G312">
        <f>-0.168*$G$267</f>
        <v>0</v>
      </c>
      <c r="H312">
        <f>0*$H$267</f>
        <v>0</v>
      </c>
      <c r="I312">
        <f>-2.256*$I$267</f>
        <v>0</v>
      </c>
      <c r="J312">
        <f>-175.456*$J$267</f>
        <v>0</v>
      </c>
      <c r="K312">
        <f>233.941*$K$267</f>
        <v>0</v>
      </c>
      <c r="L312">
        <f>1.404*$L$267</f>
        <v>0</v>
      </c>
      <c r="M312">
        <f>0+D312+E312+G312+H312+I312+J312+K312+L312</f>
        <v>0</v>
      </c>
      <c r="N312">
        <f>0+D312+F312+G312+H312+I312+J312+K312+L312</f>
        <v>0</v>
      </c>
    </row>
    <row r="313" spans="3:14">
      <c r="C313" t="s">
        <v>58</v>
      </c>
      <c r="D313">
        <f>-14.469*$D$267</f>
        <v>0</v>
      </c>
      <c r="E313">
        <f>8.445*$E$267</f>
        <v>0</v>
      </c>
      <c r="F313">
        <f>-23.854*$F$267</f>
        <v>0</v>
      </c>
      <c r="G313">
        <f>-1.203*$G$267</f>
        <v>0</v>
      </c>
      <c r="H313">
        <f>0*$H$267</f>
        <v>0</v>
      </c>
      <c r="I313">
        <f>-2.138*$I$267</f>
        <v>0</v>
      </c>
      <c r="J313">
        <f>-153.092*$J$267</f>
        <v>0</v>
      </c>
      <c r="K313">
        <f>204.123*$K$267</f>
        <v>0</v>
      </c>
      <c r="L313">
        <f>0.565*$L$267</f>
        <v>0</v>
      </c>
      <c r="M313">
        <f>0+D313+E313+G313+H313+I313+J313+K313+L313</f>
        <v>0</v>
      </c>
      <c r="N313">
        <f>0+D313+F313+G313+H313+I313+J313+K313+L313</f>
        <v>0</v>
      </c>
    </row>
    <row r="314" spans="3:14">
      <c r="C314" t="s">
        <v>58</v>
      </c>
      <c r="D314">
        <f>-4.717*$D$267</f>
        <v>0</v>
      </c>
      <c r="E314">
        <f>4.205*$E$267</f>
        <v>0</v>
      </c>
      <c r="F314">
        <f>-18.333*$F$267</f>
        <v>0</v>
      </c>
      <c r="G314">
        <f>-0.308*$G$267</f>
        <v>0</v>
      </c>
      <c r="H314">
        <f>0*$H$267</f>
        <v>0</v>
      </c>
      <c r="I314">
        <f>-0.758*$I$267</f>
        <v>0</v>
      </c>
      <c r="J314">
        <f>-145.566*$J$267</f>
        <v>0</v>
      </c>
      <c r="K314">
        <f>194.088*$K$267</f>
        <v>0</v>
      </c>
      <c r="L314">
        <f>-5.619*$L$267</f>
        <v>0</v>
      </c>
      <c r="M314">
        <f>0+D314+E314+G314+H314+I314+J314+K314+L314</f>
        <v>0</v>
      </c>
      <c r="N314">
        <f>0+D314+F314+G314+H314+I314+J314+K314+L314</f>
        <v>0</v>
      </c>
    </row>
    <row r="315" spans="3:14">
      <c r="C315" t="s">
        <v>59</v>
      </c>
      <c r="D315">
        <f>-4.717*$D$267</f>
        <v>0</v>
      </c>
      <c r="E315">
        <f>4.19*$E$267</f>
        <v>0</v>
      </c>
      <c r="F315">
        <f>-18.333*$F$267</f>
        <v>0</v>
      </c>
      <c r="G315">
        <f>-0.308*$G$267</f>
        <v>0</v>
      </c>
      <c r="H315">
        <f>0*$H$267</f>
        <v>0</v>
      </c>
      <c r="I315">
        <f>-0.758*$I$267</f>
        <v>0</v>
      </c>
      <c r="J315">
        <f>-145.566*$J$267</f>
        <v>0</v>
      </c>
      <c r="K315">
        <f>194.088*$K$267</f>
        <v>0</v>
      </c>
      <c r="L315">
        <f>-5.619*$L$267</f>
        <v>0</v>
      </c>
      <c r="M315">
        <f>0+D315+E315+G315+H315+I315+J315+K315+L315</f>
        <v>0</v>
      </c>
      <c r="N315">
        <f>0+D315+F315+G315+H315+I315+J315+K315+L315</f>
        <v>0</v>
      </c>
    </row>
    <row r="316" spans="3:14">
      <c r="C316" t="s">
        <v>60</v>
      </c>
      <c r="D316">
        <f>-18.568*$D$267</f>
        <v>0</v>
      </c>
      <c r="E316">
        <f>35.02*$E$267</f>
        <v>0</v>
      </c>
      <c r="F316">
        <f>-69.869*$F$267</f>
        <v>0</v>
      </c>
      <c r="G316">
        <f>1.915*$G$267</f>
        <v>0</v>
      </c>
      <c r="H316">
        <f>0*$H$267</f>
        <v>0</v>
      </c>
      <c r="I316">
        <f>-2.967*$I$267</f>
        <v>0</v>
      </c>
      <c r="J316">
        <f>-193.077*$J$267</f>
        <v>0</v>
      </c>
      <c r="K316">
        <f>257.437*$K$267</f>
        <v>0</v>
      </c>
      <c r="L316">
        <f>30.885*$L$267</f>
        <v>0</v>
      </c>
      <c r="M316">
        <f>0+D316+E316+G316+H316+I316+J316+K316+L316</f>
        <v>0</v>
      </c>
      <c r="N316">
        <f>0+D316+F316+G316+H316+I316+J316+K316+L316</f>
        <v>0</v>
      </c>
    </row>
    <row r="317" spans="3:14">
      <c r="C317" t="s">
        <v>61</v>
      </c>
      <c r="D317">
        <f>-27.18*$D$267</f>
        <v>0</v>
      </c>
      <c r="E317">
        <f>24.562*$E$267</f>
        <v>0</v>
      </c>
      <c r="F317">
        <f>-88.396*$F$267</f>
        <v>0</v>
      </c>
      <c r="G317">
        <f>0.869*$G$267</f>
        <v>0</v>
      </c>
      <c r="H317">
        <f>0*$H$267</f>
        <v>0</v>
      </c>
      <c r="I317">
        <f>-4.371*$I$267</f>
        <v>0</v>
      </c>
      <c r="J317">
        <f>-269.02*$J$267</f>
        <v>0</v>
      </c>
      <c r="K317">
        <f>358.693*$K$267</f>
        <v>0</v>
      </c>
      <c r="L317">
        <f>18.579*$L$267</f>
        <v>0</v>
      </c>
      <c r="M317">
        <f>0+D317+E317+G317+H317+I317+J317+K317+L317</f>
        <v>0</v>
      </c>
      <c r="N317">
        <f>0+D317+F317+G317+H317+I317+J317+K317+L317</f>
        <v>0</v>
      </c>
    </row>
    <row r="318" spans="3:14">
      <c r="C318" t="s">
        <v>62</v>
      </c>
      <c r="D318">
        <f>-32.742*$D$267</f>
        <v>0</v>
      </c>
      <c r="E318">
        <f>23.817*$E$267</f>
        <v>0</v>
      </c>
      <c r="F318">
        <f>-94.032*$F$267</f>
        <v>0</v>
      </c>
      <c r="G318">
        <f>-2.166*$G$267</f>
        <v>0</v>
      </c>
      <c r="H318">
        <f>0*$H$267</f>
        <v>0</v>
      </c>
      <c r="I318">
        <f>-5.046*$I$267</f>
        <v>0</v>
      </c>
      <c r="J318">
        <f>-309.699*$J$267</f>
        <v>0</v>
      </c>
      <c r="K318">
        <f>412.932*$K$267</f>
        <v>0</v>
      </c>
      <c r="L318">
        <f>2.969*$L$267</f>
        <v>0</v>
      </c>
      <c r="M318">
        <f>0+D318+E318+G318+H318+I318+J318+K318+L318</f>
        <v>0</v>
      </c>
      <c r="N318">
        <f>0+D318+F318+G318+H318+I318+J318+K318+L318</f>
        <v>0</v>
      </c>
    </row>
    <row r="319" spans="3:14">
      <c r="C319" t="s">
        <v>63</v>
      </c>
      <c r="D319">
        <f>-44.265*$D$267</f>
        <v>0</v>
      </c>
      <c r="E319">
        <f>19.505*$E$267</f>
        <v>0</v>
      </c>
      <c r="F319">
        <f>-106.477*$F$267</f>
        <v>0</v>
      </c>
      <c r="G319">
        <f>-7.408*$G$267</f>
        <v>0</v>
      </c>
      <c r="H319">
        <f>0*$H$267</f>
        <v>0</v>
      </c>
      <c r="I319">
        <f>-6.332*$I$267</f>
        <v>0</v>
      </c>
      <c r="J319">
        <f>-301.103*$J$267</f>
        <v>0</v>
      </c>
      <c r="K319">
        <f>401.471*$K$267</f>
        <v>0</v>
      </c>
      <c r="L319">
        <f>-17.926*$L$267</f>
        <v>0</v>
      </c>
      <c r="M319">
        <f>0+D319+E319+G319+H319+I319+J319+K319+L319</f>
        <v>0</v>
      </c>
      <c r="N319">
        <f>0+D319+F319+G319+H319+I319+J319+K319+L319</f>
        <v>0</v>
      </c>
    </row>
    <row r="320" spans="3:14">
      <c r="C320" t="s">
        <v>64</v>
      </c>
      <c r="D320">
        <f>-51.917*$D$267</f>
        <v>0</v>
      </c>
      <c r="E320">
        <f>17.01*$E$267</f>
        <v>0</v>
      </c>
      <c r="F320">
        <f>-113.477*$F$267</f>
        <v>0</v>
      </c>
      <c r="G320">
        <f>-11.362*$G$267</f>
        <v>0</v>
      </c>
      <c r="H320">
        <f>0*$H$267</f>
        <v>0</v>
      </c>
      <c r="I320">
        <f>-7.103*$I$267</f>
        <v>0</v>
      </c>
      <c r="J320">
        <f>-288.669*$J$267</f>
        <v>0</v>
      </c>
      <c r="K320">
        <f>384.892*$K$267</f>
        <v>0</v>
      </c>
      <c r="L320">
        <f>-34.393*$L$267</f>
        <v>0</v>
      </c>
      <c r="M320">
        <f>0+D320+E320+G320+H320+I320+J320+K320+L320</f>
        <v>0</v>
      </c>
      <c r="N320">
        <f>0+D320+F320+G320+H320+I320+J320+K320+L320</f>
        <v>0</v>
      </c>
    </row>
    <row r="321" spans="3:14">
      <c r="C321" t="s">
        <v>65</v>
      </c>
      <c r="D321">
        <f>-55.604*$D$267</f>
        <v>0</v>
      </c>
      <c r="E321">
        <f>11.893*$E$267</f>
        <v>0</v>
      </c>
      <c r="F321">
        <f>-116.358*$F$267</f>
        <v>0</v>
      </c>
      <c r="G321">
        <f>-11.393*$G$267</f>
        <v>0</v>
      </c>
      <c r="H321">
        <f>0*$H$267</f>
        <v>0</v>
      </c>
      <c r="I321">
        <f>-7.624*$I$267</f>
        <v>0</v>
      </c>
      <c r="J321">
        <f>-313.715*$J$267</f>
        <v>0</v>
      </c>
      <c r="K321">
        <f>418.287*$K$267</f>
        <v>0</v>
      </c>
      <c r="L321">
        <f>-35.708*$L$267</f>
        <v>0</v>
      </c>
      <c r="M321">
        <f>0+D321+E321+G321+H321+I321+J321+K321+L321</f>
        <v>0</v>
      </c>
      <c r="N321">
        <f>0+D321+F321+G321+H321+I321+J321+K321+L321</f>
        <v>0</v>
      </c>
    </row>
    <row r="322" spans="3:14">
      <c r="C322" t="s">
        <v>66</v>
      </c>
      <c r="D322">
        <f>-52.166*$D$267</f>
        <v>0</v>
      </c>
      <c r="E322">
        <f>10.796*$E$267</f>
        <v>0</v>
      </c>
      <c r="F322">
        <f>-111.59*$F$267</f>
        <v>0</v>
      </c>
      <c r="G322">
        <f>-7.659*$G$267</f>
        <v>0</v>
      </c>
      <c r="H322">
        <f>0*$H$267</f>
        <v>0</v>
      </c>
      <c r="I322">
        <f>-7.416*$I$267</f>
        <v>0</v>
      </c>
      <c r="J322">
        <f>-357.762*$J$267</f>
        <v>0</v>
      </c>
      <c r="K322">
        <f>477.016*$K$267</f>
        <v>0</v>
      </c>
      <c r="L322">
        <f>-23.332*$L$267</f>
        <v>0</v>
      </c>
      <c r="M322">
        <f>0+D322+E322+G322+H322+I322+J322+K322+L322</f>
        <v>0</v>
      </c>
      <c r="N322">
        <f>0+D322+F322+G322+H322+I322+J322+K322+L322</f>
        <v>0</v>
      </c>
    </row>
    <row r="323" spans="3:14">
      <c r="C323" t="s">
        <v>67</v>
      </c>
      <c r="D323">
        <f>-43.677*$D$267</f>
        <v>0</v>
      </c>
      <c r="E323">
        <f>9.153*$E$267</f>
        <v>0</v>
      </c>
      <c r="F323">
        <f>-97.761*$F$267</f>
        <v>0</v>
      </c>
      <c r="G323">
        <f>-4.244*$G$267</f>
        <v>0</v>
      </c>
      <c r="H323">
        <f>0*$H$267</f>
        <v>0</v>
      </c>
      <c r="I323">
        <f>-6.403*$I$267</f>
        <v>0</v>
      </c>
      <c r="J323">
        <f>-347.004*$J$267</f>
        <v>0</v>
      </c>
      <c r="K323">
        <f>462.672*$K$267</f>
        <v>0</v>
      </c>
      <c r="L323">
        <f>-13.825*$L$267</f>
        <v>0</v>
      </c>
      <c r="M323">
        <f>0+D323+E323+G323+H323+I323+J323+K323+L323</f>
        <v>0</v>
      </c>
      <c r="N323">
        <f>0+D323+F323+G323+H323+I323+J323+K323+L323</f>
        <v>0</v>
      </c>
    </row>
    <row r="324" spans="3:14">
      <c r="C324" t="s">
        <v>68</v>
      </c>
      <c r="D324">
        <f>-30.369*$D$267</f>
        <v>0</v>
      </c>
      <c r="E324">
        <f>5.338*$E$267</f>
        <v>0</v>
      </c>
      <c r="F324">
        <f>-70.323*$F$267</f>
        <v>0</v>
      </c>
      <c r="G324">
        <f>-1.71*$G$267</f>
        <v>0</v>
      </c>
      <c r="H324">
        <f>0*$H$267</f>
        <v>0</v>
      </c>
      <c r="I324">
        <f>-4.535*$I$267</f>
        <v>0</v>
      </c>
      <c r="J324">
        <f>-246.116*$J$267</f>
        <v>0</v>
      </c>
      <c r="K324">
        <f>328.155*$K$267</f>
        <v>0</v>
      </c>
      <c r="L324">
        <f>-7.024*$L$267</f>
        <v>0</v>
      </c>
      <c r="M324">
        <f>0+D324+E324+G324+H324+I324+J324+K324+L324</f>
        <v>0</v>
      </c>
      <c r="N324">
        <f>0+D324+F324+G324+H324+I324+J324+K324+L324</f>
        <v>0</v>
      </c>
    </row>
    <row r="325" spans="3:14">
      <c r="C325" t="s">
        <v>69</v>
      </c>
      <c r="D325">
        <f>-16.691*$D$267</f>
        <v>0</v>
      </c>
      <c r="E325">
        <f>0.815*$E$267</f>
        <v>0</v>
      </c>
      <c r="F325">
        <f>-39.655*$F$267</f>
        <v>0</v>
      </c>
      <c r="G325">
        <f>0.04*$G$267</f>
        <v>0</v>
      </c>
      <c r="H325">
        <f>0*$H$267</f>
        <v>0</v>
      </c>
      <c r="I325">
        <f>-2.574*$I$267</f>
        <v>0</v>
      </c>
      <c r="J325">
        <f>-132.197*$J$267</f>
        <v>0</v>
      </c>
      <c r="K325">
        <f>176.262*$K$267</f>
        <v>0</v>
      </c>
      <c r="L325">
        <f>-0.797*$L$267</f>
        <v>0</v>
      </c>
      <c r="M325">
        <f>0+D325+E325+G325+H325+I325+J325+K325+L325</f>
        <v>0</v>
      </c>
      <c r="N325">
        <f>0+D325+F325+G325+H325+I325+J325+K325+L325</f>
        <v>0</v>
      </c>
    </row>
    <row r="330" spans="3:14">
      <c r="C330" t="s">
        <v>74</v>
      </c>
    </row>
    <row r="332" spans="3:14">
      <c r="C332" t="s">
        <v>2</v>
      </c>
    </row>
    <row r="333" spans="3:14">
      <c r="C333" t="s">
        <v>3</v>
      </c>
      <c r="D333" t="s">
        <v>4</v>
      </c>
      <c r="E333" t="s">
        <v>5</v>
      </c>
      <c r="F333" t="s">
        <v>6</v>
      </c>
      <c r="G333" t="s">
        <v>7</v>
      </c>
      <c r="H333" t="s">
        <v>8</v>
      </c>
      <c r="I333" t="s">
        <v>9</v>
      </c>
      <c r="J333" t="s">
        <v>10</v>
      </c>
      <c r="K333" t="s">
        <v>11</v>
      </c>
      <c r="L333" t="s">
        <v>12</v>
      </c>
      <c r="M333" t="s">
        <v>13</v>
      </c>
      <c r="N333" t="s">
        <v>14</v>
      </c>
    </row>
    <row r="334" spans="3:14">
      <c r="C334" t="s">
        <v>78</v>
      </c>
      <c r="D334">
        <f>1.79*$D$332</f>
        <v>0</v>
      </c>
      <c r="E334">
        <f>120.4678*$E$332</f>
        <v>0</v>
      </c>
      <c r="F334">
        <f>-134.1462*$F$332</f>
        <v>0</v>
      </c>
      <c r="G334">
        <f>3.3371*$G$332</f>
        <v>0</v>
      </c>
      <c r="H334">
        <f>0*$H$332</f>
        <v>0</v>
      </c>
      <c r="I334">
        <f>0.0292*$I$332</f>
        <v>0</v>
      </c>
      <c r="J334">
        <f>38.6486*$J$332</f>
        <v>0</v>
      </c>
      <c r="K334">
        <f>-51.5315*$K$332</f>
        <v>0</v>
      </c>
      <c r="L334">
        <f>-0.0309*$L$332</f>
        <v>0</v>
      </c>
      <c r="M334">
        <f>0+D334+E334+G334+H334+I334+J334+K334+L334</f>
        <v>0</v>
      </c>
      <c r="N334">
        <f>0+D334+F334+G334+H334+I334+J334+K334+L334</f>
        <v>0</v>
      </c>
    </row>
    <row r="335" spans="3:14">
      <c r="C335" t="s">
        <v>16</v>
      </c>
      <c r="D335">
        <f>2.3753*$D$332</f>
        <v>0</v>
      </c>
      <c r="E335">
        <f>119.1996*$E$332</f>
        <v>0</v>
      </c>
      <c r="F335">
        <f>-123.2549*$F$332</f>
        <v>0</v>
      </c>
      <c r="G335">
        <f>3.1498*$G$332</f>
        <v>0</v>
      </c>
      <c r="H335">
        <f>0*$H$332</f>
        <v>0</v>
      </c>
      <c r="I335">
        <f>0.1275*$I$332</f>
        <v>0</v>
      </c>
      <c r="J335">
        <f>39.537*$J$332</f>
        <v>0</v>
      </c>
      <c r="K335">
        <f>-52.716*$K$332</f>
        <v>0</v>
      </c>
      <c r="L335">
        <f>-0.0314*$L$332</f>
        <v>0</v>
      </c>
      <c r="M335">
        <f>0+D335+E335+G335+H335+I335+J335+K335+L335</f>
        <v>0</v>
      </c>
      <c r="N335">
        <f>0+D335+F335+G335+H335+I335+J335+K335+L335</f>
        <v>0</v>
      </c>
    </row>
    <row r="336" spans="3:14">
      <c r="C336" t="s">
        <v>17</v>
      </c>
      <c r="D336">
        <f>2.4317*$D$332</f>
        <v>0</v>
      </c>
      <c r="E336">
        <f>126.9449*$E$332</f>
        <v>0</v>
      </c>
      <c r="F336">
        <f>-125.2832*$F$332</f>
        <v>0</v>
      </c>
      <c r="G336">
        <f>4.2261*$G$332</f>
        <v>0</v>
      </c>
      <c r="H336">
        <f>0*$H$332</f>
        <v>0</v>
      </c>
      <c r="I336">
        <f>0.0689*$I$332</f>
        <v>0</v>
      </c>
      <c r="J336">
        <f>44.3068*$J$332</f>
        <v>0</v>
      </c>
      <c r="K336">
        <f>-59.0757*$K$332</f>
        <v>0</v>
      </c>
      <c r="L336">
        <f>-0.037*$L$332</f>
        <v>0</v>
      </c>
      <c r="M336">
        <f>0+D336+E336+G336+H336+I336+J336+K336+L336</f>
        <v>0</v>
      </c>
      <c r="N336">
        <f>0+D336+F336+G336+H336+I336+J336+K336+L336</f>
        <v>0</v>
      </c>
    </row>
    <row r="337" spans="3:14">
      <c r="C337" t="s">
        <v>18</v>
      </c>
      <c r="D337">
        <f>2.5849*$D$332</f>
        <v>0</v>
      </c>
      <c r="E337">
        <f>133.1611*$E$332</f>
        <v>0</v>
      </c>
      <c r="F337">
        <f>-126.6628*$F$332</f>
        <v>0</v>
      </c>
      <c r="G337">
        <f>4.9514*$G$332</f>
        <v>0</v>
      </c>
      <c r="H337">
        <f>0*$H$332</f>
        <v>0</v>
      </c>
      <c r="I337">
        <f>0.0628*$I$332</f>
        <v>0</v>
      </c>
      <c r="J337">
        <f>40.9486*$J$332</f>
        <v>0</v>
      </c>
      <c r="K337">
        <f>-54.5981*$K$332</f>
        <v>0</v>
      </c>
      <c r="L337">
        <f>-0.0431*$L$332</f>
        <v>0</v>
      </c>
      <c r="M337">
        <f>0+D337+E337+G337+H337+I337+J337+K337+L337</f>
        <v>0</v>
      </c>
      <c r="N337">
        <f>0+D337+F337+G337+H337+I337+J337+K337+L337</f>
        <v>0</v>
      </c>
    </row>
    <row r="338" spans="3:14">
      <c r="C338" t="s">
        <v>19</v>
      </c>
      <c r="D338">
        <f>2.7629*$D$332</f>
        <v>0</v>
      </c>
      <c r="E338">
        <f>137.5862*$E$332</f>
        <v>0</v>
      </c>
      <c r="F338">
        <f>-125.1859*$F$332</f>
        <v>0</v>
      </c>
      <c r="G338">
        <f>4.8906*$G$332</f>
        <v>0</v>
      </c>
      <c r="H338">
        <f>0*$H$332</f>
        <v>0</v>
      </c>
      <c r="I338">
        <f>0.1109*$I$332</f>
        <v>0</v>
      </c>
      <c r="J338">
        <f>35.7145*$J$332</f>
        <v>0</v>
      </c>
      <c r="K338">
        <f>-47.6193*$K$332</f>
        <v>0</v>
      </c>
      <c r="L338">
        <f>-0.0491*$L$332</f>
        <v>0</v>
      </c>
      <c r="M338">
        <f>0+D338+E338+G338+H338+I338+J338+K338+L338</f>
        <v>0</v>
      </c>
      <c r="N338">
        <f>0+D338+F338+G338+H338+I338+J338+K338+L338</f>
        <v>0</v>
      </c>
    </row>
    <row r="339" spans="3:14">
      <c r="C339" t="s">
        <v>20</v>
      </c>
      <c r="D339">
        <f>2.7108*$D$332</f>
        <v>0</v>
      </c>
      <c r="E339">
        <f>140.8178*$E$332</f>
        <v>0</v>
      </c>
      <c r="F339">
        <f>-122.8297*$F$332</f>
        <v>0</v>
      </c>
      <c r="G339">
        <f>4.1001*$G$332</f>
        <v>0</v>
      </c>
      <c r="H339">
        <f>0*$H$332</f>
        <v>0</v>
      </c>
      <c r="I339">
        <f>0.1424*$I$332</f>
        <v>0</v>
      </c>
      <c r="J339">
        <f>33.812*$J$332</f>
        <v>0</v>
      </c>
      <c r="K339">
        <f>-45.0827*$K$332</f>
        <v>0</v>
      </c>
      <c r="L339">
        <f>-0.0542*$L$332</f>
        <v>0</v>
      </c>
      <c r="M339">
        <f>0+D339+E339+G339+H339+I339+J339+K339+L339</f>
        <v>0</v>
      </c>
      <c r="N339">
        <f>0+D339+F339+G339+H339+I339+J339+K339+L339</f>
        <v>0</v>
      </c>
    </row>
    <row r="340" spans="3:14">
      <c r="C340" t="s">
        <v>21</v>
      </c>
      <c r="D340">
        <f>0.6688*$D$332</f>
        <v>0</v>
      </c>
      <c r="E340">
        <f>132.7878*$E$332</f>
        <v>0</v>
      </c>
      <c r="F340">
        <f>-117.4191*$F$332</f>
        <v>0</v>
      </c>
      <c r="G340">
        <f>2.5742*$G$332</f>
        <v>0</v>
      </c>
      <c r="H340">
        <f>0*$H$332</f>
        <v>0</v>
      </c>
      <c r="I340">
        <f>-0.0748*$I$332</f>
        <v>0</v>
      </c>
      <c r="J340">
        <f>27.2962*$J$332</f>
        <v>0</v>
      </c>
      <c r="K340">
        <f>-36.3949*$K$332</f>
        <v>0</v>
      </c>
      <c r="L340">
        <f>-0.0567*$L$332</f>
        <v>0</v>
      </c>
      <c r="M340">
        <f>0+D340+E340+G340+H340+I340+J340+K340+L340</f>
        <v>0</v>
      </c>
      <c r="N340">
        <f>0+D340+F340+G340+H340+I340+J340+K340+L340</f>
        <v>0</v>
      </c>
    </row>
    <row r="341" spans="3:14">
      <c r="C341" t="s">
        <v>22</v>
      </c>
      <c r="D341">
        <f>0.6192*$D$332</f>
        <v>0</v>
      </c>
      <c r="E341">
        <f>124.0548*$E$332</f>
        <v>0</v>
      </c>
      <c r="F341">
        <f>-106.1133*$F$332</f>
        <v>0</v>
      </c>
      <c r="G341">
        <f>1.9568*$G$332</f>
        <v>0</v>
      </c>
      <c r="H341">
        <f>0*$H$332</f>
        <v>0</v>
      </c>
      <c r="I341">
        <f>-0.039*$I$332</f>
        <v>0</v>
      </c>
      <c r="J341">
        <f>21.369*$J$332</f>
        <v>0</v>
      </c>
      <c r="K341">
        <f>-28.492*$K$332</f>
        <v>0</v>
      </c>
      <c r="L341">
        <f>-0.0583*$L$332</f>
        <v>0</v>
      </c>
      <c r="M341">
        <f>0+D341+E341+G341+H341+I341+J341+K341+L341</f>
        <v>0</v>
      </c>
      <c r="N341">
        <f>0+D341+F341+G341+H341+I341+J341+K341+L341</f>
        <v>0</v>
      </c>
    </row>
    <row r="342" spans="3:14">
      <c r="C342" t="s">
        <v>23</v>
      </c>
      <c r="D342">
        <f>0.6513*$D$332</f>
        <v>0</v>
      </c>
      <c r="E342">
        <f>115.925*$E$332</f>
        <v>0</v>
      </c>
      <c r="F342">
        <f>-97.5967*$F$332</f>
        <v>0</v>
      </c>
      <c r="G342">
        <f>1.655*$G$332</f>
        <v>0</v>
      </c>
      <c r="H342">
        <f>0*$H$332</f>
        <v>0</v>
      </c>
      <c r="I342">
        <f>-0.0009266*$I$332</f>
        <v>0</v>
      </c>
      <c r="J342">
        <f>12.2031*$J$332</f>
        <v>0</v>
      </c>
      <c r="K342">
        <f>-16.2708*$K$332</f>
        <v>0</v>
      </c>
      <c r="L342">
        <f>-0.061*$L$332</f>
        <v>0</v>
      </c>
      <c r="M342">
        <f>0+D342+E342+G342+H342+I342+J342+K342+L342</f>
        <v>0</v>
      </c>
      <c r="N342">
        <f>0+D342+F342+G342+H342+I342+J342+K342+L342</f>
        <v>0</v>
      </c>
    </row>
    <row r="343" spans="3:14">
      <c r="C343" t="s">
        <v>24</v>
      </c>
      <c r="D343">
        <f>0.7854*$D$332</f>
        <v>0</v>
      </c>
      <c r="E343">
        <f>110.2947*$E$332</f>
        <v>0</v>
      </c>
      <c r="F343">
        <f>-91.3431*$F$332</f>
        <v>0</v>
      </c>
      <c r="G343">
        <f>1.1425*$G$332</f>
        <v>0</v>
      </c>
      <c r="H343">
        <f>0*$H$332</f>
        <v>0</v>
      </c>
      <c r="I343">
        <f>0.0639*$I$332</f>
        <v>0</v>
      </c>
      <c r="J343">
        <f>4.7904*$J$332</f>
        <v>0</v>
      </c>
      <c r="K343">
        <f>-6.3872*$K$332</f>
        <v>0</v>
      </c>
      <c r="L343">
        <f>-0.0651*$L$332</f>
        <v>0</v>
      </c>
      <c r="M343">
        <f>0+D343+E343+G343+H343+I343+J343+K343+L343</f>
        <v>0</v>
      </c>
      <c r="N343">
        <f>0+D343+F343+G343+H343+I343+J343+K343+L343</f>
        <v>0</v>
      </c>
    </row>
    <row r="344" spans="3:14">
      <c r="C344" t="s">
        <v>25</v>
      </c>
      <c r="D344">
        <f>0.7043*$D$332</f>
        <v>0</v>
      </c>
      <c r="E344">
        <f>103.9679*$E$332</f>
        <v>0</v>
      </c>
      <c r="F344">
        <f>-89.5156*$F$332</f>
        <v>0</v>
      </c>
      <c r="G344">
        <f>0.2882*$G$332</f>
        <v>0</v>
      </c>
      <c r="H344">
        <f>0*$H$332</f>
        <v>0</v>
      </c>
      <c r="I344">
        <f>0.0893*$I$332</f>
        <v>0</v>
      </c>
      <c r="J344">
        <f>3.1222*$J$332</f>
        <v>0</v>
      </c>
      <c r="K344">
        <f>-4.163*$K$332</f>
        <v>0</v>
      </c>
      <c r="L344">
        <f>-0.0688*$L$332</f>
        <v>0</v>
      </c>
      <c r="M344">
        <f>0+D344+E344+G344+H344+I344+J344+K344+L344</f>
        <v>0</v>
      </c>
      <c r="N344">
        <f>0+D344+F344+G344+H344+I344+J344+K344+L344</f>
        <v>0</v>
      </c>
    </row>
    <row r="345" spans="3:14">
      <c r="C345" t="s">
        <v>26</v>
      </c>
      <c r="D345">
        <f>-2.0035*$D$332</f>
        <v>0</v>
      </c>
      <c r="E345">
        <f>87.1375*$E$332</f>
        <v>0</v>
      </c>
      <c r="F345">
        <f>-93.4784*$F$332</f>
        <v>0</v>
      </c>
      <c r="G345">
        <f>-0.3136*$G$332</f>
        <v>0</v>
      </c>
      <c r="H345">
        <f>0*$H$332</f>
        <v>0</v>
      </c>
      <c r="I345">
        <f>-0.296*$I$332</f>
        <v>0</v>
      </c>
      <c r="J345">
        <f>6.4089*$J$332</f>
        <v>0</v>
      </c>
      <c r="K345">
        <f>-8.5452*$K$332</f>
        <v>0</v>
      </c>
      <c r="L345">
        <f>-0.0696*$L$332</f>
        <v>0</v>
      </c>
      <c r="M345">
        <f>0+D345+E345+G345+H345+I345+J345+K345+L345</f>
        <v>0</v>
      </c>
      <c r="N345">
        <f>0+D345+F345+G345+H345+I345+J345+K345+L345</f>
        <v>0</v>
      </c>
    </row>
    <row r="346" spans="3:14">
      <c r="C346" t="s">
        <v>27</v>
      </c>
      <c r="D346">
        <f>-1.4194*$D$332</f>
        <v>0</v>
      </c>
      <c r="E346">
        <f>85.1891*$E$332</f>
        <v>0</v>
      </c>
      <c r="F346">
        <f>-91.3807*$F$332</f>
        <v>0</v>
      </c>
      <c r="G346">
        <f>-0.7755*$G$332</f>
        <v>0</v>
      </c>
      <c r="H346">
        <f>0*$H$332</f>
        <v>0</v>
      </c>
      <c r="I346">
        <f>-0.1825*$I$332</f>
        <v>0</v>
      </c>
      <c r="J346">
        <f>1.551*$J$332</f>
        <v>0</v>
      </c>
      <c r="K346">
        <f>-2.0679*$K$332</f>
        <v>0</v>
      </c>
      <c r="L346">
        <f>-0.0696*$L$332</f>
        <v>0</v>
      </c>
      <c r="M346">
        <f>0+D346+E346+G346+H346+I346+J346+K346+L346</f>
        <v>0</v>
      </c>
      <c r="N346">
        <f>0+D346+F346+G346+H346+I346+J346+K346+L346</f>
        <v>0</v>
      </c>
    </row>
    <row r="347" spans="3:14">
      <c r="C347" t="s">
        <v>28</v>
      </c>
      <c r="D347">
        <f>-0.4924*$D$332</f>
        <v>0</v>
      </c>
      <c r="E347">
        <f>86.4466*$E$332</f>
        <v>0</v>
      </c>
      <c r="F347">
        <f>-98.5854*$F$332</f>
        <v>0</v>
      </c>
      <c r="G347">
        <f>-0.9262*$G$332</f>
        <v>0</v>
      </c>
      <c r="H347">
        <f>0*$H$332</f>
        <v>0</v>
      </c>
      <c r="I347">
        <f>-0.0282*$I$332</f>
        <v>0</v>
      </c>
      <c r="J347">
        <f>-6.7291*$J$332</f>
        <v>0</v>
      </c>
      <c r="K347">
        <f>8.9721*$K$332</f>
        <v>0</v>
      </c>
      <c r="L347">
        <f>-0.0712*$L$332</f>
        <v>0</v>
      </c>
      <c r="M347">
        <f>0+D347+E347+G347+H347+I347+J347+K347+L347</f>
        <v>0</v>
      </c>
      <c r="N347">
        <f>0+D347+F347+G347+H347+I347+J347+K347+L347</f>
        <v>0</v>
      </c>
    </row>
    <row r="348" spans="3:14">
      <c r="C348" t="s">
        <v>29</v>
      </c>
      <c r="D348">
        <f>0.6237*$D$332</f>
        <v>0</v>
      </c>
      <c r="E348">
        <f>94.1868*$E$332</f>
        <v>0</v>
      </c>
      <c r="F348">
        <f>-106.772*$F$332</f>
        <v>0</v>
      </c>
      <c r="G348">
        <f>-1.2892*$G$332</f>
        <v>0</v>
      </c>
      <c r="H348">
        <f>0*$H$332</f>
        <v>0</v>
      </c>
      <c r="I348">
        <f>0.1663*$I$332</f>
        <v>0</v>
      </c>
      <c r="J348">
        <f>-13.3811*$J$332</f>
        <v>0</v>
      </c>
      <c r="K348">
        <f>17.8415*$K$332</f>
        <v>0</v>
      </c>
      <c r="L348">
        <f>-0.0749*$L$332</f>
        <v>0</v>
      </c>
      <c r="M348">
        <f>0+D348+E348+G348+H348+I348+J348+K348+L348</f>
        <v>0</v>
      </c>
      <c r="N348">
        <f>0+D348+F348+G348+H348+I348+J348+K348+L348</f>
        <v>0</v>
      </c>
    </row>
    <row r="349" spans="3:14">
      <c r="C349" t="s">
        <v>30</v>
      </c>
      <c r="D349">
        <f>2.1333*$D$332</f>
        <v>0</v>
      </c>
      <c r="E349">
        <f>107.4638*$E$332</f>
        <v>0</v>
      </c>
      <c r="F349">
        <f>-119.7291*$F$332</f>
        <v>0</v>
      </c>
      <c r="G349">
        <f>-1.9963*$G$332</f>
        <v>0</v>
      </c>
      <c r="H349">
        <f>0*$H$332</f>
        <v>0</v>
      </c>
      <c r="I349">
        <f>0.4102*$I$332</f>
        <v>0</v>
      </c>
      <c r="J349">
        <f>-15.389*$J$332</f>
        <v>0</v>
      </c>
      <c r="K349">
        <f>20.5187*$K$332</f>
        <v>0</v>
      </c>
      <c r="L349">
        <f>-0.0787*$L$332</f>
        <v>0</v>
      </c>
      <c r="M349">
        <f>0+D349+E349+G349+H349+I349+J349+K349+L349</f>
        <v>0</v>
      </c>
      <c r="N349">
        <f>0+D349+F349+G349+H349+I349+J349+K349+L349</f>
        <v>0</v>
      </c>
    </row>
    <row r="350" spans="3:14">
      <c r="C350" t="s">
        <v>31</v>
      </c>
      <c r="D350">
        <f>4.3233*$D$332</f>
        <v>0</v>
      </c>
      <c r="E350">
        <f>113.489*$E$332</f>
        <v>0</v>
      </c>
      <c r="F350">
        <f>-126.0252*$F$332</f>
        <v>0</v>
      </c>
      <c r="G350">
        <f>-2.4462*$G$332</f>
        <v>0</v>
      </c>
      <c r="H350">
        <f>0*$H$332</f>
        <v>0</v>
      </c>
      <c r="I350">
        <f>0.7162*$I$332</f>
        <v>0</v>
      </c>
      <c r="J350">
        <f>-15.813*$J$332</f>
        <v>0</v>
      </c>
      <c r="K350">
        <f>21.084*$K$332</f>
        <v>0</v>
      </c>
      <c r="L350">
        <f>-0.0826*$L$332</f>
        <v>0</v>
      </c>
      <c r="M350">
        <f>0+D350+E350+G350+H350+I350+J350+K350+L350</f>
        <v>0</v>
      </c>
      <c r="N350">
        <f>0+D350+F350+G350+H350+I350+J350+K350+L350</f>
        <v>0</v>
      </c>
    </row>
    <row r="351" spans="3:14">
      <c r="C351" t="s">
        <v>32</v>
      </c>
      <c r="D351">
        <f>6.3585*$D$332</f>
        <v>0</v>
      </c>
      <c r="E351">
        <f>121.5459*$E$332</f>
        <v>0</v>
      </c>
      <c r="F351">
        <f>-127.5036*$F$332</f>
        <v>0</v>
      </c>
      <c r="G351">
        <f>-2.7288*$G$332</f>
        <v>0</v>
      </c>
      <c r="H351">
        <f>0*$H$332</f>
        <v>0</v>
      </c>
      <c r="I351">
        <f>1.0256*$I$332</f>
        <v>0</v>
      </c>
      <c r="J351">
        <f>-20.8669*$J$332</f>
        <v>0</v>
      </c>
      <c r="K351">
        <f>27.8225*$K$332</f>
        <v>0</v>
      </c>
      <c r="L351">
        <f>-0.0824*$L$332</f>
        <v>0</v>
      </c>
      <c r="M351">
        <f>0+D351+E351+G351+H351+I351+J351+K351+L351</f>
        <v>0</v>
      </c>
      <c r="N351">
        <f>0+D351+F351+G351+H351+I351+J351+K351+L351</f>
        <v>0</v>
      </c>
    </row>
    <row r="352" spans="3:14">
      <c r="C352" t="s">
        <v>33</v>
      </c>
      <c r="D352">
        <f>8.6653*$D$332</f>
        <v>0</v>
      </c>
      <c r="E352">
        <f>134.0083*$E$332</f>
        <v>0</v>
      </c>
      <c r="F352">
        <f>-131.2597*$F$332</f>
        <v>0</v>
      </c>
      <c r="G352">
        <f>-2.6211*$G$332</f>
        <v>0</v>
      </c>
      <c r="H352">
        <f>0*$H$332</f>
        <v>0</v>
      </c>
      <c r="I352">
        <f>1.3631*$I$332</f>
        <v>0</v>
      </c>
      <c r="J352">
        <f>-29.6738*$J$332</f>
        <v>0</v>
      </c>
      <c r="K352">
        <f>39.5651*$K$332</f>
        <v>0</v>
      </c>
      <c r="L352">
        <f>-0.0834*$L$332</f>
        <v>0</v>
      </c>
      <c r="M352">
        <f>0+D352+E352+G352+H352+I352+J352+K352+L352</f>
        <v>0</v>
      </c>
      <c r="N352">
        <f>0+D352+F352+G352+H352+I352+J352+K352+L352</f>
        <v>0</v>
      </c>
    </row>
    <row r="353" spans="3:14">
      <c r="C353" t="s">
        <v>34</v>
      </c>
      <c r="D353">
        <f>10.623*$D$332</f>
        <v>0</v>
      </c>
      <c r="E353">
        <f>150.7883*$E$332</f>
        <v>0</v>
      </c>
      <c r="F353">
        <f>-134.8044*$F$332</f>
        <v>0</v>
      </c>
      <c r="G353">
        <f>-2.3728*$G$332</f>
        <v>0</v>
      </c>
      <c r="H353">
        <f>0*$H$332</f>
        <v>0</v>
      </c>
      <c r="I353">
        <f>1.6458*$I$332</f>
        <v>0</v>
      </c>
      <c r="J353">
        <f>-36.4287*$J$332</f>
        <v>0</v>
      </c>
      <c r="K353">
        <f>48.5716*$K$332</f>
        <v>0</v>
      </c>
      <c r="L353">
        <f>-0.0856*$L$332</f>
        <v>0</v>
      </c>
      <c r="M353">
        <f>0+D353+E353+G353+H353+I353+J353+K353+L353</f>
        <v>0</v>
      </c>
      <c r="N353">
        <f>0+D353+F353+G353+H353+I353+J353+K353+L353</f>
        <v>0</v>
      </c>
    </row>
    <row r="354" spans="3:14">
      <c r="C354" t="s">
        <v>35</v>
      </c>
      <c r="D354">
        <f>10.4152*$D$332</f>
        <v>0</v>
      </c>
      <c r="E354">
        <f>165.06*$E$332</f>
        <v>0</v>
      </c>
      <c r="F354">
        <f>-135.7581*$F$332</f>
        <v>0</v>
      </c>
      <c r="G354">
        <f>-2.0006*$G$332</f>
        <v>0</v>
      </c>
      <c r="H354">
        <f>0*$H$332</f>
        <v>0</v>
      </c>
      <c r="I354">
        <f>1.6083*$I$332</f>
        <v>0</v>
      </c>
      <c r="J354">
        <f>-31.948*$J$332</f>
        <v>0</v>
      </c>
      <c r="K354">
        <f>42.5973*$K$332</f>
        <v>0</v>
      </c>
      <c r="L354">
        <f>-0.0825*$L$332</f>
        <v>0</v>
      </c>
      <c r="M354">
        <f>0+D354+E354+G354+H354+I354+J354+K354+L354</f>
        <v>0</v>
      </c>
      <c r="N354">
        <f>0+D354+F354+G354+H354+I354+J354+K354+L354</f>
        <v>0</v>
      </c>
    </row>
    <row r="355" spans="3:14">
      <c r="C355" t="s">
        <v>36</v>
      </c>
      <c r="D355">
        <f>13.4329*$D$332</f>
        <v>0</v>
      </c>
      <c r="E355">
        <f>172.4272*$E$332</f>
        <v>0</v>
      </c>
      <c r="F355">
        <f>-150.4712*$F$332</f>
        <v>0</v>
      </c>
      <c r="G355">
        <f>-1.5381*$G$332</f>
        <v>0</v>
      </c>
      <c r="H355">
        <f>0*$H$332</f>
        <v>0</v>
      </c>
      <c r="I355">
        <f>1.9951*$I$332</f>
        <v>0</v>
      </c>
      <c r="J355">
        <f>-33.8036*$J$332</f>
        <v>0</v>
      </c>
      <c r="K355">
        <f>45.0715*$K$332</f>
        <v>0</v>
      </c>
      <c r="L355">
        <f>-0.0828*$L$332</f>
        <v>0</v>
      </c>
      <c r="M355">
        <f>0+D355+E355+G355+H355+I355+J355+K355+L355</f>
        <v>0</v>
      </c>
      <c r="N355">
        <f>0+D355+F355+G355+H355+I355+J355+K355+L355</f>
        <v>0</v>
      </c>
    </row>
    <row r="356" spans="3:14">
      <c r="C356" t="s">
        <v>36</v>
      </c>
      <c r="D356">
        <f>-13.4027*$D$332</f>
        <v>0</v>
      </c>
      <c r="E356">
        <f>110.783*$E$332</f>
        <v>0</v>
      </c>
      <c r="F356">
        <f>-124.5894*$F$332</f>
        <v>0</v>
      </c>
      <c r="G356">
        <f>1.1469*$G$332</f>
        <v>0</v>
      </c>
      <c r="H356">
        <f>0*$H$332</f>
        <v>0</v>
      </c>
      <c r="I356">
        <f>-1.9653*$I$332</f>
        <v>0</v>
      </c>
      <c r="J356">
        <f>30.0826*$J$332</f>
        <v>0</v>
      </c>
      <c r="K356">
        <f>-40.1101*$K$332</f>
        <v>0</v>
      </c>
      <c r="L356">
        <f>-1.9355*$L$332</f>
        <v>0</v>
      </c>
      <c r="M356">
        <f>0+D356+E356+G356+H356+I356+J356+K356+L356</f>
        <v>0</v>
      </c>
      <c r="N356">
        <f>0+D356+F356+G356+H356+I356+J356+K356+L356</f>
        <v>0</v>
      </c>
    </row>
    <row r="357" spans="3:14">
      <c r="C357" t="s">
        <v>37</v>
      </c>
      <c r="D357">
        <f>-13.4027*$D$332</f>
        <v>0</v>
      </c>
      <c r="E357">
        <f>110.783*$E$332</f>
        <v>0</v>
      </c>
      <c r="F357">
        <f>-124.5894*$F$332</f>
        <v>0</v>
      </c>
      <c r="G357">
        <f>1.1469*$G$332</f>
        <v>0</v>
      </c>
      <c r="H357">
        <f>0*$H$332</f>
        <v>0</v>
      </c>
      <c r="I357">
        <f>-1.9653*$I$332</f>
        <v>0</v>
      </c>
      <c r="J357">
        <f>30.0826*$J$332</f>
        <v>0</v>
      </c>
      <c r="K357">
        <f>-40.1101*$K$332</f>
        <v>0</v>
      </c>
      <c r="L357">
        <f>-1.9355*$L$332</f>
        <v>0</v>
      </c>
      <c r="M357">
        <f>0+D357+E357+G357+H357+I357+J357+K357+L357</f>
        <v>0</v>
      </c>
      <c r="N357">
        <f>0+D357+F357+G357+H357+I357+J357+K357+L357</f>
        <v>0</v>
      </c>
    </row>
    <row r="358" spans="3:14">
      <c r="C358" t="s">
        <v>38</v>
      </c>
      <c r="D358">
        <f>-11.6015*$D$332</f>
        <v>0</v>
      </c>
      <c r="E358">
        <f>150.7019*$E$332</f>
        <v>0</v>
      </c>
      <c r="F358">
        <f>-178.777*$F$332</f>
        <v>0</v>
      </c>
      <c r="G358">
        <f>1.5435*$G$332</f>
        <v>0</v>
      </c>
      <c r="H358">
        <f>0*$H$332</f>
        <v>0</v>
      </c>
      <c r="I358">
        <f>-1.7309*$I$332</f>
        <v>0</v>
      </c>
      <c r="J358">
        <f>34.5089*$J$332</f>
        <v>0</v>
      </c>
      <c r="K358">
        <f>-46.0119*$K$332</f>
        <v>0</v>
      </c>
      <c r="L358">
        <f>-2.2208*$L$332</f>
        <v>0</v>
      </c>
      <c r="M358">
        <f>0+D358+E358+G358+H358+I358+J358+K358+L358</f>
        <v>0</v>
      </c>
      <c r="N358">
        <f>0+D358+F358+G358+H358+I358+J358+K358+L358</f>
        <v>0</v>
      </c>
    </row>
    <row r="359" spans="3:14">
      <c r="C359" t="s">
        <v>39</v>
      </c>
      <c r="D359">
        <f>-11.2931*$D$332</f>
        <v>0</v>
      </c>
      <c r="E359">
        <f>152.9149*$E$332</f>
        <v>0</v>
      </c>
      <c r="F359">
        <f>-165.0974*$F$332</f>
        <v>0</v>
      </c>
      <c r="G359">
        <f>2.022*$G$332</f>
        <v>0</v>
      </c>
      <c r="H359">
        <f>0*$H$332</f>
        <v>0</v>
      </c>
      <c r="I359">
        <f>-1.7052*$I$332</f>
        <v>0</v>
      </c>
      <c r="J359">
        <f>31.9222*$J$332</f>
        <v>0</v>
      </c>
      <c r="K359">
        <f>-42.5629*$K$332</f>
        <v>0</v>
      </c>
      <c r="L359">
        <f>-2.3665*$L$332</f>
        <v>0</v>
      </c>
      <c r="M359">
        <f>0+D359+E359+G359+H359+I359+J359+K359+L359</f>
        <v>0</v>
      </c>
      <c r="N359">
        <f>0+D359+F359+G359+H359+I359+J359+K359+L359</f>
        <v>0</v>
      </c>
    </row>
    <row r="360" spans="3:14">
      <c r="C360" t="s">
        <v>40</v>
      </c>
      <c r="D360">
        <f>-9.6877*$D$332</f>
        <v>0</v>
      </c>
      <c r="E360">
        <f>152.0122*$E$332</f>
        <v>0</v>
      </c>
      <c r="F360">
        <f>-153.2157*$F$332</f>
        <v>0</v>
      </c>
      <c r="G360">
        <f>2.3491*$G$332</f>
        <v>0</v>
      </c>
      <c r="H360">
        <f>0*$H$332</f>
        <v>0</v>
      </c>
      <c r="I360">
        <f>-1.4809*$I$332</f>
        <v>0</v>
      </c>
      <c r="J360">
        <f>24.1229*$J$332</f>
        <v>0</v>
      </c>
      <c r="K360">
        <f>-32.1638*$K$332</f>
        <v>0</v>
      </c>
      <c r="L360">
        <f>-2.5015*$L$332</f>
        <v>0</v>
      </c>
      <c r="M360">
        <f>0+D360+E360+G360+H360+I360+J360+K360+L360</f>
        <v>0</v>
      </c>
      <c r="N360">
        <f>0+D360+F360+G360+H360+I360+J360+K360+L360</f>
        <v>0</v>
      </c>
    </row>
    <row r="361" spans="3:14">
      <c r="C361" t="s">
        <v>41</v>
      </c>
      <c r="D361">
        <f>-7.9432*$D$332</f>
        <v>0</v>
      </c>
      <c r="E361">
        <f>151.6772*$E$332</f>
        <v>0</v>
      </c>
      <c r="F361">
        <f>-143.1147*$F$332</f>
        <v>0</v>
      </c>
      <c r="G361">
        <f>2.2233*$G$332</f>
        <v>0</v>
      </c>
      <c r="H361">
        <f>0*$H$332</f>
        <v>0</v>
      </c>
      <c r="I361">
        <f>-1.2111*$I$332</f>
        <v>0</v>
      </c>
      <c r="J361">
        <f>18.1965*$J$332</f>
        <v>0</v>
      </c>
      <c r="K361">
        <f>-24.262*$K$332</f>
        <v>0</v>
      </c>
      <c r="L361">
        <f>-2.6663*$L$332</f>
        <v>0</v>
      </c>
      <c r="M361">
        <f>0+D361+E361+G361+H361+I361+J361+K361+L361</f>
        <v>0</v>
      </c>
      <c r="N361">
        <f>0+D361+F361+G361+H361+I361+J361+K361+L361</f>
        <v>0</v>
      </c>
    </row>
    <row r="362" spans="3:14">
      <c r="C362" t="s">
        <v>42</v>
      </c>
      <c r="D362">
        <f>-6.3336*$D$332</f>
        <v>0</v>
      </c>
      <c r="E362">
        <f>149.902*$E$332</f>
        <v>0</v>
      </c>
      <c r="F362">
        <f>-135.0904*$F$332</f>
        <v>0</v>
      </c>
      <c r="G362">
        <f>1.6555*$G$332</f>
        <v>0</v>
      </c>
      <c r="H362">
        <f>0*$H$332</f>
        <v>0</v>
      </c>
      <c r="I362">
        <f>-0.9609*$I$332</f>
        <v>0</v>
      </c>
      <c r="J362">
        <f>17.1425*$J$332</f>
        <v>0</v>
      </c>
      <c r="K362">
        <f>-22.8567*$K$332</f>
        <v>0</v>
      </c>
      <c r="L362">
        <f>-2.8076*$L$332</f>
        <v>0</v>
      </c>
      <c r="M362">
        <f>0+D362+E362+G362+H362+I362+J362+K362+L362</f>
        <v>0</v>
      </c>
      <c r="N362">
        <f>0+D362+F362+G362+H362+I362+J362+K362+L362</f>
        <v>0</v>
      </c>
    </row>
    <row r="363" spans="3:14">
      <c r="C363" t="s">
        <v>43</v>
      </c>
      <c r="D363">
        <f>-3.8523*$D$332</f>
        <v>0</v>
      </c>
      <c r="E363">
        <f>135.6646*$E$332</f>
        <v>0</v>
      </c>
      <c r="F363">
        <f>-123.3472*$F$332</f>
        <v>0</v>
      </c>
      <c r="G363">
        <f>1.2*$G$332</f>
        <v>0</v>
      </c>
      <c r="H363">
        <f>0*$H$332</f>
        <v>0</v>
      </c>
      <c r="I363">
        <f>-0.614*$I$332</f>
        <v>0</v>
      </c>
      <c r="J363">
        <f>16.4516*$J$332</f>
        <v>0</v>
      </c>
      <c r="K363">
        <f>-21.9355*$K$332</f>
        <v>0</v>
      </c>
      <c r="L363">
        <f>-2.8742*$L$332</f>
        <v>0</v>
      </c>
      <c r="M363">
        <f>0+D363+E363+G363+H363+I363+J363+K363+L363</f>
        <v>0</v>
      </c>
      <c r="N363">
        <f>0+D363+F363+G363+H363+I363+J363+K363+L363</f>
        <v>0</v>
      </c>
    </row>
    <row r="364" spans="3:14">
      <c r="C364" t="s">
        <v>44</v>
      </c>
      <c r="D364">
        <f>-2.431*$D$332</f>
        <v>0</v>
      </c>
      <c r="E364">
        <f>122.0706*$E$332</f>
        <v>0</v>
      </c>
      <c r="F364">
        <f>-106.3622*$F$332</f>
        <v>0</v>
      </c>
      <c r="G364">
        <f>0.8615*$G$332</f>
        <v>0</v>
      </c>
      <c r="H364">
        <f>0*$H$332</f>
        <v>0</v>
      </c>
      <c r="I364">
        <f>-0.3892*$I$332</f>
        <v>0</v>
      </c>
      <c r="J364">
        <f>12.0251*$J$332</f>
        <v>0</v>
      </c>
      <c r="K364">
        <f>-16.0335*$K$332</f>
        <v>0</v>
      </c>
      <c r="L364">
        <f>-2.8229*$L$332</f>
        <v>0</v>
      </c>
      <c r="M364">
        <f>0+D364+E364+G364+H364+I364+J364+K364+L364</f>
        <v>0</v>
      </c>
      <c r="N364">
        <f>0+D364+F364+G364+H364+I364+J364+K364+L364</f>
        <v>0</v>
      </c>
    </row>
    <row r="365" spans="3:14">
      <c r="C365" t="s">
        <v>45</v>
      </c>
      <c r="D365">
        <f>-1.1971*$D$332</f>
        <v>0</v>
      </c>
      <c r="E365">
        <f>111.5209*$E$332</f>
        <v>0</v>
      </c>
      <c r="F365">
        <f>-95.7852*$F$332</f>
        <v>0</v>
      </c>
      <c r="G365">
        <f>0.8061*$G$332</f>
        <v>0</v>
      </c>
      <c r="H365">
        <f>0*$H$332</f>
        <v>0</v>
      </c>
      <c r="I365">
        <f>-0.1984*$I$332</f>
        <v>0</v>
      </c>
      <c r="J365">
        <f>4.5654*$J$332</f>
        <v>0</v>
      </c>
      <c r="K365">
        <f>-6.0871*$K$332</f>
        <v>0</v>
      </c>
      <c r="L365">
        <f>-2.7775*$L$332</f>
        <v>0</v>
      </c>
      <c r="M365">
        <f>0+D365+E365+G365+H365+I365+J365+K365+L365</f>
        <v>0</v>
      </c>
      <c r="N365">
        <f>0+D365+F365+G365+H365+I365+J365+K365+L365</f>
        <v>0</v>
      </c>
    </row>
    <row r="366" spans="3:14">
      <c r="C366" t="s">
        <v>46</v>
      </c>
      <c r="D366">
        <f>-0.0925*$D$332</f>
        <v>0</v>
      </c>
      <c r="E366">
        <f>103.4751*$E$332</f>
        <v>0</v>
      </c>
      <c r="F366">
        <f>-90.6793*$F$332</f>
        <v>0</v>
      </c>
      <c r="G366">
        <f>0.5149*$G$332</f>
        <v>0</v>
      </c>
      <c r="H366">
        <f>0*$H$332</f>
        <v>0</v>
      </c>
      <c r="I366">
        <f>-0.012*$I$332</f>
        <v>0</v>
      </c>
      <c r="J366">
        <f>-1.133*$J$332</f>
        <v>0</v>
      </c>
      <c r="K366">
        <f>1.5107*$K$332</f>
        <v>0</v>
      </c>
      <c r="L366">
        <f>-2.7547*$L$332</f>
        <v>0</v>
      </c>
      <c r="M366">
        <f>0+D366+E366+G366+H366+I366+J366+K366+L366</f>
        <v>0</v>
      </c>
      <c r="N366">
        <f>0+D366+F366+G366+H366+I366+J366+K366+L366</f>
        <v>0</v>
      </c>
    </row>
    <row r="367" spans="3:14">
      <c r="C367" t="s">
        <v>47</v>
      </c>
      <c r="D367">
        <f>0.5165*$D$332</f>
        <v>0</v>
      </c>
      <c r="E367">
        <f>98.4356*$E$332</f>
        <v>0</v>
      </c>
      <c r="F367">
        <f>-97.9184*$F$332</f>
        <v>0</v>
      </c>
      <c r="G367">
        <f>-0.1517*$G$332</f>
        <v>0</v>
      </c>
      <c r="H367">
        <f>0*$H$332</f>
        <v>0</v>
      </c>
      <c r="I367">
        <f>0.0977*$I$332</f>
        <v>0</v>
      </c>
      <c r="J367">
        <f>-1.241*$J$332</f>
        <v>0</v>
      </c>
      <c r="K367">
        <f>1.6547*$K$332</f>
        <v>0</v>
      </c>
      <c r="L367">
        <f>-2.6735*$L$332</f>
        <v>0</v>
      </c>
      <c r="M367">
        <f>0+D367+E367+G367+H367+I367+J367+K367+L367</f>
        <v>0</v>
      </c>
      <c r="N367">
        <f>0+D367+F367+G367+H367+I367+J367+K367+L367</f>
        <v>0</v>
      </c>
    </row>
    <row r="368" spans="3:14">
      <c r="C368" t="s">
        <v>48</v>
      </c>
      <c r="D368">
        <f>-1.4783*$D$332</f>
        <v>0</v>
      </c>
      <c r="E368">
        <f>87.8524*$E$332</f>
        <v>0</v>
      </c>
      <c r="F368">
        <f>-102.9259*$F$332</f>
        <v>0</v>
      </c>
      <c r="G368">
        <f>-0.4705*$G$332</f>
        <v>0</v>
      </c>
      <c r="H368">
        <f>0*$H$332</f>
        <v>0</v>
      </c>
      <c r="I368">
        <f>-0.2072*$I$332</f>
        <v>0</v>
      </c>
      <c r="J368">
        <f>4.5758*$J$332</f>
        <v>0</v>
      </c>
      <c r="K368">
        <f>-6.101*$K$332</f>
        <v>0</v>
      </c>
      <c r="L368">
        <f>-2.3337*$L$332</f>
        <v>0</v>
      </c>
      <c r="M368">
        <f>0+D368+E368+G368+H368+I368+J368+K368+L368</f>
        <v>0</v>
      </c>
      <c r="N368">
        <f>0+D368+F368+G368+H368+I368+J368+K368+L368</f>
        <v>0</v>
      </c>
    </row>
    <row r="369" spans="3:14">
      <c r="C369" t="s">
        <v>49</v>
      </c>
      <c r="D369">
        <f>-0.6421*$D$332</f>
        <v>0</v>
      </c>
      <c r="E369">
        <f>91.6845*$E$332</f>
        <v>0</v>
      </c>
      <c r="F369">
        <f>-106.3838*$F$332</f>
        <v>0</v>
      </c>
      <c r="G369">
        <f>-0.8218*$G$332</f>
        <v>0</v>
      </c>
      <c r="H369">
        <f>0*$H$332</f>
        <v>0</v>
      </c>
      <c r="I369">
        <f>-0.0671*$I$332</f>
        <v>0</v>
      </c>
      <c r="J369">
        <f>0.8105*$J$332</f>
        <v>0</v>
      </c>
      <c r="K369">
        <f>-1.0806*$K$332</f>
        <v>0</v>
      </c>
      <c r="L369">
        <f>-1.8461*$L$332</f>
        <v>0</v>
      </c>
      <c r="M369">
        <f>0+D369+E369+G369+H369+I369+J369+K369+L369</f>
        <v>0</v>
      </c>
      <c r="N369">
        <f>0+D369+F369+G369+H369+I369+J369+K369+L369</f>
        <v>0</v>
      </c>
    </row>
    <row r="370" spans="3:14">
      <c r="C370" t="s">
        <v>50</v>
      </c>
      <c r="D370">
        <f>0.3652*$D$332</f>
        <v>0</v>
      </c>
      <c r="E370">
        <f>98.6103*$E$332</f>
        <v>0</v>
      </c>
      <c r="F370">
        <f>-115.6071*$F$332</f>
        <v>0</v>
      </c>
      <c r="G370">
        <f>-0.8927*$G$332</f>
        <v>0</v>
      </c>
      <c r="H370">
        <f>0*$H$332</f>
        <v>0</v>
      </c>
      <c r="I370">
        <f>0.0912*$I$332</f>
        <v>0</v>
      </c>
      <c r="J370">
        <f>-6.5681*$J$332</f>
        <v>0</v>
      </c>
      <c r="K370">
        <f>8.7574*$K$332</f>
        <v>0</v>
      </c>
      <c r="L370">
        <f>-1.2488*$L$332</f>
        <v>0</v>
      </c>
      <c r="M370">
        <f>0+D370+E370+G370+H370+I370+J370+K370+L370</f>
        <v>0</v>
      </c>
      <c r="N370">
        <f>0+D370+F370+G370+H370+I370+J370+K370+L370</f>
        <v>0</v>
      </c>
    </row>
    <row r="371" spans="3:14">
      <c r="C371" t="s">
        <v>51</v>
      </c>
      <c r="D371">
        <f>1.4638*$D$332</f>
        <v>0</v>
      </c>
      <c r="E371">
        <f>113.6956*$E$332</f>
        <v>0</v>
      </c>
      <c r="F371">
        <f>-128.9612*$F$332</f>
        <v>0</v>
      </c>
      <c r="G371">
        <f>-1.1977*$G$332</f>
        <v>0</v>
      </c>
      <c r="H371">
        <f>0*$H$332</f>
        <v>0</v>
      </c>
      <c r="I371">
        <f>0.2772*$I$332</f>
        <v>0</v>
      </c>
      <c r="J371">
        <f>-12.4812*$J$332</f>
        <v>0</v>
      </c>
      <c r="K371">
        <f>16.6417*$K$332</f>
        <v>0</v>
      </c>
      <c r="L371">
        <f>-0.6144*$L$332</f>
        <v>0</v>
      </c>
      <c r="M371">
        <f>0+D371+E371+G371+H371+I371+J371+K371+L371</f>
        <v>0</v>
      </c>
      <c r="N371">
        <f>0+D371+F371+G371+H371+I371+J371+K371+L371</f>
        <v>0</v>
      </c>
    </row>
    <row r="372" spans="3:14">
      <c r="C372" t="s">
        <v>52</v>
      </c>
      <c r="D372">
        <f>2.7787*$D$332</f>
        <v>0</v>
      </c>
      <c r="E372">
        <f>131.2258*$E$332</f>
        <v>0</v>
      </c>
      <c r="F372">
        <f>-142.7592*$F$332</f>
        <v>0</v>
      </c>
      <c r="G372">
        <f>-1.8788*$G$332</f>
        <v>0</v>
      </c>
      <c r="H372">
        <f>0*$H$332</f>
        <v>0</v>
      </c>
      <c r="I372">
        <f>0.4891*$I$332</f>
        <v>0</v>
      </c>
      <c r="J372">
        <f>-13.9553*$J$332</f>
        <v>0</v>
      </c>
      <c r="K372">
        <f>18.607*$K$332</f>
        <v>0</v>
      </c>
      <c r="L372">
        <f>0.351*$L$332</f>
        <v>0</v>
      </c>
      <c r="M372">
        <f>0+D372+E372+G372+H372+I372+J372+K372+L372</f>
        <v>0</v>
      </c>
      <c r="N372">
        <f>0+D372+F372+G372+H372+I372+J372+K372+L372</f>
        <v>0</v>
      </c>
    </row>
    <row r="373" spans="3:14">
      <c r="C373" t="s">
        <v>53</v>
      </c>
      <c r="D373">
        <f>4.0681*$D$332</f>
        <v>0</v>
      </c>
      <c r="E373">
        <f>136.7087*$E$332</f>
        <v>0</v>
      </c>
      <c r="F373">
        <f>-150.3204*$F$332</f>
        <v>0</v>
      </c>
      <c r="G373">
        <f>-2.3676*$G$332</f>
        <v>0</v>
      </c>
      <c r="H373">
        <f>0*$H$332</f>
        <v>0</v>
      </c>
      <c r="I373">
        <f>0.6634*$I$332</f>
        <v>0</v>
      </c>
      <c r="J373">
        <f>-13.9007*$J$332</f>
        <v>0</v>
      </c>
      <c r="K373">
        <f>18.5342*$K$332</f>
        <v>0</v>
      </c>
      <c r="L373">
        <f>3.3883*$L$332</f>
        <v>0</v>
      </c>
      <c r="M373">
        <f>0+D373+E373+G373+H373+I373+J373+K373+L373</f>
        <v>0</v>
      </c>
      <c r="N373">
        <f>0+D373+F373+G373+H373+I373+J373+K373+L373</f>
        <v>0</v>
      </c>
    </row>
    <row r="374" spans="3:14">
      <c r="C374" t="s">
        <v>54</v>
      </c>
      <c r="D374">
        <f>5.7582*$D$332</f>
        <v>0</v>
      </c>
      <c r="E374">
        <f>147.4669*$E$332</f>
        <v>0</v>
      </c>
      <c r="F374">
        <f>-151.543*$F$332</f>
        <v>0</v>
      </c>
      <c r="G374">
        <f>-2.6643*$G$332</f>
        <v>0</v>
      </c>
      <c r="H374">
        <f>0*$H$332</f>
        <v>0</v>
      </c>
      <c r="I374">
        <f>0.9219*$I$332</f>
        <v>0</v>
      </c>
      <c r="J374">
        <f>-18.7385*$J$332</f>
        <v>0</v>
      </c>
      <c r="K374">
        <f>24.9846*$K$332</f>
        <v>0</v>
      </c>
      <c r="L374">
        <f>4.4489*$L$332</f>
        <v>0</v>
      </c>
      <c r="M374">
        <f>0+D374+E374+G374+H374+I374+J374+K374+L374</f>
        <v>0</v>
      </c>
      <c r="N374">
        <f>0+D374+F374+G374+H374+I374+J374+K374+L374</f>
        <v>0</v>
      </c>
    </row>
    <row r="375" spans="3:14">
      <c r="C375" t="s">
        <v>55</v>
      </c>
      <c r="D375">
        <f>7.6907*$D$332</f>
        <v>0</v>
      </c>
      <c r="E375">
        <f>159.2636*$E$332</f>
        <v>0</v>
      </c>
      <c r="F375">
        <f>-154.0177*$F$332</f>
        <v>0</v>
      </c>
      <c r="G375">
        <f>-2.5797*$G$332</f>
        <v>0</v>
      </c>
      <c r="H375">
        <f>0*$H$332</f>
        <v>0</v>
      </c>
      <c r="I375">
        <f>1.2049*$I$332</f>
        <v>0</v>
      </c>
      <c r="J375">
        <f>-27.3986*$J$332</f>
        <v>0</v>
      </c>
      <c r="K375">
        <f>36.5315*$K$332</f>
        <v>0</v>
      </c>
      <c r="L375">
        <f>5.264*$L$332</f>
        <v>0</v>
      </c>
      <c r="M375">
        <f>0+D375+E375+G375+H375+I375+J375+K375+L375</f>
        <v>0</v>
      </c>
      <c r="N375">
        <f>0+D375+F375+G375+H375+I375+J375+K375+L375</f>
        <v>0</v>
      </c>
    </row>
    <row r="376" spans="3:14">
      <c r="C376" t="s">
        <v>56</v>
      </c>
      <c r="D376">
        <f>9.3741*$D$332</f>
        <v>0</v>
      </c>
      <c r="E376">
        <f>178.0606*$E$332</f>
        <v>0</v>
      </c>
      <c r="F376">
        <f>-157.3171*$F$332</f>
        <v>0</v>
      </c>
      <c r="G376">
        <f>-2.3545*$G$332</f>
        <v>0</v>
      </c>
      <c r="H376">
        <f>0*$H$332</f>
        <v>0</v>
      </c>
      <c r="I376">
        <f>1.4485*$I$332</f>
        <v>0</v>
      </c>
      <c r="J376">
        <f>-34.133*$J$332</f>
        <v>0</v>
      </c>
      <c r="K376">
        <f>45.5106*$K$332</f>
        <v>0</v>
      </c>
      <c r="L376">
        <f>5.4245*$L$332</f>
        <v>0</v>
      </c>
      <c r="M376">
        <f>0+D376+E376+G376+H376+I376+J376+K376+L376</f>
        <v>0</v>
      </c>
      <c r="N376">
        <f>0+D376+F376+G376+H376+I376+J376+K376+L376</f>
        <v>0</v>
      </c>
    </row>
    <row r="377" spans="3:14">
      <c r="C377" t="s">
        <v>57</v>
      </c>
      <c r="D377">
        <f>9.3108*$D$332</f>
        <v>0</v>
      </c>
      <c r="E377">
        <f>187.0161*$E$332</f>
        <v>0</v>
      </c>
      <c r="F377">
        <f>-152.7323*$F$332</f>
        <v>0</v>
      </c>
      <c r="G377">
        <f>-1.9922*$G$332</f>
        <v>0</v>
      </c>
      <c r="H377">
        <f>0*$H$332</f>
        <v>0</v>
      </c>
      <c r="I377">
        <f>1.4349*$I$332</f>
        <v>0</v>
      </c>
      <c r="J377">
        <f>-30.0222*$J$332</f>
        <v>0</v>
      </c>
      <c r="K377">
        <f>40.0296*$K$332</f>
        <v>0</v>
      </c>
      <c r="L377">
        <f>4.0089*$L$332</f>
        <v>0</v>
      </c>
      <c r="M377">
        <f>0+D377+E377+G377+H377+I377+J377+K377+L377</f>
        <v>0</v>
      </c>
      <c r="N377">
        <f>0+D377+F377+G377+H377+I377+J377+K377+L377</f>
        <v>0</v>
      </c>
    </row>
    <row r="378" spans="3:14">
      <c r="C378" t="s">
        <v>58</v>
      </c>
      <c r="D378">
        <f>11.5298*$D$332</f>
        <v>0</v>
      </c>
      <c r="E378">
        <f>194.6023*$E$332</f>
        <v>0</v>
      </c>
      <c r="F378">
        <f>-174.007*$F$332</f>
        <v>0</v>
      </c>
      <c r="G378">
        <f>-1.6104*$G$332</f>
        <v>0</v>
      </c>
      <c r="H378">
        <f>0*$H$332</f>
        <v>0</v>
      </c>
      <c r="I378">
        <f>1.7085*$I$332</f>
        <v>0</v>
      </c>
      <c r="J378">
        <f>-31.9532*$J$332</f>
        <v>0</v>
      </c>
      <c r="K378">
        <f>42.6043*$K$332</f>
        <v>0</v>
      </c>
      <c r="L378">
        <f>7.3442*$L$332</f>
        <v>0</v>
      </c>
      <c r="M378">
        <f>0+D378+E378+G378+H378+I378+J378+K378+L378</f>
        <v>0</v>
      </c>
      <c r="N378">
        <f>0+D378+F378+G378+H378+I378+J378+K378+L378</f>
        <v>0</v>
      </c>
    </row>
    <row r="379" spans="3:14">
      <c r="C379" t="s">
        <v>58</v>
      </c>
      <c r="D379">
        <f>-10.8193*$D$332</f>
        <v>0</v>
      </c>
      <c r="E379">
        <f>30.7836*$E$332</f>
        <v>0</v>
      </c>
      <c r="F379">
        <f>-46.0664*$F$332</f>
        <v>0</v>
      </c>
      <c r="G379">
        <f>0.8019*$G$332</f>
        <v>0</v>
      </c>
      <c r="H379">
        <f>0*$H$332</f>
        <v>0</v>
      </c>
      <c r="I379">
        <f>-1.5633*$I$332</f>
        <v>0</v>
      </c>
      <c r="J379">
        <f>24.0962*$J$332</f>
        <v>0</v>
      </c>
      <c r="K379">
        <f>-32.1283*$K$332</f>
        <v>0</v>
      </c>
      <c r="L379">
        <f>-39.7855*$L$332</f>
        <v>0</v>
      </c>
      <c r="M379">
        <f>0+D379+E379+G379+H379+I379+J379+K379+L379</f>
        <v>0</v>
      </c>
      <c r="N379">
        <f>0+D379+F379+G379+H379+I379+J379+K379+L379</f>
        <v>0</v>
      </c>
    </row>
    <row r="380" spans="3:14">
      <c r="C380" t="s">
        <v>59</v>
      </c>
      <c r="D380">
        <f>-10.8193*$D$332</f>
        <v>0</v>
      </c>
      <c r="E380">
        <f>30.7836*$E$332</f>
        <v>0</v>
      </c>
      <c r="F380">
        <f>-46.0664*$F$332</f>
        <v>0</v>
      </c>
      <c r="G380">
        <f>0.8019*$G$332</f>
        <v>0</v>
      </c>
      <c r="H380">
        <f>0*$H$332</f>
        <v>0</v>
      </c>
      <c r="I380">
        <f>-1.5633*$I$332</f>
        <v>0</v>
      </c>
      <c r="J380">
        <f>24.0962*$J$332</f>
        <v>0</v>
      </c>
      <c r="K380">
        <f>-32.1283*$K$332</f>
        <v>0</v>
      </c>
      <c r="L380">
        <f>-39.7855*$L$332</f>
        <v>0</v>
      </c>
      <c r="M380">
        <f>0+D380+E380+G380+H380+I380+J380+K380+L380</f>
        <v>0</v>
      </c>
      <c r="N380">
        <f>0+D380+F380+G380+H380+I380+J380+K380+L380</f>
        <v>0</v>
      </c>
    </row>
    <row r="381" spans="3:14">
      <c r="C381" t="s">
        <v>60</v>
      </c>
      <c r="D381">
        <f>-10.2005*$D$332</f>
        <v>0</v>
      </c>
      <c r="E381">
        <f>81.2634*$E$332</f>
        <v>0</v>
      </c>
      <c r="F381">
        <f>-95.3652*$F$332</f>
        <v>0</v>
      </c>
      <c r="G381">
        <f>1.0024*$G$332</f>
        <v>0</v>
      </c>
      <c r="H381">
        <f>0*$H$332</f>
        <v>0</v>
      </c>
      <c r="I381">
        <f>-1.4978*$I$332</f>
        <v>0</v>
      </c>
      <c r="J381">
        <f>28.7279*$J$332</f>
        <v>0</v>
      </c>
      <c r="K381">
        <f>-38.3039*$K$332</f>
        <v>0</v>
      </c>
      <c r="L381">
        <f>-34.5905*$L$332</f>
        <v>0</v>
      </c>
      <c r="M381">
        <f>0+D381+E381+G381+H381+I381+J381+K381+L381</f>
        <v>0</v>
      </c>
      <c r="N381">
        <f>0+D381+F381+G381+H381+I381+J381+K381+L381</f>
        <v>0</v>
      </c>
    </row>
    <row r="382" spans="3:14">
      <c r="C382" t="s">
        <v>61</v>
      </c>
      <c r="D382">
        <f>-10.594*$D$332</f>
        <v>0</v>
      </c>
      <c r="E382">
        <f>81.6044*$E$332</f>
        <v>0</v>
      </c>
      <c r="F382">
        <f>-89.677*$F$332</f>
        <v>0</v>
      </c>
      <c r="G382">
        <f>1.2707*$G$332</f>
        <v>0</v>
      </c>
      <c r="H382">
        <f>0*$H$332</f>
        <v>0</v>
      </c>
      <c r="I382">
        <f>-1.5659*$I$332</f>
        <v>0</v>
      </c>
      <c r="J382">
        <f>25.6238*$J$332</f>
        <v>0</v>
      </c>
      <c r="K382">
        <f>-34.1651*$K$332</f>
        <v>0</v>
      </c>
      <c r="L382">
        <f>-29.1885*$L$332</f>
        <v>0</v>
      </c>
      <c r="M382">
        <f>0+D382+E382+G382+H382+I382+J382+K382+L382</f>
        <v>0</v>
      </c>
      <c r="N382">
        <f>0+D382+F382+G382+H382+I382+J382+K382+L382</f>
        <v>0</v>
      </c>
    </row>
    <row r="383" spans="3:14">
      <c r="C383" t="s">
        <v>62</v>
      </c>
      <c r="D383">
        <f>-9.7042*$D$332</f>
        <v>0</v>
      </c>
      <c r="E383">
        <f>77.7942*$E$332</f>
        <v>0</v>
      </c>
      <c r="F383">
        <f>-80.9791*$F$332</f>
        <v>0</v>
      </c>
      <c r="G383">
        <f>1.2689*$G$332</f>
        <v>0</v>
      </c>
      <c r="H383">
        <f>0*$H$332</f>
        <v>0</v>
      </c>
      <c r="I383">
        <f>-1.4281*$I$332</f>
        <v>0</v>
      </c>
      <c r="J383">
        <f>16.1054*$J$332</f>
        <v>0</v>
      </c>
      <c r="K383">
        <f>-21.4738*$K$332</f>
        <v>0</v>
      </c>
      <c r="L383">
        <f>-23.0367*$L$332</f>
        <v>0</v>
      </c>
      <c r="M383">
        <f>0+D383+E383+G383+H383+I383+J383+K383+L383</f>
        <v>0</v>
      </c>
      <c r="N383">
        <f>0+D383+F383+G383+H383+I383+J383+K383+L383</f>
        <v>0</v>
      </c>
    </row>
    <row r="384" spans="3:14">
      <c r="C384" t="s">
        <v>63</v>
      </c>
      <c r="D384">
        <f>-8.3447*$D$332</f>
        <v>0</v>
      </c>
      <c r="E384">
        <f>76.0104*$E$332</f>
        <v>0</v>
      </c>
      <c r="F384">
        <f>-74.5259*$F$332</f>
        <v>0</v>
      </c>
      <c r="G384">
        <f>0.7697*$G$332</f>
        <v>0</v>
      </c>
      <c r="H384">
        <f>0*$H$332</f>
        <v>0</v>
      </c>
      <c r="I384">
        <f>-1.1915*$I$332</f>
        <v>0</v>
      </c>
      <c r="J384">
        <f>7.7387*$J$332</f>
        <v>0</v>
      </c>
      <c r="K384">
        <f>-10.3183*$K$332</f>
        <v>0</v>
      </c>
      <c r="L384">
        <f>-17.2317*$L$332</f>
        <v>0</v>
      </c>
      <c r="M384">
        <f>0+D384+E384+G384+H384+I384+J384+K384+L384</f>
        <v>0</v>
      </c>
      <c r="N384">
        <f>0+D384+F384+G384+H384+I384+J384+K384+L384</f>
        <v>0</v>
      </c>
    </row>
    <row r="385" spans="3:14">
      <c r="C385" t="s">
        <v>64</v>
      </c>
      <c r="D385">
        <f>-6.5697*$D$332</f>
        <v>0</v>
      </c>
      <c r="E385">
        <f>76.0505*$E$332</f>
        <v>0</v>
      </c>
      <c r="F385">
        <f>-82.2789*$F$332</f>
        <v>0</v>
      </c>
      <c r="G385">
        <f>-0.2561*$G$332</f>
        <v>0</v>
      </c>
      <c r="H385">
        <f>0*$H$332</f>
        <v>0</v>
      </c>
      <c r="I385">
        <f>-0.8861*$I$332</f>
        <v>0</v>
      </c>
      <c r="J385">
        <f>2.8277*$J$332</f>
        <v>0</v>
      </c>
      <c r="K385">
        <f>-3.7703*$K$332</f>
        <v>0</v>
      </c>
      <c r="L385">
        <f>-9.784*$L$332</f>
        <v>0</v>
      </c>
      <c r="M385">
        <f>0+D385+E385+G385+H385+I385+J385+K385+L385</f>
        <v>0</v>
      </c>
      <c r="N385">
        <f>0+D385+F385+G385+H385+I385+J385+K385+L385</f>
        <v>0</v>
      </c>
    </row>
    <row r="386" spans="3:14">
      <c r="C386" t="s">
        <v>65</v>
      </c>
      <c r="D386">
        <f>-2.7881*$D$332</f>
        <v>0</v>
      </c>
      <c r="E386">
        <f>68.7349*$E$332</f>
        <v>0</v>
      </c>
      <c r="F386">
        <f>-79.5384*$F$332</f>
        <v>0</v>
      </c>
      <c r="G386">
        <f>-1.8812*$G$332</f>
        <v>0</v>
      </c>
      <c r="H386">
        <f>0*$H$332</f>
        <v>0</v>
      </c>
      <c r="I386">
        <f>-0.269*$I$332</f>
        <v>0</v>
      </c>
      <c r="J386">
        <f>-10.1781*$J$332</f>
        <v>0</v>
      </c>
      <c r="K386">
        <f>13.5708*$K$332</f>
        <v>0</v>
      </c>
      <c r="L386">
        <f>11.8687*$L$332</f>
        <v>0</v>
      </c>
      <c r="M386">
        <f>0+D386+E386+G386+H386+I386+J386+K386+L386</f>
        <v>0</v>
      </c>
      <c r="N386">
        <f>0+D386+F386+G386+H386+I386+J386+K386+L386</f>
        <v>0</v>
      </c>
    </row>
    <row r="387" spans="3:14">
      <c r="C387" t="s">
        <v>66</v>
      </c>
      <c r="D387">
        <f>-1.1831*$D$332</f>
        <v>0</v>
      </c>
      <c r="E387">
        <f>70.7311*$E$332</f>
        <v>0</v>
      </c>
      <c r="F387">
        <f>-80.5117*$F$332</f>
        <v>0</v>
      </c>
      <c r="G387">
        <f>-2.7735*$G$332</f>
        <v>0</v>
      </c>
      <c r="H387">
        <f>0*$H$332</f>
        <v>0</v>
      </c>
      <c r="I387">
        <f>0.0258*$I$332</f>
        <v>0</v>
      </c>
      <c r="J387">
        <f>-20.4123*$J$332</f>
        <v>0</v>
      </c>
      <c r="K387">
        <f>27.2164*$K$332</f>
        <v>0</v>
      </c>
      <c r="L387">
        <f>18.8596*$L$332</f>
        <v>0</v>
      </c>
      <c r="M387">
        <f>0+D387+E387+G387+H387+I387+J387+K387+L387</f>
        <v>0</v>
      </c>
      <c r="N387">
        <f>0+D387+F387+G387+H387+I387+J387+K387+L387</f>
        <v>0</v>
      </c>
    </row>
    <row r="388" spans="3:14">
      <c r="C388" t="s">
        <v>67</v>
      </c>
      <c r="D388">
        <f>0.0352*$D$332</f>
        <v>0</v>
      </c>
      <c r="E388">
        <f>79.2398*$E$332</f>
        <v>0</v>
      </c>
      <c r="F388">
        <f>-83.9137*$F$332</f>
        <v>0</v>
      </c>
      <c r="G388">
        <f>-3.2651*$G$332</f>
        <v>0</v>
      </c>
      <c r="H388">
        <f>0*$H$332</f>
        <v>0</v>
      </c>
      <c r="I388">
        <f>0.2527*$I$332</f>
        <v>0</v>
      </c>
      <c r="J388">
        <f>-33.7563*$J$332</f>
        <v>0</v>
      </c>
      <c r="K388">
        <f>45.0084*$K$332</f>
        <v>0</v>
      </c>
      <c r="L388">
        <f>25.1667*$L$332</f>
        <v>0</v>
      </c>
      <c r="M388">
        <f>0+D388+E388+G388+H388+I388+J388+K388+L388</f>
        <v>0</v>
      </c>
      <c r="N388">
        <f>0+D388+F388+G388+H388+I388+J388+K388+L388</f>
        <v>0</v>
      </c>
    </row>
    <row r="389" spans="3:14">
      <c r="C389" t="s">
        <v>68</v>
      </c>
      <c r="D389">
        <f>0.9005*$D$332</f>
        <v>0</v>
      </c>
      <c r="E389">
        <f>89.0511*$E$332</f>
        <v>0</v>
      </c>
      <c r="F389">
        <f>-90.6951*$F$332</f>
        <v>0</v>
      </c>
      <c r="G389">
        <f>-3.5379*$G$332</f>
        <v>0</v>
      </c>
      <c r="H389">
        <f>0*$H$332</f>
        <v>0</v>
      </c>
      <c r="I389">
        <f>0.4126*$I$332</f>
        <v>0</v>
      </c>
      <c r="J389">
        <f>-41.5143*$J$332</f>
        <v>0</v>
      </c>
      <c r="K389">
        <f>55.3524*$K$332</f>
        <v>0</v>
      </c>
      <c r="L389">
        <f>32.2762*$L$332</f>
        <v>0</v>
      </c>
      <c r="M389">
        <f>0+D389+E389+G389+H389+I389+J389+K389+L389</f>
        <v>0</v>
      </c>
      <c r="N389">
        <f>0+D389+F389+G389+H389+I389+J389+K389+L389</f>
        <v>0</v>
      </c>
    </row>
    <row r="390" spans="3:14">
      <c r="C390" t="s">
        <v>69</v>
      </c>
      <c r="D390">
        <f>1.1881*$D$332</f>
        <v>0</v>
      </c>
      <c r="E390">
        <f>106.6908*$E$332</f>
        <v>0</v>
      </c>
      <c r="F390">
        <f>-97.7319*$F$332</f>
        <v>0</v>
      </c>
      <c r="G390">
        <f>-3.8888*$G$332</f>
        <v>0</v>
      </c>
      <c r="H390">
        <f>0*$H$332</f>
        <v>0</v>
      </c>
      <c r="I390">
        <f>0.472*$I$332</f>
        <v>0</v>
      </c>
      <c r="J390">
        <f>-45.9054*$J$332</f>
        <v>0</v>
      </c>
      <c r="K390">
        <f>61.2072*$K$332</f>
        <v>0</v>
      </c>
      <c r="L390">
        <f>39.2677*$L$332</f>
        <v>0</v>
      </c>
      <c r="M390">
        <f>0+D390+E390+G390+H390+I390+J390+K390+L390</f>
        <v>0</v>
      </c>
      <c r="N390">
        <f>0+D390+F390+G390+H390+I390+J390+K390+L390</f>
        <v>0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C3:N390"/>
  <sheetViews>
    <sheetView workbookViewId="0"/>
  </sheetViews>
  <sheetFormatPr defaultRowHeight="15"/>
  <sheetData>
    <row r="3" spans="3:14">
      <c r="C3" t="s">
        <v>79</v>
      </c>
    </row>
    <row r="5" spans="3:14">
      <c r="C5" t="s">
        <v>1</v>
      </c>
    </row>
    <row r="7" spans="3:14">
      <c r="C7" t="s">
        <v>2</v>
      </c>
    </row>
    <row r="8" spans="3:14"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  <c r="N8" t="s">
        <v>14</v>
      </c>
    </row>
    <row r="9" spans="3:14">
      <c r="C9" t="s">
        <v>80</v>
      </c>
      <c r="D9">
        <f>14.56*$D$7</f>
        <v>0</v>
      </c>
      <c r="E9">
        <f>472.1305*$E$7</f>
        <v>0</v>
      </c>
      <c r="F9">
        <f>-440.6164*$F$7</f>
        <v>0</v>
      </c>
      <c r="G9">
        <f>-24.4106*$G$7</f>
        <v>0</v>
      </c>
      <c r="H9">
        <f>0*$H$7</f>
        <v>0</v>
      </c>
      <c r="I9">
        <f>3.6272*$I$7</f>
        <v>0</v>
      </c>
      <c r="J9">
        <f>-270.5478*$J$7</f>
        <v>0</v>
      </c>
      <c r="K9">
        <f>360.7304*$K$7</f>
        <v>0</v>
      </c>
      <c r="L9">
        <f>0.1871*$L$7</f>
        <v>0</v>
      </c>
      <c r="M9">
        <f>0+D9+E9+G9+H9+I9+J9+K9+L9</f>
        <v>0</v>
      </c>
      <c r="N9">
        <f>0+D9+F9+G9+H9+I9+J9+K9+L9</f>
        <v>0</v>
      </c>
    </row>
    <row r="10" spans="3:14">
      <c r="C10" t="s">
        <v>16</v>
      </c>
      <c r="D10">
        <f>231.9032*$D$7</f>
        <v>0</v>
      </c>
      <c r="E10">
        <f>548.1595*$E$7</f>
        <v>0</v>
      </c>
      <c r="F10">
        <f>-205.9751*$F$7</f>
        <v>0</v>
      </c>
      <c r="G10">
        <f>11.507*$G$7</f>
        <v>0</v>
      </c>
      <c r="H10">
        <f>0*$H$7</f>
        <v>0</v>
      </c>
      <c r="I10">
        <f>34.1286*$I$7</f>
        <v>0</v>
      </c>
      <c r="J10">
        <f>-196.8465*$J$7</f>
        <v>0</v>
      </c>
      <c r="K10">
        <f>262.462*$K$7</f>
        <v>0</v>
      </c>
      <c r="L10">
        <f>0.1611*$L$7</f>
        <v>0</v>
      </c>
      <c r="M10">
        <f>0+D10+E10+G10+H10+I10+J10+K10+L10</f>
        <v>0</v>
      </c>
      <c r="N10">
        <f>0+D10+F10+G10+H10+I10+J10+K10+L10</f>
        <v>0</v>
      </c>
    </row>
    <row r="11" spans="3:14">
      <c r="C11" t="s">
        <v>17</v>
      </c>
      <c r="D11">
        <f>410.3864*$D$7</f>
        <v>0</v>
      </c>
      <c r="E11">
        <f>663.3382*$E$7</f>
        <v>0</v>
      </c>
      <c r="F11">
        <f>-71.0745*$F$7</f>
        <v>0</v>
      </c>
      <c r="G11">
        <f>38.4303*$G$7</f>
        <v>0</v>
      </c>
      <c r="H11">
        <f>0*$H$7</f>
        <v>0</v>
      </c>
      <c r="I11">
        <f>59.1787*$I$7</f>
        <v>0</v>
      </c>
      <c r="J11">
        <f>-152.8203*$J$7</f>
        <v>0</v>
      </c>
      <c r="K11">
        <f>203.7603*$K$7</f>
        <v>0</v>
      </c>
      <c r="L11">
        <f>0.1385*$L$7</f>
        <v>0</v>
      </c>
      <c r="M11">
        <f>0+D11+E11+G11+H11+I11+J11+K11+L11</f>
        <v>0</v>
      </c>
      <c r="N11">
        <f>0+D11+F11+G11+H11+I11+J11+K11+L11</f>
        <v>0</v>
      </c>
    </row>
    <row r="12" spans="3:14">
      <c r="C12" t="s">
        <v>18</v>
      </c>
      <c r="D12">
        <f>563.495*$D$7</f>
        <v>0</v>
      </c>
      <c r="E12">
        <f>808.4796*$E$7</f>
        <v>0</v>
      </c>
      <c r="F12">
        <f>-25.7524*$F$7</f>
        <v>0</v>
      </c>
      <c r="G12">
        <f>58.5439*$G$7</f>
        <v>0</v>
      </c>
      <c r="H12">
        <f>0*$H$7</f>
        <v>0</v>
      </c>
      <c r="I12">
        <f>80.6645*$I$7</f>
        <v>0</v>
      </c>
      <c r="J12">
        <f>-110.983*$J$7</f>
        <v>0</v>
      </c>
      <c r="K12">
        <f>147.9774*$K$7</f>
        <v>0</v>
      </c>
      <c r="L12">
        <f>0.1178*$L$7</f>
        <v>0</v>
      </c>
      <c r="M12">
        <f>0+D12+E12+G12+H12+I12+J12+K12+L12</f>
        <v>0</v>
      </c>
      <c r="N12">
        <f>0+D12+F12+G12+H12+I12+J12+K12+L12</f>
        <v>0</v>
      </c>
    </row>
    <row r="13" spans="3:14">
      <c r="C13" t="s">
        <v>19</v>
      </c>
      <c r="D13">
        <f>685.3136*$D$7</f>
        <v>0</v>
      </c>
      <c r="E13">
        <f>945.3187*$E$7</f>
        <v>0</v>
      </c>
      <c r="F13">
        <f>-25.5094*$F$7</f>
        <v>0</v>
      </c>
      <c r="G13">
        <f>71.8371*$G$7</f>
        <v>0</v>
      </c>
      <c r="H13">
        <f>0*$H$7</f>
        <v>0</v>
      </c>
      <c r="I13">
        <f>97.7278*$I$7</f>
        <v>0</v>
      </c>
      <c r="J13">
        <f>-68.65*$J$7</f>
        <v>0</v>
      </c>
      <c r="K13">
        <f>91.5334*$K$7</f>
        <v>0</v>
      </c>
      <c r="L13">
        <f>0.0997*$L$7</f>
        <v>0</v>
      </c>
      <c r="M13">
        <f>0+D13+E13+G13+H13+I13+J13+K13+L13</f>
        <v>0</v>
      </c>
      <c r="N13">
        <f>0+D13+F13+G13+H13+I13+J13+K13+L13</f>
        <v>0</v>
      </c>
    </row>
    <row r="14" spans="3:14">
      <c r="C14" t="s">
        <v>20</v>
      </c>
      <c r="D14">
        <f>791.5565*$D$7</f>
        <v>0</v>
      </c>
      <c r="E14">
        <f>1089.3064*$E$7</f>
        <v>0</v>
      </c>
      <c r="F14">
        <f>-26.7326*$F$7</f>
        <v>0</v>
      </c>
      <c r="G14">
        <f>81.2758*$G$7</f>
        <v>0</v>
      </c>
      <c r="H14">
        <f>0*$H$7</f>
        <v>0</v>
      </c>
      <c r="I14">
        <f>112.5359*$I$7</f>
        <v>0</v>
      </c>
      <c r="J14">
        <f>-19.1871*$J$7</f>
        <v>0</v>
      </c>
      <c r="K14">
        <f>25.5828*$K$7</f>
        <v>0</v>
      </c>
      <c r="L14">
        <f>0.0844*$L$7</f>
        <v>0</v>
      </c>
      <c r="M14">
        <f>0+D14+E14+G14+H14+I14+J14+K14+L14</f>
        <v>0</v>
      </c>
      <c r="N14">
        <f>0+D14+F14+G14+H14+I14+J14+K14+L14</f>
        <v>0</v>
      </c>
    </row>
    <row r="15" spans="3:14">
      <c r="C15" t="s">
        <v>21</v>
      </c>
      <c r="D15">
        <f>878.5952*$D$7</f>
        <v>0</v>
      </c>
      <c r="E15">
        <f>1203.1446*$E$7</f>
        <v>0</v>
      </c>
      <c r="F15">
        <f>-28.4995*$F$7</f>
        <v>0</v>
      </c>
      <c r="G15">
        <f>93.3998*$G$7</f>
        <v>0</v>
      </c>
      <c r="H15">
        <f>0*$H$7</f>
        <v>0</v>
      </c>
      <c r="I15">
        <f>125.1552*$I$7</f>
        <v>0</v>
      </c>
      <c r="J15">
        <f>-39.1376*$J$7</f>
        <v>0</v>
      </c>
      <c r="K15">
        <f>52.1834*$K$7</f>
        <v>0</v>
      </c>
      <c r="L15">
        <f>0.084*$L$7</f>
        <v>0</v>
      </c>
      <c r="M15">
        <f>0+D15+E15+G15+H15+I15+J15+K15+L15</f>
        <v>0</v>
      </c>
      <c r="N15">
        <f>0+D15+F15+G15+H15+I15+J15+K15+L15</f>
        <v>0</v>
      </c>
    </row>
    <row r="16" spans="3:14">
      <c r="C16" t="s">
        <v>22</v>
      </c>
      <c r="D16">
        <f>942.6636*$D$7</f>
        <v>0</v>
      </c>
      <c r="E16">
        <f>1295.0533*$E$7</f>
        <v>0</v>
      </c>
      <c r="F16">
        <f>-30.8776*$F$7</f>
        <v>0</v>
      </c>
      <c r="G16">
        <f>102.2132*$G$7</f>
        <v>0</v>
      </c>
      <c r="H16">
        <f>0*$H$7</f>
        <v>0</v>
      </c>
      <c r="I16">
        <f>134.3319*$I$7</f>
        <v>0</v>
      </c>
      <c r="J16">
        <f>-48.6865*$J$7</f>
        <v>0</v>
      </c>
      <c r="K16">
        <f>64.9153*$K$7</f>
        <v>0</v>
      </c>
      <c r="L16">
        <f>0.0706*$L$7</f>
        <v>0</v>
      </c>
      <c r="M16">
        <f>0+D16+E16+G16+H16+I16+J16+K16+L16</f>
        <v>0</v>
      </c>
      <c r="N16">
        <f>0+D16+F16+G16+H16+I16+J16+K16+L16</f>
        <v>0</v>
      </c>
    </row>
    <row r="17" spans="3:14">
      <c r="C17" t="s">
        <v>23</v>
      </c>
      <c r="D17">
        <f>984.1327*$D$7</f>
        <v>0</v>
      </c>
      <c r="E17">
        <f>1355.7463*$E$7</f>
        <v>0</v>
      </c>
      <c r="F17">
        <f>-33.242*$F$7</f>
        <v>0</v>
      </c>
      <c r="G17">
        <f>106.0207*$G$7</f>
        <v>0</v>
      </c>
      <c r="H17">
        <f>0*$H$7</f>
        <v>0</v>
      </c>
      <c r="I17">
        <f>140.2558*$I$7</f>
        <v>0</v>
      </c>
      <c r="J17">
        <f>-49.9154*$J$7</f>
        <v>0</v>
      </c>
      <c r="K17">
        <f>66.5539*$K$7</f>
        <v>0</v>
      </c>
      <c r="L17">
        <f>0.0597*$L$7</f>
        <v>0</v>
      </c>
      <c r="M17">
        <f>0+D17+E17+G17+H17+I17+J17+K17+L17</f>
        <v>0</v>
      </c>
      <c r="N17">
        <f>0+D17+F17+G17+H17+I17+J17+K17+L17</f>
        <v>0</v>
      </c>
    </row>
    <row r="18" spans="3:14">
      <c r="C18" t="s">
        <v>24</v>
      </c>
      <c r="D18">
        <f>1013.0779*$D$7</f>
        <v>0</v>
      </c>
      <c r="E18">
        <f>1404.1194*$E$7</f>
        <v>0</v>
      </c>
      <c r="F18">
        <f>-36.0663*$F$7</f>
        <v>0</v>
      </c>
      <c r="G18">
        <f>106.2219*$G$7</f>
        <v>0</v>
      </c>
      <c r="H18">
        <f>0*$H$7</f>
        <v>0</v>
      </c>
      <c r="I18">
        <f>144.3575*$I$7</f>
        <v>0</v>
      </c>
      <c r="J18">
        <f>-43.4316*$J$7</f>
        <v>0</v>
      </c>
      <c r="K18">
        <f>57.9088*$K$7</f>
        <v>0</v>
      </c>
      <c r="L18">
        <f>0.0483*$L$7</f>
        <v>0</v>
      </c>
      <c r="M18">
        <f>0+D18+E18+G18+H18+I18+J18+K18+L18</f>
        <v>0</v>
      </c>
      <c r="N18">
        <f>0+D18+F18+G18+H18+I18+J18+K18+L18</f>
        <v>0</v>
      </c>
    </row>
    <row r="19" spans="3:14">
      <c r="C19" t="s">
        <v>25</v>
      </c>
      <c r="D19">
        <f>1020.4117*$D$7</f>
        <v>0</v>
      </c>
      <c r="E19">
        <f>1420.9743*$E$7</f>
        <v>0</v>
      </c>
      <c r="F19">
        <f>-39.1494*$F$7</f>
        <v>0</v>
      </c>
      <c r="G19">
        <f>102.2355*$G$7</f>
        <v>0</v>
      </c>
      <c r="H19">
        <f>0*$H$7</f>
        <v>0</v>
      </c>
      <c r="I19">
        <f>145.2959*$I$7</f>
        <v>0</v>
      </c>
      <c r="J19">
        <f>-32.6628*$J$7</f>
        <v>0</v>
      </c>
      <c r="K19">
        <f>43.5503*$K$7</f>
        <v>0</v>
      </c>
      <c r="L19">
        <f>0.0385*$L$7</f>
        <v>0</v>
      </c>
      <c r="M19">
        <f>0+D19+E19+G19+H19+I19+J19+K19+L19</f>
        <v>0</v>
      </c>
      <c r="N19">
        <f>0+D19+F19+G19+H19+I19+J19+K19+L19</f>
        <v>0</v>
      </c>
    </row>
    <row r="20" spans="3:14">
      <c r="C20" t="s">
        <v>26</v>
      </c>
      <c r="D20">
        <f>994.1861*$D$7</f>
        <v>0</v>
      </c>
      <c r="E20">
        <f>1389.9258*$E$7</f>
        <v>0</v>
      </c>
      <c r="F20">
        <f>-42.4828*$F$7</f>
        <v>0</v>
      </c>
      <c r="G20">
        <f>104.3412*$G$7</f>
        <v>0</v>
      </c>
      <c r="H20">
        <f>0*$H$7</f>
        <v>0</v>
      </c>
      <c r="I20">
        <f>141.7144*$I$7</f>
        <v>0</v>
      </c>
      <c r="J20">
        <f>-45.6337*$J$7</f>
        <v>0</v>
      </c>
      <c r="K20">
        <f>60.845*$K$7</f>
        <v>0</v>
      </c>
      <c r="L20">
        <f>0.0446*$L$7</f>
        <v>0</v>
      </c>
      <c r="M20">
        <f>0+D20+E20+G20+H20+I20+J20+K20+L20</f>
        <v>0</v>
      </c>
      <c r="N20">
        <f>0+D20+F20+G20+H20+I20+J20+K20+L20</f>
        <v>0</v>
      </c>
    </row>
    <row r="21" spans="3:14">
      <c r="C21" t="s">
        <v>27</v>
      </c>
      <c r="D21">
        <f>949.1412*$D$7</f>
        <v>0</v>
      </c>
      <c r="E21">
        <f>1341.7447*$E$7</f>
        <v>0</v>
      </c>
      <c r="F21">
        <f>-45.7335*$F$7</f>
        <v>0</v>
      </c>
      <c r="G21">
        <f>102.7631*$G$7</f>
        <v>0</v>
      </c>
      <c r="H21">
        <f>0*$H$7</f>
        <v>0</v>
      </c>
      <c r="I21">
        <f>135.3219*$I$7</f>
        <v>0</v>
      </c>
      <c r="J21">
        <f>-54.3223*$J$7</f>
        <v>0</v>
      </c>
      <c r="K21">
        <f>72.4297*$K$7</f>
        <v>0</v>
      </c>
      <c r="L21">
        <f>0.0341*$L$7</f>
        <v>0</v>
      </c>
      <c r="M21">
        <f>0+D21+E21+G21+H21+I21+J21+K21+L21</f>
        <v>0</v>
      </c>
      <c r="N21">
        <f>0+D21+F21+G21+H21+I21+J21+K21+L21</f>
        <v>0</v>
      </c>
    </row>
    <row r="22" spans="3:14">
      <c r="C22" t="s">
        <v>28</v>
      </c>
      <c r="D22">
        <f>882.5169*$D$7</f>
        <v>0</v>
      </c>
      <c r="E22">
        <f>1262.0324*$E$7</f>
        <v>0</v>
      </c>
      <c r="F22">
        <f>-49.4656*$F$7</f>
        <v>0</v>
      </c>
      <c r="G22">
        <f>96.322*$G$7</f>
        <v>0</v>
      </c>
      <c r="H22">
        <f>0*$H$7</f>
        <v>0</v>
      </c>
      <c r="I22">
        <f>125.8077*$I$7</f>
        <v>0</v>
      </c>
      <c r="J22">
        <f>-54.8478*$J$7</f>
        <v>0</v>
      </c>
      <c r="K22">
        <f>73.1304*$K$7</f>
        <v>0</v>
      </c>
      <c r="L22">
        <f>0.0234*$L$7</f>
        <v>0</v>
      </c>
      <c r="M22">
        <f>0+D22+E22+G22+H22+I22+J22+K22+L22</f>
        <v>0</v>
      </c>
      <c r="N22">
        <f>0+D22+F22+G22+H22+I22+J22+K22+L22</f>
        <v>0</v>
      </c>
    </row>
    <row r="23" spans="3:14">
      <c r="C23" t="s">
        <v>29</v>
      </c>
      <c r="D23">
        <f>804.8076*$D$7</f>
        <v>0</v>
      </c>
      <c r="E23">
        <f>1168.5656*$E$7</f>
        <v>0</v>
      </c>
      <c r="F23">
        <f>-55.2205*$F$7</f>
        <v>0</v>
      </c>
      <c r="G23">
        <f>86.3691*$G$7</f>
        <v>0</v>
      </c>
      <c r="H23">
        <f>0*$H$7</f>
        <v>0</v>
      </c>
      <c r="I23">
        <f>114.695*$I$7</f>
        <v>0</v>
      </c>
      <c r="J23">
        <f>-47.9856*$J$7</f>
        <v>0</v>
      </c>
      <c r="K23">
        <f>63.9808*$K$7</f>
        <v>0</v>
      </c>
      <c r="L23">
        <f>0.0144*$L$7</f>
        <v>0</v>
      </c>
      <c r="M23">
        <f>0+D23+E23+G23+H23+I23+J23+K23+L23</f>
        <v>0</v>
      </c>
      <c r="N23">
        <f>0+D23+F23+G23+H23+I23+J23+K23+L23</f>
        <v>0</v>
      </c>
    </row>
    <row r="24" spans="3:14">
      <c r="C24" t="s">
        <v>30</v>
      </c>
      <c r="D24">
        <f>702.9755*$D$7</f>
        <v>0</v>
      </c>
      <c r="E24">
        <f>1049.074*$E$7</f>
        <v>0</v>
      </c>
      <c r="F24">
        <f>-62.7964*$F$7</f>
        <v>0</v>
      </c>
      <c r="G24">
        <f>71.8821*$G$7</f>
        <v>0</v>
      </c>
      <c r="H24">
        <f>0*$H$7</f>
        <v>0</v>
      </c>
      <c r="I24">
        <f>100.0688*$I$7</f>
        <v>0</v>
      </c>
      <c r="J24">
        <f>-37.5399*$J$7</f>
        <v>0</v>
      </c>
      <c r="K24">
        <f>50.0532*$K$7</f>
        <v>0</v>
      </c>
      <c r="L24">
        <f>0.0041*$L$7</f>
        <v>0</v>
      </c>
      <c r="M24">
        <f>0+D24+E24+G24+H24+I24+J24+K24+L24</f>
        <v>0</v>
      </c>
      <c r="N24">
        <f>0+D24+F24+G24+H24+I24+J24+K24+L24</f>
        <v>0</v>
      </c>
    </row>
    <row r="25" spans="3:14">
      <c r="C25" t="s">
        <v>31</v>
      </c>
      <c r="D25">
        <f>582.8936*$D$7</f>
        <v>0</v>
      </c>
      <c r="E25">
        <f>888.0814*$E$7</f>
        <v>0</v>
      </c>
      <c r="F25">
        <f>-63.3079*$F$7</f>
        <v>0</v>
      </c>
      <c r="G25">
        <f>63.987*$G$7</f>
        <v>0</v>
      </c>
      <c r="H25">
        <f>0*$H$7</f>
        <v>0</v>
      </c>
      <c r="I25">
        <f>83.0731*$I$7</f>
        <v>0</v>
      </c>
      <c r="J25">
        <f>-54.2403*$J$7</f>
        <v>0</v>
      </c>
      <c r="K25">
        <f>72.3203*$K$7</f>
        <v>0</v>
      </c>
      <c r="L25">
        <f>0.0121*$L$7</f>
        <v>0</v>
      </c>
      <c r="M25">
        <f>0+D25+E25+G25+H25+I25+J25+K25+L25</f>
        <v>0</v>
      </c>
      <c r="N25">
        <f>0+D25+F25+G25+H25+I25+J25+K25+L25</f>
        <v>0</v>
      </c>
    </row>
    <row r="26" spans="3:14">
      <c r="C26" t="s">
        <v>32</v>
      </c>
      <c r="D26">
        <f>469.937*$D$7</f>
        <v>0</v>
      </c>
      <c r="E26">
        <f>723.4807*$E$7</f>
        <v>0</v>
      </c>
      <c r="F26">
        <f>-59.8744*$F$7</f>
        <v>0</v>
      </c>
      <c r="G26">
        <f>54.1894*$G$7</f>
        <v>0</v>
      </c>
      <c r="H26">
        <f>0*$H$7</f>
        <v>0</v>
      </c>
      <c r="I26">
        <f>67.0317*$I$7</f>
        <v>0</v>
      </c>
      <c r="J26">
        <f>-67.7173*$J$7</f>
        <v>0</v>
      </c>
      <c r="K26">
        <f>90.2897*$K$7</f>
        <v>0</v>
      </c>
      <c r="L26">
        <f>0.0012*$L$7</f>
        <v>0</v>
      </c>
      <c r="M26">
        <f>0+D26+E26+G26+H26+I26+J26+K26+L26</f>
        <v>0</v>
      </c>
      <c r="N26">
        <f>0+D26+F26+G26+H26+I26+J26+K26+L26</f>
        <v>0</v>
      </c>
    </row>
    <row r="27" spans="3:14">
      <c r="C27" t="s">
        <v>33</v>
      </c>
      <c r="D27">
        <f>330.5256*$D$7</f>
        <v>0</v>
      </c>
      <c r="E27">
        <f>517.8362*$E$7</f>
        <v>0</v>
      </c>
      <c r="F27">
        <f>-56.7703*$F$7</f>
        <v>0</v>
      </c>
      <c r="G27">
        <f>39.5508*$G$7</f>
        <v>0</v>
      </c>
      <c r="H27">
        <f>0*$H$7</f>
        <v>0</v>
      </c>
      <c r="I27">
        <f>47.1922*$I$7</f>
        <v>0</v>
      </c>
      <c r="J27">
        <f>-77.5787*$J$7</f>
        <v>0</v>
      </c>
      <c r="K27">
        <f>103.4383*$K$7</f>
        <v>0</v>
      </c>
      <c r="L27">
        <f>-0.0093*$L$7</f>
        <v>0</v>
      </c>
      <c r="M27">
        <f>0+D27+E27+G27+H27+I27+J27+K27+L27</f>
        <v>0</v>
      </c>
      <c r="N27">
        <f>0+D27+F27+G27+H27+I27+J27+K27+L27</f>
        <v>0</v>
      </c>
    </row>
    <row r="28" spans="3:14">
      <c r="C28" t="s">
        <v>34</v>
      </c>
      <c r="D28">
        <f>167.6042*$D$7</f>
        <v>0</v>
      </c>
      <c r="E28">
        <f>270.2404*$E$7</f>
        <v>0</v>
      </c>
      <c r="F28">
        <f>-54.23*$F$7</f>
        <v>0</v>
      </c>
      <c r="G28">
        <f>19.7746*$G$7</f>
        <v>0</v>
      </c>
      <c r="H28">
        <f>0*$H$7</f>
        <v>0</v>
      </c>
      <c r="I28">
        <f>23.9831*$I$7</f>
        <v>0</v>
      </c>
      <c r="J28">
        <f>-83.7011*$J$7</f>
        <v>0</v>
      </c>
      <c r="K28">
        <f>111.6015*$K$7</f>
        <v>0</v>
      </c>
      <c r="L28">
        <f>-0.0183*$L$7</f>
        <v>0</v>
      </c>
      <c r="M28">
        <f>0+D28+E28+G28+H28+I28+J28+K28+L28</f>
        <v>0</v>
      </c>
      <c r="N28">
        <f>0+D28+F28+G28+H28+I28+J28+K28+L28</f>
        <v>0</v>
      </c>
    </row>
    <row r="29" spans="3:14">
      <c r="C29" t="s">
        <v>35</v>
      </c>
      <c r="D29">
        <f>-0.0757*$D$7</f>
        <v>0</v>
      </c>
      <c r="E29">
        <f>43.5705*$E$7</f>
        <v>0</v>
      </c>
      <c r="F29">
        <f>-80.2555*$F$7</f>
        <v>0</v>
      </c>
      <c r="G29">
        <f>-2.8658*$G$7</f>
        <v>0</v>
      </c>
      <c r="H29">
        <f>0*$H$7</f>
        <v>0</v>
      </c>
      <c r="I29">
        <f>0.0707*$I$7</f>
        <v>0</v>
      </c>
      <c r="J29">
        <f>-93.9877*$J$7</f>
        <v>0</v>
      </c>
      <c r="K29">
        <f>125.317*$K$7</f>
        <v>0</v>
      </c>
      <c r="L29">
        <f>-0.0246*$L$7</f>
        <v>0</v>
      </c>
      <c r="M29">
        <f>0+D29+E29+G29+H29+I29+J29+K29+L29</f>
        <v>0</v>
      </c>
      <c r="N29">
        <f>0+D29+F29+G29+H29+I29+J29+K29+L29</f>
        <v>0</v>
      </c>
    </row>
    <row r="30" spans="3:14">
      <c r="C30" t="s">
        <v>36</v>
      </c>
      <c r="D30">
        <f>-7.6935*$D$7</f>
        <v>0</v>
      </c>
      <c r="E30">
        <f>3.563*$E$7</f>
        <v>0</v>
      </c>
      <c r="F30">
        <f>-11.7271*$F$7</f>
        <v>0</v>
      </c>
      <c r="G30">
        <f>-0.8748*$G$7</f>
        <v>0</v>
      </c>
      <c r="H30">
        <f>0*$H$7</f>
        <v>0</v>
      </c>
      <c r="I30">
        <f>-1.1034*$I$7</f>
        <v>0</v>
      </c>
      <c r="J30">
        <f>-67.7972*$J$7</f>
        <v>0</v>
      </c>
      <c r="K30">
        <f>90.3963*$K$7</f>
        <v>0</v>
      </c>
      <c r="L30">
        <f>0.0009143*$L$7</f>
        <v>0</v>
      </c>
      <c r="M30">
        <f>0+D30+E30+G30+H30+I30+J30+K30+L30</f>
        <v>0</v>
      </c>
      <c r="N30">
        <f>0+D30+F30+G30+H30+I30+J30+K30+L30</f>
        <v>0</v>
      </c>
    </row>
    <row r="31" spans="3:14">
      <c r="C31" t="s">
        <v>36</v>
      </c>
      <c r="D31">
        <f>-8.5707*$D$7</f>
        <v>0</v>
      </c>
      <c r="E31">
        <f>0.8551*$E$7</f>
        <v>0</v>
      </c>
      <c r="F31">
        <f>-13.305*$F$7</f>
        <v>0</v>
      </c>
      <c r="G31">
        <f>-0.7079*$G$7</f>
        <v>0</v>
      </c>
      <c r="H31">
        <f>0*$H$7</f>
        <v>0</v>
      </c>
      <c r="I31">
        <f>-1.2388*$I$7</f>
        <v>0</v>
      </c>
      <c r="J31">
        <f>-66.0235*$J$7</f>
        <v>0</v>
      </c>
      <c r="K31">
        <f>88.0313*$K$7</f>
        <v>0</v>
      </c>
      <c r="L31">
        <f>-0.2968*$L$7</f>
        <v>0</v>
      </c>
      <c r="M31">
        <f>0+D31+E31+G31+H31+I31+J31+K31+L31</f>
        <v>0</v>
      </c>
      <c r="N31">
        <f>0+D31+F31+G31+H31+I31+J31+K31+L31</f>
        <v>0</v>
      </c>
    </row>
    <row r="32" spans="3:14">
      <c r="C32" t="s">
        <v>37</v>
      </c>
      <c r="D32">
        <f>-6.453*$D$7</f>
        <v>0</v>
      </c>
      <c r="E32">
        <f>13.172*$E$7</f>
        <v>0</v>
      </c>
      <c r="F32">
        <f>-18.6596*$F$7</f>
        <v>0</v>
      </c>
      <c r="G32">
        <f>-1.5599*$G$7</f>
        <v>0</v>
      </c>
      <c r="H32">
        <f>0*$H$7</f>
        <v>0</v>
      </c>
      <c r="I32">
        <f>-0.9236*$I$7</f>
        <v>0</v>
      </c>
      <c r="J32">
        <f>-80.244*$J$7</f>
        <v>0</v>
      </c>
      <c r="K32">
        <f>106.9921*$K$7</f>
        <v>0</v>
      </c>
      <c r="L32">
        <f>-0.0491*$L$7</f>
        <v>0</v>
      </c>
      <c r="M32">
        <f>0+D32+E32+G32+H32+I32+J32+K32+L32</f>
        <v>0</v>
      </c>
      <c r="N32">
        <f>0+D32+F32+G32+H32+I32+J32+K32+L32</f>
        <v>0</v>
      </c>
    </row>
    <row r="33" spans="3:14">
      <c r="C33" t="s">
        <v>38</v>
      </c>
      <c r="D33">
        <f>202.0267*$D$7</f>
        <v>0</v>
      </c>
      <c r="E33">
        <f>314.1163*$E$7</f>
        <v>0</v>
      </c>
      <c r="F33">
        <f>-9.7666*$F$7</f>
        <v>0</v>
      </c>
      <c r="G33">
        <f>20.702*$G$7</f>
        <v>0</v>
      </c>
      <c r="H33">
        <f>0*$H$7</f>
        <v>0</v>
      </c>
      <c r="I33">
        <f>29.022*$I$7</f>
        <v>0</v>
      </c>
      <c r="J33">
        <f>-100.4622*$J$7</f>
        <v>0</v>
      </c>
      <c r="K33">
        <f>133.9496*$K$7</f>
        <v>0</v>
      </c>
      <c r="L33">
        <f>3.9032*$L$7</f>
        <v>0</v>
      </c>
      <c r="M33">
        <f>0+D33+E33+G33+H33+I33+J33+K33+L33</f>
        <v>0</v>
      </c>
      <c r="N33">
        <f>0+D33+F33+G33+H33+I33+J33+K33+L33</f>
        <v>0</v>
      </c>
    </row>
    <row r="34" spans="3:14">
      <c r="C34" t="s">
        <v>39</v>
      </c>
      <c r="D34">
        <f>344.9828*$D$7</f>
        <v>0</v>
      </c>
      <c r="E34">
        <f>535.9211*$E$7</f>
        <v>0</v>
      </c>
      <c r="F34">
        <f>-13.3705*$F$7</f>
        <v>0</v>
      </c>
      <c r="G34">
        <f>38.9024*$G$7</f>
        <v>0</v>
      </c>
      <c r="H34">
        <f>0*$H$7</f>
        <v>0</v>
      </c>
      <c r="I34">
        <f>49.3426*$I$7</f>
        <v>0</v>
      </c>
      <c r="J34">
        <f>-91.9795*$J$7</f>
        <v>0</v>
      </c>
      <c r="K34">
        <f>122.6393*$K$7</f>
        <v>0</v>
      </c>
      <c r="L34">
        <f>3.0534*$L$7</f>
        <v>0</v>
      </c>
      <c r="M34">
        <f>0+D34+E34+G34+H34+I34+J34+K34+L34</f>
        <v>0</v>
      </c>
      <c r="N34">
        <f>0+D34+F34+G34+H34+I34+J34+K34+L34</f>
        <v>0</v>
      </c>
    </row>
    <row r="35" spans="3:14">
      <c r="C35" t="s">
        <v>40</v>
      </c>
      <c r="D35">
        <f>481.8554*$D$7</f>
        <v>0</v>
      </c>
      <c r="E35">
        <f>745.4722*$E$7</f>
        <v>0</v>
      </c>
      <c r="F35">
        <f>-18.94*$F$7</f>
        <v>0</v>
      </c>
      <c r="G35">
        <f>54.0014*$G$7</f>
        <v>0</v>
      </c>
      <c r="H35">
        <f>0*$H$7</f>
        <v>0</v>
      </c>
      <c r="I35">
        <f>68.7822*$I$7</f>
        <v>0</v>
      </c>
      <c r="J35">
        <f>-80.4163*$J$7</f>
        <v>0</v>
      </c>
      <c r="K35">
        <f>107.2217*$K$7</f>
        <v>0</v>
      </c>
      <c r="L35">
        <f>2.3088*$L$7</f>
        <v>0</v>
      </c>
      <c r="M35">
        <f>0+D35+E35+G35+H35+I35+J35+K35+L35</f>
        <v>0</v>
      </c>
      <c r="N35">
        <f>0+D35+F35+G35+H35+I35+J35+K35+L35</f>
        <v>0</v>
      </c>
    </row>
    <row r="36" spans="3:14">
      <c r="C36" t="s">
        <v>41</v>
      </c>
      <c r="D36">
        <f>596.1128*$D$7</f>
        <v>0</v>
      </c>
      <c r="E36">
        <f>917.1034*$E$7</f>
        <v>0</v>
      </c>
      <c r="F36">
        <f>-27.3061*$F$7</f>
        <v>0</v>
      </c>
      <c r="G36">
        <f>64.1678*$G$7</f>
        <v>0</v>
      </c>
      <c r="H36">
        <f>0*$H$7</f>
        <v>0</v>
      </c>
      <c r="I36">
        <f>84.9825*$I$7</f>
        <v>0</v>
      </c>
      <c r="J36">
        <f>-63.8191*$J$7</f>
        <v>0</v>
      </c>
      <c r="K36">
        <f>85.0922*$K$7</f>
        <v>0</v>
      </c>
      <c r="L36">
        <f>1.621*$L$7</f>
        <v>0</v>
      </c>
      <c r="M36">
        <f>0+D36+E36+G36+H36+I36+J36+K36+L36</f>
        <v>0</v>
      </c>
      <c r="N36">
        <f>0+D36+F36+G36+H36+I36+J36+K36+L36</f>
        <v>0</v>
      </c>
    </row>
    <row r="37" spans="3:14">
      <c r="C37" t="s">
        <v>42</v>
      </c>
      <c r="D37">
        <f>690.4554*$D$7</f>
        <v>0</v>
      </c>
      <c r="E37">
        <f>1057.3323*$E$7</f>
        <v>0</v>
      </c>
      <c r="F37">
        <f>-38.0542*$F$7</f>
        <v>0</v>
      </c>
      <c r="G37">
        <f>70.7693*$G$7</f>
        <v>0</v>
      </c>
      <c r="H37">
        <f>0*$H$7</f>
        <v>0</v>
      </c>
      <c r="I37">
        <f>98.2973*$I$7</f>
        <v>0</v>
      </c>
      <c r="J37">
        <f>-40.2814*$J$7</f>
        <v>0</v>
      </c>
      <c r="K37">
        <f>53.7085*$K$7</f>
        <v>0</v>
      </c>
      <c r="L37">
        <f>1.0028*$L$7</f>
        <v>0</v>
      </c>
      <c r="M37">
        <f>0+D37+E37+G37+H37+I37+J37+K37+L37</f>
        <v>0</v>
      </c>
      <c r="N37">
        <f>0+D37+F37+G37+H37+I37+J37+K37+L37</f>
        <v>0</v>
      </c>
    </row>
    <row r="38" spans="3:14">
      <c r="C38" t="s">
        <v>43</v>
      </c>
      <c r="D38">
        <f>790.7879*$D$7</f>
        <v>0</v>
      </c>
      <c r="E38">
        <f>1178.6742*$E$7</f>
        <v>0</v>
      </c>
      <c r="F38">
        <f>-31.545*$F$7</f>
        <v>0</v>
      </c>
      <c r="G38">
        <f>84.1644*$G$7</f>
        <v>0</v>
      </c>
      <c r="H38">
        <f>0*$H$7</f>
        <v>0</v>
      </c>
      <c r="I38">
        <f>112.7666*$I$7</f>
        <v>0</v>
      </c>
      <c r="J38">
        <f>-57.0283*$J$7</f>
        <v>0</v>
      </c>
      <c r="K38">
        <f>76.0377*$K$7</f>
        <v>0</v>
      </c>
      <c r="L38">
        <f>0.6301*$L$7</f>
        <v>0</v>
      </c>
      <c r="M38">
        <f>0+D38+E38+G38+H38+I38+J38+K38+L38</f>
        <v>0</v>
      </c>
      <c r="N38">
        <f>0+D38+F38+G38+H38+I38+J38+K38+L38</f>
        <v>0</v>
      </c>
    </row>
    <row r="39" spans="3:14">
      <c r="C39" t="s">
        <v>44</v>
      </c>
      <c r="D39">
        <f>863.7362*$D$7</f>
        <v>0</v>
      </c>
      <c r="E39">
        <f>1271.3385*$E$7</f>
        <v>0</v>
      </c>
      <c r="F39">
        <f>-32.476*$F$7</f>
        <v>0</v>
      </c>
      <c r="G39">
        <f>93.719*$G$7</f>
        <v>0</v>
      </c>
      <c r="H39">
        <f>0*$H$7</f>
        <v>0</v>
      </c>
      <c r="I39">
        <f>123.1985*$I$7</f>
        <v>0</v>
      </c>
      <c r="J39">
        <f>-65.9951*$J$7</f>
        <v>0</v>
      </c>
      <c r="K39">
        <f>87.9935*$K$7</f>
        <v>0</v>
      </c>
      <c r="L39">
        <f>-0.3975*$L$7</f>
        <v>0</v>
      </c>
      <c r="M39">
        <f>0+D39+E39+G39+H39+I39+J39+K39+L39</f>
        <v>0</v>
      </c>
      <c r="N39">
        <f>0+D39+F39+G39+H39+I39+J39+K39+L39</f>
        <v>0</v>
      </c>
    </row>
    <row r="40" spans="3:14">
      <c r="C40" t="s">
        <v>45</v>
      </c>
      <c r="D40">
        <f>912.7928*$D$7</f>
        <v>0</v>
      </c>
      <c r="E40">
        <f>1336.0637*$E$7</f>
        <v>0</v>
      </c>
      <c r="F40">
        <f>-34.3897*$F$7</f>
        <v>0</v>
      </c>
      <c r="G40">
        <f>98.1396*$G$7</f>
        <v>0</v>
      </c>
      <c r="H40">
        <f>0*$H$7</f>
        <v>0</v>
      </c>
      <c r="I40">
        <f>130.1996*$I$7</f>
        <v>0</v>
      </c>
      <c r="J40">
        <f>-67.109*$J$7</f>
        <v>0</v>
      </c>
      <c r="K40">
        <f>89.4786*$K$7</f>
        <v>0</v>
      </c>
      <c r="L40">
        <f>-1.3237*$L$7</f>
        <v>0</v>
      </c>
      <c r="M40">
        <f>0+D40+E40+G40+H40+I40+J40+K40+L40</f>
        <v>0</v>
      </c>
      <c r="N40">
        <f>0+D40+F40+G40+H40+I40+J40+K40+L40</f>
        <v>0</v>
      </c>
    </row>
    <row r="41" spans="3:14">
      <c r="C41" t="s">
        <v>46</v>
      </c>
      <c r="D41">
        <f>949.8447*$D$7</f>
        <v>0</v>
      </c>
      <c r="E41">
        <f>1386.5813*$E$7</f>
        <v>0</v>
      </c>
      <c r="F41">
        <f>-40.3791*$F$7</f>
        <v>0</v>
      </c>
      <c r="G41">
        <f>98.9383*$G$7</f>
        <v>0</v>
      </c>
      <c r="H41">
        <f>0*$H$7</f>
        <v>0</v>
      </c>
      <c r="I41">
        <f>135.4592*$I$7</f>
        <v>0</v>
      </c>
      <c r="J41">
        <f>-61.1672*$J$7</f>
        <v>0</v>
      </c>
      <c r="K41">
        <f>81.5563*$K$7</f>
        <v>0</v>
      </c>
      <c r="L41">
        <f>-2.4166*$L$7</f>
        <v>0</v>
      </c>
      <c r="M41">
        <f>0+D41+E41+G41+H41+I41+J41+K41+L41</f>
        <v>0</v>
      </c>
      <c r="N41">
        <f>0+D41+F41+G41+H41+I41+J41+K41+L41</f>
        <v>0</v>
      </c>
    </row>
    <row r="42" spans="3:14">
      <c r="C42" t="s">
        <v>47</v>
      </c>
      <c r="D42">
        <f>964.9632*$D$7</f>
        <v>0</v>
      </c>
      <c r="E42">
        <f>1404.6823*$E$7</f>
        <v>0</v>
      </c>
      <c r="F42">
        <f>-49.2417*$F$7</f>
        <v>0</v>
      </c>
      <c r="G42">
        <f>95.5115*$G$7</f>
        <v>0</v>
      </c>
      <c r="H42">
        <f>0*$H$7</f>
        <v>0</v>
      </c>
      <c r="I42">
        <f>137.513*$I$7</f>
        <v>0</v>
      </c>
      <c r="J42">
        <f>-51.208*$J$7</f>
        <v>0</v>
      </c>
      <c r="K42">
        <f>68.2773*$K$7</f>
        <v>0</v>
      </c>
      <c r="L42">
        <f>-3.5443*$L$7</f>
        <v>0</v>
      </c>
      <c r="M42">
        <f>0+D42+E42+G42+H42+I42+J42+K42+L42</f>
        <v>0</v>
      </c>
      <c r="N42">
        <f>0+D42+F42+G42+H42+I42+J42+K42+L42</f>
        <v>0</v>
      </c>
    </row>
    <row r="43" spans="3:14">
      <c r="C43" t="s">
        <v>48</v>
      </c>
      <c r="D43">
        <f>946.0888*$D$7</f>
        <v>0</v>
      </c>
      <c r="E43">
        <f>1377.8346*$E$7</f>
        <v>0</v>
      </c>
      <c r="F43">
        <f>-47.7513*$F$7</f>
        <v>0</v>
      </c>
      <c r="G43">
        <f>98.638*$G$7</f>
        <v>0</v>
      </c>
      <c r="H43">
        <f>0*$H$7</f>
        <v>0</v>
      </c>
      <c r="I43">
        <f>134.944*$I$7</f>
        <v>0</v>
      </c>
      <c r="J43">
        <f>-59.8127*$J$7</f>
        <v>0</v>
      </c>
      <c r="K43">
        <f>79.7503*$K$7</f>
        <v>0</v>
      </c>
      <c r="L43">
        <f>-3.9426*$L$7</f>
        <v>0</v>
      </c>
      <c r="M43">
        <f>0+D43+E43+G43+H43+I43+J43+K43+L43</f>
        <v>0</v>
      </c>
      <c r="N43">
        <f>0+D43+F43+G43+H43+I43+J43+K43+L43</f>
        <v>0</v>
      </c>
    </row>
    <row r="44" spans="3:14">
      <c r="C44" t="s">
        <v>49</v>
      </c>
      <c r="D44">
        <f>908.5954*$D$7</f>
        <v>0</v>
      </c>
      <c r="E44">
        <f>1330.8251*$E$7</f>
        <v>0</v>
      </c>
      <c r="F44">
        <f>-49.1421*$F$7</f>
        <v>0</v>
      </c>
      <c r="G44">
        <f>97.9657*$G$7</f>
        <v>0</v>
      </c>
      <c r="H44">
        <f>0*$H$7</f>
        <v>0</v>
      </c>
      <c r="I44">
        <f>129.6077*$I$7</f>
        <v>0</v>
      </c>
      <c r="J44">
        <f>-65.779*$J$7</f>
        <v>0</v>
      </c>
      <c r="K44">
        <f>87.7053*$K$7</f>
        <v>0</v>
      </c>
      <c r="L44">
        <f>-4.8999*$L$7</f>
        <v>0</v>
      </c>
      <c r="M44">
        <f>0+D44+E44+G44+H44+I44+J44+K44+L44</f>
        <v>0</v>
      </c>
      <c r="N44">
        <f>0+D44+F44+G44+H44+I44+J44+K44+L44</f>
        <v>0</v>
      </c>
    </row>
    <row r="45" spans="3:14">
      <c r="C45" t="s">
        <v>50</v>
      </c>
      <c r="D45">
        <f>849.3939*$D$7</f>
        <v>0</v>
      </c>
      <c r="E45">
        <f>1251.8188*$E$7</f>
        <v>0</v>
      </c>
      <c r="F45">
        <f>-53.3978*$F$7</f>
        <v>0</v>
      </c>
      <c r="G45">
        <f>92.3889*$G$7</f>
        <v>0</v>
      </c>
      <c r="H45">
        <f>0*$H$7</f>
        <v>0</v>
      </c>
      <c r="I45">
        <f>121.1353*$I$7</f>
        <v>0</v>
      </c>
      <c r="J45">
        <f>-64.025*$J$7</f>
        <v>0</v>
      </c>
      <c r="K45">
        <f>85.3667*$K$7</f>
        <v>0</v>
      </c>
      <c r="L45">
        <f>-5.9539*$L$7</f>
        <v>0</v>
      </c>
      <c r="M45">
        <f>0+D45+E45+G45+H45+I45+J45+K45+L45</f>
        <v>0</v>
      </c>
      <c r="N45">
        <f>0+D45+F45+G45+H45+I45+J45+K45+L45</f>
        <v>0</v>
      </c>
    </row>
    <row r="46" spans="3:14">
      <c r="C46" t="s">
        <v>51</v>
      </c>
      <c r="D46">
        <f>778.21*$D$7</f>
        <v>0</v>
      </c>
      <c r="E46">
        <f>1159.9367*$E$7</f>
        <v>0</v>
      </c>
      <c r="F46">
        <f>-58.4777*$F$7</f>
        <v>0</v>
      </c>
      <c r="G46">
        <f>83.1718*$G$7</f>
        <v>0</v>
      </c>
      <c r="H46">
        <f>0*$H$7</f>
        <v>0</v>
      </c>
      <c r="I46">
        <f>110.9419*$I$7</f>
        <v>0</v>
      </c>
      <c r="J46">
        <f>-55.5107*$J$7</f>
        <v>0</v>
      </c>
      <c r="K46">
        <f>74.0143*$K$7</f>
        <v>0</v>
      </c>
      <c r="L46">
        <f>-6.9384*$L$7</f>
        <v>0</v>
      </c>
      <c r="M46">
        <f>0+D46+E46+G46+H46+I46+J46+K46+L46</f>
        <v>0</v>
      </c>
      <c r="N46">
        <f>0+D46+F46+G46+H46+I46+J46+K46+L46</f>
        <v>0</v>
      </c>
    </row>
    <row r="47" spans="3:14">
      <c r="C47" t="s">
        <v>52</v>
      </c>
      <c r="D47">
        <f>683.5349*$D$7</f>
        <v>0</v>
      </c>
      <c r="E47">
        <f>1041.2336*$E$7</f>
        <v>0</v>
      </c>
      <c r="F47">
        <f>-64.468*$F$7</f>
        <v>0</v>
      </c>
      <c r="G47">
        <f>69.4739*$G$7</f>
        <v>0</v>
      </c>
      <c r="H47">
        <f>0*$H$7</f>
        <v>0</v>
      </c>
      <c r="I47">
        <f>97.3257*$I$7</f>
        <v>0</v>
      </c>
      <c r="J47">
        <f>-43.4686*$J$7</f>
        <v>0</v>
      </c>
      <c r="K47">
        <f>57.9582*$K$7</f>
        <v>0</v>
      </c>
      <c r="L47">
        <f>-7.943*$L$7</f>
        <v>0</v>
      </c>
      <c r="M47">
        <f>0+D47+E47+G47+H47+I47+J47+K47+L47</f>
        <v>0</v>
      </c>
      <c r="N47">
        <f>0+D47+F47+G47+H47+I47+J47+K47+L47</f>
        <v>0</v>
      </c>
    </row>
    <row r="48" spans="3:14">
      <c r="C48" t="s">
        <v>53</v>
      </c>
      <c r="D48">
        <f>567.9304*$D$7</f>
        <v>0</v>
      </c>
      <c r="E48">
        <f>881.9648*$E$7</f>
        <v>0</v>
      </c>
      <c r="F48">
        <f>-65.035*$F$7</f>
        <v>0</v>
      </c>
      <c r="G48">
        <f>62.1516*$G$7</f>
        <v>0</v>
      </c>
      <c r="H48">
        <f>0*$H$7</f>
        <v>0</v>
      </c>
      <c r="I48">
        <f>80.9601*$I$7</f>
        <v>0</v>
      </c>
      <c r="J48">
        <f>-58.641*$J$7</f>
        <v>0</v>
      </c>
      <c r="K48">
        <f>78.188*$K$7</f>
        <v>0</v>
      </c>
      <c r="L48">
        <f>-5.9254*$L$7</f>
        <v>0</v>
      </c>
      <c r="M48">
        <f>0+D48+E48+G48+H48+I48+J48+K48+L48</f>
        <v>0</v>
      </c>
      <c r="N48">
        <f>0+D48+F48+G48+H48+I48+J48+K48+L48</f>
        <v>0</v>
      </c>
    </row>
    <row r="49" spans="3:14">
      <c r="C49" t="s">
        <v>54</v>
      </c>
      <c r="D49">
        <f>458.2151*$D$7</f>
        <v>0</v>
      </c>
      <c r="E49">
        <f>717.5792*$E$7</f>
        <v>0</v>
      </c>
      <c r="F49">
        <f>-60.1911*$F$7</f>
        <v>0</v>
      </c>
      <c r="G49">
        <f>52.7686*$G$7</f>
        <v>0</v>
      </c>
      <c r="H49">
        <f>0*$H$7</f>
        <v>0</v>
      </c>
      <c r="I49">
        <f>65.3746*$I$7</f>
        <v>0</v>
      </c>
      <c r="J49">
        <f>-70.9217*$J$7</f>
        <v>0</v>
      </c>
      <c r="K49">
        <f>94.5622*$K$7</f>
        <v>0</v>
      </c>
      <c r="L49">
        <f>-3.7708*$L$7</f>
        <v>0</v>
      </c>
      <c r="M49">
        <f>0+D49+E49+G49+H49+I49+J49+K49+L49</f>
        <v>0</v>
      </c>
      <c r="N49">
        <f>0+D49+F49+G49+H49+I49+J49+K49+L49</f>
        <v>0</v>
      </c>
    </row>
    <row r="50" spans="3:14">
      <c r="C50" t="s">
        <v>55</v>
      </c>
      <c r="D50">
        <f>322.467*$D$7</f>
        <v>0</v>
      </c>
      <c r="E50">
        <f>513.0471*$E$7</f>
        <v>0</v>
      </c>
      <c r="F50">
        <f>-56.1992*$F$7</f>
        <v>0</v>
      </c>
      <c r="G50">
        <f>38.5909*$G$7</f>
        <v>0</v>
      </c>
      <c r="H50">
        <f>0*$H$7</f>
        <v>0</v>
      </c>
      <c r="I50">
        <f>46.051*$I$7</f>
        <v>0</v>
      </c>
      <c r="J50">
        <f>-79.5164*$J$7</f>
        <v>0</v>
      </c>
      <c r="K50">
        <f>106.0219*$K$7</f>
        <v>0</v>
      </c>
      <c r="L50">
        <f>-1.7777*$L$7</f>
        <v>0</v>
      </c>
      <c r="M50">
        <f>0+D50+E50+G50+H50+I50+J50+K50+L50</f>
        <v>0</v>
      </c>
      <c r="N50">
        <f>0+D50+F50+G50+H50+I50+J50+K50+L50</f>
        <v>0</v>
      </c>
    </row>
    <row r="51" spans="3:14">
      <c r="C51" t="s">
        <v>56</v>
      </c>
      <c r="D51">
        <f>163.2259*$D$7</f>
        <v>0</v>
      </c>
      <c r="E51">
        <f>267.4303*$E$7</f>
        <v>0</v>
      </c>
      <c r="F51">
        <f>-54.1464*$F$7</f>
        <v>0</v>
      </c>
      <c r="G51">
        <f>19.2785*$G$7</f>
        <v>0</v>
      </c>
      <c r="H51">
        <f>0*$H$7</f>
        <v>0</v>
      </c>
      <c r="I51">
        <f>23.3601*$I$7</f>
        <v>0</v>
      </c>
      <c r="J51">
        <f>-84.3501*$J$7</f>
        <v>0</v>
      </c>
      <c r="K51">
        <f>112.4668*$K$7</f>
        <v>0</v>
      </c>
      <c r="L51">
        <f>-0.1517*$L$7</f>
        <v>0</v>
      </c>
      <c r="M51">
        <f>0+D51+E51+G51+H51+I51+J51+K51+L51</f>
        <v>0</v>
      </c>
      <c r="N51">
        <f>0+D51+F51+G51+H51+I51+J51+K51+L51</f>
        <v>0</v>
      </c>
    </row>
    <row r="52" spans="3:14">
      <c r="C52" t="s">
        <v>57</v>
      </c>
      <c r="D52">
        <f>-1.6737*$D$7</f>
        <v>0</v>
      </c>
      <c r="E52">
        <f>49.8937*$E$7</f>
        <v>0</v>
      </c>
      <c r="F52">
        <f>-85.1718*$F$7</f>
        <v>0</v>
      </c>
      <c r="G52">
        <f>-2.9873*$G$7</f>
        <v>0</v>
      </c>
      <c r="H52">
        <f>0*$H$7</f>
        <v>0</v>
      </c>
      <c r="I52">
        <f>-0.1627*$I$7</f>
        <v>0</v>
      </c>
      <c r="J52">
        <f>-93.346*$J$7</f>
        <v>0</v>
      </c>
      <c r="K52">
        <f>124.4614*$K$7</f>
        <v>0</v>
      </c>
      <c r="L52">
        <f>1.2493*$L$7</f>
        <v>0</v>
      </c>
      <c r="M52">
        <f>0+D52+E52+G52+H52+I52+J52+K52+L52</f>
        <v>0</v>
      </c>
      <c r="N52">
        <f>0+D52+F52+G52+H52+I52+J52+K52+L52</f>
        <v>0</v>
      </c>
    </row>
    <row r="53" spans="3:14">
      <c r="C53" t="s">
        <v>58</v>
      </c>
      <c r="D53">
        <f>-7.525*$D$7</f>
        <v>0</v>
      </c>
      <c r="E53">
        <f>3.5335*$E$7</f>
        <v>0</v>
      </c>
      <c r="F53">
        <f>-11.5602*$F$7</f>
        <v>0</v>
      </c>
      <c r="G53">
        <f>-0.8533*$G$7</f>
        <v>0</v>
      </c>
      <c r="H53">
        <f>0*$H$7</f>
        <v>0</v>
      </c>
      <c r="I53">
        <f>-1.0797*$I$7</f>
        <v>0</v>
      </c>
      <c r="J53">
        <f>-67.7425*$J$7</f>
        <v>0</v>
      </c>
      <c r="K53">
        <f>90.3233*$K$7</f>
        <v>0</v>
      </c>
      <c r="L53">
        <f>0.1653*$L$7</f>
        <v>0</v>
      </c>
      <c r="M53">
        <f>0+D53+E53+G53+H53+I53+J53+K53+L53</f>
        <v>0</v>
      </c>
      <c r="N53">
        <f>0+D53+F53+G53+H53+I53+J53+K53+L53</f>
        <v>0</v>
      </c>
    </row>
    <row r="54" spans="3:14">
      <c r="C54" t="s">
        <v>58</v>
      </c>
      <c r="D54">
        <f>-4.1677*$D$7</f>
        <v>0</v>
      </c>
      <c r="E54">
        <f>0.9311*$E$7</f>
        <v>0</v>
      </c>
      <c r="F54">
        <f>-8.9372*$F$7</f>
        <v>0</v>
      </c>
      <c r="G54">
        <f>-0.4431*$G$7</f>
        <v>0</v>
      </c>
      <c r="H54">
        <f>0*$H$7</f>
        <v>0</v>
      </c>
      <c r="I54">
        <f>-0.6013*$I$7</f>
        <v>0</v>
      </c>
      <c r="J54">
        <f>-66.2339*$J$7</f>
        <v>0</v>
      </c>
      <c r="K54">
        <f>88.3118*$K$7</f>
        <v>0</v>
      </c>
      <c r="L54">
        <f>0.565*$L$7</f>
        <v>0</v>
      </c>
      <c r="M54">
        <f>0+D54+E54+G54+H54+I54+J54+K54+L54</f>
        <v>0</v>
      </c>
      <c r="N54">
        <f>0+D54+F54+G54+H54+I54+J54+K54+L54</f>
        <v>0</v>
      </c>
    </row>
    <row r="55" spans="3:14">
      <c r="C55" t="s">
        <v>59</v>
      </c>
      <c r="D55">
        <f>-3.0921*$D$7</f>
        <v>0</v>
      </c>
      <c r="E55">
        <f>6.0785*$E$7</f>
        <v>0</v>
      </c>
      <c r="F55">
        <f>-8.9947*$F$7</f>
        <v>0</v>
      </c>
      <c r="G55">
        <f>-1.2438*$G$7</f>
        <v>0</v>
      </c>
      <c r="H55">
        <f>0*$H$7</f>
        <v>0</v>
      </c>
      <c r="I55">
        <f>-0.4456*$I$7</f>
        <v>0</v>
      </c>
      <c r="J55">
        <f>-82.3747*$J$7</f>
        <v>0</v>
      </c>
      <c r="K55">
        <f>109.8329*$K$7</f>
        <v>0</v>
      </c>
      <c r="L55">
        <f>4.428*$L$7</f>
        <v>0</v>
      </c>
      <c r="M55">
        <f>0+D55+E55+G55+H55+I55+J55+K55+L55</f>
        <v>0</v>
      </c>
      <c r="N55">
        <f>0+D55+F55+G55+H55+I55+J55+K55+L55</f>
        <v>0</v>
      </c>
    </row>
    <row r="56" spans="3:14">
      <c r="C56" t="s">
        <v>60</v>
      </c>
      <c r="D56">
        <f>91.9975*$D$7</f>
        <v>0</v>
      </c>
      <c r="E56">
        <f>208.0254*$E$7</f>
        <v>0</v>
      </c>
      <c r="F56">
        <f>-10.3809*$F$7</f>
        <v>0</v>
      </c>
      <c r="G56">
        <f>12.3374*$G$7</f>
        <v>0</v>
      </c>
      <c r="H56">
        <f>0*$H$7</f>
        <v>0</v>
      </c>
      <c r="I56">
        <f>13.1825*$I$7</f>
        <v>0</v>
      </c>
      <c r="J56">
        <f>-83.2542*$J$7</f>
        <v>0</v>
      </c>
      <c r="K56">
        <f>111.0055*$K$7</f>
        <v>0</v>
      </c>
      <c r="L56">
        <f>-11.428*$L$7</f>
        <v>0</v>
      </c>
      <c r="M56">
        <f>0+D56+E56+G56+H56+I56+J56+K56+L56</f>
        <v>0</v>
      </c>
      <c r="N56">
        <f>0+D56+F56+G56+H56+I56+J56+K56+L56</f>
        <v>0</v>
      </c>
    </row>
    <row r="57" spans="3:14">
      <c r="C57" t="s">
        <v>61</v>
      </c>
      <c r="D57">
        <f>143.3435*$D$7</f>
        <v>0</v>
      </c>
      <c r="E57">
        <f>324.4284*$E$7</f>
        <v>0</v>
      </c>
      <c r="F57">
        <f>-12.7181*$F$7</f>
        <v>0</v>
      </c>
      <c r="G57">
        <f>22.093*$G$7</f>
        <v>0</v>
      </c>
      <c r="H57">
        <f>0*$H$7</f>
        <v>0</v>
      </c>
      <c r="I57">
        <f>20.3981*$I$7</f>
        <v>0</v>
      </c>
      <c r="J57">
        <f>-71.7597*$J$7</f>
        <v>0</v>
      </c>
      <c r="K57">
        <f>95.6797*$K$7</f>
        <v>0</v>
      </c>
      <c r="L57">
        <f>-23.957*$L$7</f>
        <v>0</v>
      </c>
      <c r="M57">
        <f>0+D57+E57+G57+H57+I57+J57+K57+L57</f>
        <v>0</v>
      </c>
      <c r="N57">
        <f>0+D57+F57+G57+H57+I57+J57+K57+L57</f>
        <v>0</v>
      </c>
    </row>
    <row r="58" spans="3:14">
      <c r="C58" t="s">
        <v>62</v>
      </c>
      <c r="D58">
        <f>185.8064*$D$7</f>
        <v>0</v>
      </c>
      <c r="E58">
        <f>420.4523*$E$7</f>
        <v>0</v>
      </c>
      <c r="F58">
        <f>-16.2593*$F$7</f>
        <v>0</v>
      </c>
      <c r="G58">
        <f>28.7879*$G$7</f>
        <v>0</v>
      </c>
      <c r="H58">
        <f>0*$H$7</f>
        <v>0</v>
      </c>
      <c r="I58">
        <f>26.3207*$I$7</f>
        <v>0</v>
      </c>
      <c r="J58">
        <f>-47.1377*$J$7</f>
        <v>0</v>
      </c>
      <c r="K58">
        <f>62.8502*$K$7</f>
        <v>0</v>
      </c>
      <c r="L58">
        <f>-39.7143*$L$7</f>
        <v>0</v>
      </c>
      <c r="M58">
        <f>0+D58+E58+G58+H58+I58+J58+K58+L58</f>
        <v>0</v>
      </c>
      <c r="N58">
        <f>0+D58+F58+G58+H58+I58+J58+K58+L58</f>
        <v>0</v>
      </c>
    </row>
    <row r="59" spans="3:14">
      <c r="C59" t="s">
        <v>63</v>
      </c>
      <c r="D59">
        <f>211.2409*$D$7</f>
        <v>0</v>
      </c>
      <c r="E59">
        <f>480.2631*$E$7</f>
        <v>0</v>
      </c>
      <c r="F59">
        <f>-23.2831*$F$7</f>
        <v>0</v>
      </c>
      <c r="G59">
        <f>31.3011*$G$7</f>
        <v>0</v>
      </c>
      <c r="H59">
        <f>0*$H$7</f>
        <v>0</v>
      </c>
      <c r="I59">
        <f>29.801*$I$7</f>
        <v>0</v>
      </c>
      <c r="J59">
        <f>-16.2875*$J$7</f>
        <v>0</v>
      </c>
      <c r="K59">
        <f>21.7167*$K$7</f>
        <v>0</v>
      </c>
      <c r="L59">
        <f>-55.8352*$L$7</f>
        <v>0</v>
      </c>
      <c r="M59">
        <f>0+D59+E59+G59+H59+I59+J59+K59+L59</f>
        <v>0</v>
      </c>
      <c r="N59">
        <f>0+D59+F59+G59+H59+I59+J59+K59+L59</f>
        <v>0</v>
      </c>
    </row>
    <row r="60" spans="3:14">
      <c r="C60" t="s">
        <v>64</v>
      </c>
      <c r="D60">
        <f>222.0886*$D$7</f>
        <v>0</v>
      </c>
      <c r="E60">
        <f>507.8872*$E$7</f>
        <v>0</v>
      </c>
      <c r="F60">
        <f>-30.3042*$F$7</f>
        <v>0</v>
      </c>
      <c r="G60">
        <f>30.6852*$G$7</f>
        <v>0</v>
      </c>
      <c r="H60">
        <f>0*$H$7</f>
        <v>0</v>
      </c>
      <c r="I60">
        <f>31.1347*$I$7</f>
        <v>0</v>
      </c>
      <c r="J60">
        <f>15.7829*$J$7</f>
        <v>0</v>
      </c>
      <c r="K60">
        <f>-21.0439*$K$7</f>
        <v>0</v>
      </c>
      <c r="L60">
        <f>-71.2172*$L$7</f>
        <v>0</v>
      </c>
      <c r="M60">
        <f>0+D60+E60+G60+H60+I60+J60+K60+L60</f>
        <v>0</v>
      </c>
      <c r="N60">
        <f>0+D60+F60+G60+H60+I60+J60+K60+L60</f>
        <v>0</v>
      </c>
    </row>
    <row r="61" spans="3:14">
      <c r="C61" t="s">
        <v>65</v>
      </c>
      <c r="D61">
        <f>214.4109*$D$7</f>
        <v>0</v>
      </c>
      <c r="E61">
        <f>483.2327*$E$7</f>
        <v>0</v>
      </c>
      <c r="F61">
        <f>-22.5371*$F$7</f>
        <v>0</v>
      </c>
      <c r="G61">
        <f>32.9392*$G$7</f>
        <v>0</v>
      </c>
      <c r="H61">
        <f>0*$H$7</f>
        <v>0</v>
      </c>
      <c r="I61">
        <f>30.2291*$I$7</f>
        <v>0</v>
      </c>
      <c r="J61">
        <f>-11.8756*$J$7</f>
        <v>0</v>
      </c>
      <c r="K61">
        <f>15.8341*$K$7</f>
        <v>0</v>
      </c>
      <c r="L61">
        <f>-55.7797*$L$7</f>
        <v>0</v>
      </c>
      <c r="M61">
        <f>0+D61+E61+G61+H61+I61+J61+K61+L61</f>
        <v>0</v>
      </c>
      <c r="N61">
        <f>0+D61+F61+G61+H61+I61+J61+K61+L61</f>
        <v>0</v>
      </c>
    </row>
    <row r="62" spans="3:14">
      <c r="C62" t="s">
        <v>66</v>
      </c>
      <c r="D62">
        <f>186.0487*$D$7</f>
        <v>0</v>
      </c>
      <c r="E62">
        <f>423.1889*$E$7</f>
        <v>0</v>
      </c>
      <c r="F62">
        <f>-16.7517*$F$7</f>
        <v>0</v>
      </c>
      <c r="G62">
        <f>30.9079*$G$7</f>
        <v>0</v>
      </c>
      <c r="H62">
        <f>0*$H$7</f>
        <v>0</v>
      </c>
      <c r="I62">
        <f>26.3016*$I$7</f>
        <v>0</v>
      </c>
      <c r="J62">
        <f>-41.8826*$J$7</f>
        <v>0</v>
      </c>
      <c r="K62">
        <f>55.8434*$K$7</f>
        <v>0</v>
      </c>
      <c r="L62">
        <f>-38.8027*$L$7</f>
        <v>0</v>
      </c>
      <c r="M62">
        <f>0+D62+E62+G62+H62+I62+J62+K62+L62</f>
        <v>0</v>
      </c>
      <c r="N62">
        <f>0+D62+F62+G62+H62+I62+J62+K62+L62</f>
        <v>0</v>
      </c>
    </row>
    <row r="63" spans="3:14">
      <c r="C63" t="s">
        <v>67</v>
      </c>
      <c r="D63">
        <f>139.8164*$D$7</f>
        <v>0</v>
      </c>
      <c r="E63">
        <f>324.5201*$E$7</f>
        <v>0</v>
      </c>
      <c r="F63">
        <f>-11.8301*$F$7</f>
        <v>0</v>
      </c>
      <c r="G63">
        <f>24.3745*$G$7</f>
        <v>0</v>
      </c>
      <c r="H63">
        <f>0*$H$7</f>
        <v>0</v>
      </c>
      <c r="I63">
        <f>19.7879*$I$7</f>
        <v>0</v>
      </c>
      <c r="J63">
        <f>-64.2952*$J$7</f>
        <v>0</v>
      </c>
      <c r="K63">
        <f>85.7269*$K$7</f>
        <v>0</v>
      </c>
      <c r="L63">
        <f>-22.8012*$L$7</f>
        <v>0</v>
      </c>
      <c r="M63">
        <f>0+D63+E63+G63+H63+I63+J63+K63+L63</f>
        <v>0</v>
      </c>
      <c r="N63">
        <f>0+D63+F63+G63+H63+I63+J63+K63+L63</f>
        <v>0</v>
      </c>
    </row>
    <row r="64" spans="3:14">
      <c r="C64" t="s">
        <v>68</v>
      </c>
      <c r="D64">
        <f>78.9058*$D$7</f>
        <v>0</v>
      </c>
      <c r="E64">
        <f>190.7582*$E$7</f>
        <v>0</v>
      </c>
      <c r="F64">
        <f>-7.0216*$F$7</f>
        <v>0</v>
      </c>
      <c r="G64">
        <f>13.8271*$G$7</f>
        <v>0</v>
      </c>
      <c r="H64">
        <f>0*$H$7</f>
        <v>0</v>
      </c>
      <c r="I64">
        <f>11.1661*$I$7</f>
        <v>0</v>
      </c>
      <c r="J64">
        <f>-58.8091*$J$7</f>
        <v>0</v>
      </c>
      <c r="K64">
        <f>78.4122*$K$7</f>
        <v>0</v>
      </c>
      <c r="L64">
        <f>-8.1084*$L$7</f>
        <v>0</v>
      </c>
      <c r="M64">
        <f>0+D64+E64+G64+H64+I64+J64+K64+L64</f>
        <v>0</v>
      </c>
      <c r="N64">
        <f>0+D64+F64+G64+H64+I64+J64+K64+L64</f>
        <v>0</v>
      </c>
    </row>
    <row r="65" spans="3:14">
      <c r="C65" t="s">
        <v>69</v>
      </c>
      <c r="D65">
        <f>-5.6708*$D$7</f>
        <v>0</v>
      </c>
      <c r="E65">
        <f>7.9871*$E$7</f>
        <v>0</v>
      </c>
      <c r="F65">
        <f>-19.0371*$F$7</f>
        <v>0</v>
      </c>
      <c r="G65">
        <f>-2.8203*$G$7</f>
        <v>0</v>
      </c>
      <c r="H65">
        <f>0*$H$7</f>
        <v>0</v>
      </c>
      <c r="I65">
        <f>-0.8168*$I$7</f>
        <v>0</v>
      </c>
      <c r="J65">
        <f>-66.6085*$J$7</f>
        <v>0</v>
      </c>
      <c r="K65">
        <f>88.8114*$K$7</f>
        <v>0</v>
      </c>
      <c r="L65">
        <f>6.4378*$L$7</f>
        <v>0</v>
      </c>
      <c r="M65">
        <f>0+D65+E65+G65+H65+I65+J65+K65+L65</f>
        <v>0</v>
      </c>
      <c r="N65">
        <f>0+D65+F65+G65+H65+I65+J65+K65+L65</f>
        <v>0</v>
      </c>
    </row>
    <row r="70" spans="3:14">
      <c r="C70" t="s">
        <v>70</v>
      </c>
    </row>
    <row r="72" spans="3:14">
      <c r="C72" t="s">
        <v>2</v>
      </c>
    </row>
    <row r="73" spans="3:14">
      <c r="C73" t="s">
        <v>3</v>
      </c>
      <c r="D73" t="s">
        <v>4</v>
      </c>
      <c r="E73" t="s">
        <v>5</v>
      </c>
      <c r="F73" t="s">
        <v>6</v>
      </c>
      <c r="G73" t="s">
        <v>7</v>
      </c>
      <c r="H73" t="s">
        <v>8</v>
      </c>
      <c r="I73" t="s">
        <v>9</v>
      </c>
      <c r="J73" t="s">
        <v>10</v>
      </c>
      <c r="K73" t="s">
        <v>11</v>
      </c>
      <c r="L73" t="s">
        <v>12</v>
      </c>
      <c r="M73" t="s">
        <v>13</v>
      </c>
      <c r="N73" t="s">
        <v>14</v>
      </c>
    </row>
    <row r="74" spans="3:14">
      <c r="C74" t="s">
        <v>80</v>
      </c>
      <c r="D74">
        <f>-227.726*$D$72</f>
        <v>0</v>
      </c>
      <c r="E74">
        <f>40.544*$E$72</f>
        <v>0</v>
      </c>
      <c r="F74">
        <f>-368.696*$F$72</f>
        <v>0</v>
      </c>
      <c r="G74">
        <f>-37.354*$G$72</f>
        <v>0</v>
      </c>
      <c r="H74">
        <f>0*$H$72</f>
        <v>0</v>
      </c>
      <c r="I74">
        <f>-31.264*$I$72</f>
        <v>0</v>
      </c>
      <c r="J74">
        <f>-82.765*$J$72</f>
        <v>0</v>
      </c>
      <c r="K74">
        <f>110.354*$K$72</f>
        <v>0</v>
      </c>
      <c r="L74">
        <f>0.027*$L$72</f>
        <v>0</v>
      </c>
      <c r="M74">
        <f>0+D74+E74+G74+H74+I74+J74+K74+L74</f>
        <v>0</v>
      </c>
      <c r="N74">
        <f>0+D74+F74+G74+H74+I74+J74+K74+L74</f>
        <v>0</v>
      </c>
    </row>
    <row r="75" spans="3:14">
      <c r="C75" t="s">
        <v>16</v>
      </c>
      <c r="D75">
        <f>-207.371*$D$72</f>
        <v>0</v>
      </c>
      <c r="E75">
        <f>42.834*$E$72</f>
        <v>0</v>
      </c>
      <c r="F75">
        <f>-358.947*$F$72</f>
        <v>0</v>
      </c>
      <c r="G75">
        <f>-34.611*$G$72</f>
        <v>0</v>
      </c>
      <c r="H75">
        <f>0*$H$72</f>
        <v>0</v>
      </c>
      <c r="I75">
        <f>-29.791*$I$72</f>
        <v>0</v>
      </c>
      <c r="J75">
        <f>-75.42*$J$72</f>
        <v>0</v>
      </c>
      <c r="K75">
        <f>100.56*$K$72</f>
        <v>0</v>
      </c>
      <c r="L75">
        <f>0.026*$L$72</f>
        <v>0</v>
      </c>
      <c r="M75">
        <f>0+D75+E75+G75+H75+I75+J75+K75+L75</f>
        <v>0</v>
      </c>
      <c r="N75">
        <f>0+D75+F75+G75+H75+I75+J75+K75+L75</f>
        <v>0</v>
      </c>
    </row>
    <row r="76" spans="3:14">
      <c r="C76" t="s">
        <v>17</v>
      </c>
      <c r="D76">
        <f>-185.661*$D$72</f>
        <v>0</v>
      </c>
      <c r="E76">
        <f>43.575*$E$72</f>
        <v>0</v>
      </c>
      <c r="F76">
        <f>-336.216*$F$72</f>
        <v>0</v>
      </c>
      <c r="G76">
        <f>-28.117*$G$72</f>
        <v>0</v>
      </c>
      <c r="H76">
        <f>0*$H$72</f>
        <v>0</v>
      </c>
      <c r="I76">
        <f>-26.748*$I$72</f>
        <v>0</v>
      </c>
      <c r="J76">
        <f>-59.573*$J$72</f>
        <v>0</v>
      </c>
      <c r="K76">
        <f>79.431*$K$72</f>
        <v>0</v>
      </c>
      <c r="L76">
        <f>0.024*$L$72</f>
        <v>0</v>
      </c>
      <c r="M76">
        <f>0+D76+E76+G76+H76+I76+J76+K76+L76</f>
        <v>0</v>
      </c>
      <c r="N76">
        <f>0+D76+F76+G76+H76+I76+J76+K76+L76</f>
        <v>0</v>
      </c>
    </row>
    <row r="77" spans="3:14">
      <c r="C77" t="s">
        <v>18</v>
      </c>
      <c r="D77">
        <f>-163.023*$D$72</f>
        <v>0</v>
      </c>
      <c r="E77">
        <f>51.529*$E$72</f>
        <v>0</v>
      </c>
      <c r="F77">
        <f>-312.399*$F$72</f>
        <v>0</v>
      </c>
      <c r="G77">
        <f>-21.949*$G$72</f>
        <v>0</v>
      </c>
      <c r="H77">
        <f>0*$H$72</f>
        <v>0</v>
      </c>
      <c r="I77">
        <f>-23.546*$I$72</f>
        <v>0</v>
      </c>
      <c r="J77">
        <f>-51.428*$J$72</f>
        <v>0</v>
      </c>
      <c r="K77">
        <f>68.571*$K$72</f>
        <v>0</v>
      </c>
      <c r="L77">
        <f>0.022*$L$72</f>
        <v>0</v>
      </c>
      <c r="M77">
        <f>0+D77+E77+G77+H77+I77+J77+K77+L77</f>
        <v>0</v>
      </c>
      <c r="N77">
        <f>0+D77+F77+G77+H77+I77+J77+K77+L77</f>
        <v>0</v>
      </c>
    </row>
    <row r="78" spans="3:14">
      <c r="C78" t="s">
        <v>19</v>
      </c>
      <c r="D78">
        <f>-139.456*$D$72</f>
        <v>0</v>
      </c>
      <c r="E78">
        <f>61.859*$E$72</f>
        <v>0</v>
      </c>
      <c r="F78">
        <f>-287.228*$F$72</f>
        <v>0</v>
      </c>
      <c r="G78">
        <f>-16.295*$G$72</f>
        <v>0</v>
      </c>
      <c r="H78">
        <f>0*$H$72</f>
        <v>0</v>
      </c>
      <c r="I78">
        <f>-20.179*$I$72</f>
        <v>0</v>
      </c>
      <c r="J78">
        <f>-47.039*$J$72</f>
        <v>0</v>
      </c>
      <c r="K78">
        <f>62.718*$K$72</f>
        <v>0</v>
      </c>
      <c r="L78">
        <f>0.02*$L$72</f>
        <v>0</v>
      </c>
      <c r="M78">
        <f>0+D78+E78+G78+H78+I78+J78+K78+L78</f>
        <v>0</v>
      </c>
      <c r="N78">
        <f>0+D78+F78+G78+H78+I78+J78+K78+L78</f>
        <v>0</v>
      </c>
    </row>
    <row r="79" spans="3:14">
      <c r="C79" t="s">
        <v>20</v>
      </c>
      <c r="D79">
        <f>-125.679*$D$72</f>
        <v>0</v>
      </c>
      <c r="E79">
        <f>66.349*$E$72</f>
        <v>0</v>
      </c>
      <c r="F79">
        <f>-272.902*$F$72</f>
        <v>0</v>
      </c>
      <c r="G79">
        <f>-12.346*$G$72</f>
        <v>0</v>
      </c>
      <c r="H79">
        <f>0*$H$72</f>
        <v>0</v>
      </c>
      <c r="I79">
        <f>-18.183*$I$72</f>
        <v>0</v>
      </c>
      <c r="J79">
        <f>-53.067*$J$72</f>
        <v>0</v>
      </c>
      <c r="K79">
        <f>70.757*$K$72</f>
        <v>0</v>
      </c>
      <c r="L79">
        <f>0.017*$L$72</f>
        <v>0</v>
      </c>
      <c r="M79">
        <f>0+D79+E79+G79+H79+I79+J79+K79+L79</f>
        <v>0</v>
      </c>
      <c r="N79">
        <f>0+D79+F79+G79+H79+I79+J79+K79+L79</f>
        <v>0</v>
      </c>
    </row>
    <row r="80" spans="3:14">
      <c r="C80" t="s">
        <v>21</v>
      </c>
      <c r="D80">
        <f>-89.845*$D$72</f>
        <v>0</v>
      </c>
      <c r="E80">
        <f>69.176*$E$72</f>
        <v>0</v>
      </c>
      <c r="F80">
        <f>-232.296*$F$72</f>
        <v>0</v>
      </c>
      <c r="G80">
        <f>-14.094*$G$72</f>
        <v>0</v>
      </c>
      <c r="H80">
        <f>0*$H$72</f>
        <v>0</v>
      </c>
      <c r="I80">
        <f>-13.616*$I$72</f>
        <v>0</v>
      </c>
      <c r="J80">
        <f>5.92*$J$72</f>
        <v>0</v>
      </c>
      <c r="K80">
        <f>-7.894*$K$72</f>
        <v>0</v>
      </c>
      <c r="L80">
        <f>0.016*$L$72</f>
        <v>0</v>
      </c>
      <c r="M80">
        <f>0+D80+E80+G80+H80+I80+J80+K80+L80</f>
        <v>0</v>
      </c>
      <c r="N80">
        <f>0+D80+F80+G80+H80+I80+J80+K80+L80</f>
        <v>0</v>
      </c>
    </row>
    <row r="81" spans="3:14">
      <c r="C81" t="s">
        <v>22</v>
      </c>
      <c r="D81">
        <f>-67.508*$D$72</f>
        <v>0</v>
      </c>
      <c r="E81">
        <f>82.994*$E$72</f>
        <v>0</v>
      </c>
      <c r="F81">
        <f>-212.152*$F$72</f>
        <v>0</v>
      </c>
      <c r="G81">
        <f>-9.384*$G$72</f>
        <v>0</v>
      </c>
      <c r="H81">
        <f>0*$H$72</f>
        <v>0</v>
      </c>
      <c r="I81">
        <f>-10.371*$I$72</f>
        <v>0</v>
      </c>
      <c r="J81">
        <f>3.529*$J$72</f>
        <v>0</v>
      </c>
      <c r="K81">
        <f>-4.706*$K$72</f>
        <v>0</v>
      </c>
      <c r="L81">
        <f>0.016*$L$72</f>
        <v>0</v>
      </c>
      <c r="M81">
        <f>0+D81+E81+G81+H81+I81+J81+K81+L81</f>
        <v>0</v>
      </c>
      <c r="N81">
        <f>0+D81+F81+G81+H81+I81+J81+K81+L81</f>
        <v>0</v>
      </c>
    </row>
    <row r="82" spans="3:14">
      <c r="C82" t="s">
        <v>23</v>
      </c>
      <c r="D82">
        <f>-44.873*$D$72</f>
        <v>0</v>
      </c>
      <c r="E82">
        <f>97.397*$E$72</f>
        <v>0</v>
      </c>
      <c r="F82">
        <f>-191.616*$F$72</f>
        <v>0</v>
      </c>
      <c r="G82">
        <f>-4.525*$G$72</f>
        <v>0</v>
      </c>
      <c r="H82">
        <f>0*$H$72</f>
        <v>0</v>
      </c>
      <c r="I82">
        <f>-7.101*$I$72</f>
        <v>0</v>
      </c>
      <c r="J82">
        <f>-1.559*$J$72</f>
        <v>0</v>
      </c>
      <c r="K82">
        <f>2.079*$K$72</f>
        <v>0</v>
      </c>
      <c r="L82">
        <f>0.015*$L$72</f>
        <v>0</v>
      </c>
      <c r="M82">
        <f>0+D82+E82+G82+H82+I82+J82+K82+L82</f>
        <v>0</v>
      </c>
      <c r="N82">
        <f>0+D82+F82+G82+H82+I82+J82+K82+L82</f>
        <v>0</v>
      </c>
    </row>
    <row r="83" spans="3:14">
      <c r="C83" t="s">
        <v>24</v>
      </c>
      <c r="D83">
        <f>-22.183*$D$72</f>
        <v>0</v>
      </c>
      <c r="E83">
        <f>111.738*$E$72</f>
        <v>0</v>
      </c>
      <c r="F83">
        <f>-170.518*$F$72</f>
        <v>0</v>
      </c>
      <c r="G83">
        <f>0.123*$G$72</f>
        <v>0</v>
      </c>
      <c r="H83">
        <f>0*$H$72</f>
        <v>0</v>
      </c>
      <c r="I83">
        <f>-3.792*$I$72</f>
        <v>0</v>
      </c>
      <c r="J83">
        <f>-6.625*$J$72</f>
        <v>0</v>
      </c>
      <c r="K83">
        <f>8.833*$K$72</f>
        <v>0</v>
      </c>
      <c r="L83">
        <f>0.014*$L$72</f>
        <v>0</v>
      </c>
      <c r="M83">
        <f>0+D83+E83+G83+H83+I83+J83+K83+L83</f>
        <v>0</v>
      </c>
      <c r="N83">
        <f>0+D83+F83+G83+H83+I83+J83+K83+L83</f>
        <v>0</v>
      </c>
    </row>
    <row r="84" spans="3:14">
      <c r="C84" t="s">
        <v>25</v>
      </c>
      <c r="D84">
        <f>0.492*$D$72</f>
        <v>0</v>
      </c>
      <c r="E84">
        <f>127.181*$E$72</f>
        <v>0</v>
      </c>
      <c r="F84">
        <f>-149.304*$F$72</f>
        <v>0</v>
      </c>
      <c r="G84">
        <f>4.365*$G$72</f>
        <v>0</v>
      </c>
      <c r="H84">
        <f>0*$H$72</f>
        <v>0</v>
      </c>
      <c r="I84">
        <f>-0.474*$I$72</f>
        <v>0</v>
      </c>
      <c r="J84">
        <f>-9.748*$J$72</f>
        <v>0</v>
      </c>
      <c r="K84">
        <f>12.998*$K$72</f>
        <v>0</v>
      </c>
      <c r="L84">
        <f>0.012*$L$72</f>
        <v>0</v>
      </c>
      <c r="M84">
        <f>0+D84+E84+G84+H84+I84+J84+K84+L84</f>
        <v>0</v>
      </c>
      <c r="N84">
        <f>0+D84+F84+G84+H84+I84+J84+K84+L84</f>
        <v>0</v>
      </c>
    </row>
    <row r="85" spans="3:14">
      <c r="C85" t="s">
        <v>26</v>
      </c>
      <c r="D85">
        <f>39.136*$D$72</f>
        <v>0</v>
      </c>
      <c r="E85">
        <f>152.785*$E$72</f>
        <v>0</v>
      </c>
      <c r="F85">
        <f>-113.612*$F$72</f>
        <v>0</v>
      </c>
      <c r="G85">
        <f>-1.011*$G$72</f>
        <v>0</v>
      </c>
      <c r="H85">
        <f>0*$H$72</f>
        <v>0</v>
      </c>
      <c r="I85">
        <f>4.734*$I$72</f>
        <v>0</v>
      </c>
      <c r="J85">
        <f>10.139*$J$72</f>
        <v>0</v>
      </c>
      <c r="K85">
        <f>-13.519*$K$72</f>
        <v>0</v>
      </c>
      <c r="L85">
        <f>0.013*$L$72</f>
        <v>0</v>
      </c>
      <c r="M85">
        <f>0+D85+E85+G85+H85+I85+J85+K85+L85</f>
        <v>0</v>
      </c>
      <c r="N85">
        <f>0+D85+F85+G85+H85+I85+J85+K85+L85</f>
        <v>0</v>
      </c>
    </row>
    <row r="86" spans="3:14">
      <c r="C86" t="s">
        <v>27</v>
      </c>
      <c r="D86">
        <f>61.962*$D$72</f>
        <v>0</v>
      </c>
      <c r="E86">
        <f>173.678*$E$72</f>
        <v>0</v>
      </c>
      <c r="F86">
        <f>-98.414*$F$72</f>
        <v>0</v>
      </c>
      <c r="G86">
        <f>3.482*$G$72</f>
        <v>0</v>
      </c>
      <c r="H86">
        <f>0*$H$72</f>
        <v>0</v>
      </c>
      <c r="I86">
        <f>8.068*$I$72</f>
        <v>0</v>
      </c>
      <c r="J86">
        <f>5.081*$J$72</f>
        <v>0</v>
      </c>
      <c r="K86">
        <f>-6.774*$K$72</f>
        <v>0</v>
      </c>
      <c r="L86">
        <f>0.013*$L$72</f>
        <v>0</v>
      </c>
      <c r="M86">
        <f>0+D86+E86+G86+H86+I86+J86+K86+L86</f>
        <v>0</v>
      </c>
      <c r="N86">
        <f>0+D86+F86+G86+H86+I86+J86+K86+L86</f>
        <v>0</v>
      </c>
    </row>
    <row r="87" spans="3:14">
      <c r="C87" t="s">
        <v>28</v>
      </c>
      <c r="D87">
        <f>84.739*$D$72</f>
        <v>0</v>
      </c>
      <c r="E87">
        <f>194.316*$E$72</f>
        <v>0</v>
      </c>
      <c r="F87">
        <f>-84.683*$F$72</f>
        <v>0</v>
      </c>
      <c r="G87">
        <f>8.234*$G$72</f>
        <v>0</v>
      </c>
      <c r="H87">
        <f>0*$H$72</f>
        <v>0</v>
      </c>
      <c r="I87">
        <f>11.382*$I$72</f>
        <v>0</v>
      </c>
      <c r="J87">
        <f>-1.23*$J$72</f>
        <v>0</v>
      </c>
      <c r="K87">
        <f>1.64*$K$72</f>
        <v>0</v>
      </c>
      <c r="L87">
        <f>0.013*$L$72</f>
        <v>0</v>
      </c>
      <c r="M87">
        <f>0+D87+E87+G87+H87+I87+J87+K87+L87</f>
        <v>0</v>
      </c>
      <c r="N87">
        <f>0+D87+F87+G87+H87+I87+J87+K87+L87</f>
        <v>0</v>
      </c>
    </row>
    <row r="88" spans="3:14">
      <c r="C88" t="s">
        <v>29</v>
      </c>
      <c r="D88">
        <f>107.399*$D$72</f>
        <v>0</v>
      </c>
      <c r="E88">
        <f>214.829*$E$72</f>
        <v>0</v>
      </c>
      <c r="F88">
        <f>-71.085*$F$72</f>
        <v>0</v>
      </c>
      <c r="G88">
        <f>12.841*$G$72</f>
        <v>0</v>
      </c>
      <c r="H88">
        <f>0*$H$72</f>
        <v>0</v>
      </c>
      <c r="I88">
        <f>14.673*$I$72</f>
        <v>0</v>
      </c>
      <c r="J88">
        <f>-6.412*$J$72</f>
        <v>0</v>
      </c>
      <c r="K88">
        <f>8.549*$K$72</f>
        <v>0</v>
      </c>
      <c r="L88">
        <f>0.013*$L$72</f>
        <v>0</v>
      </c>
      <c r="M88">
        <f>0+D88+E88+G88+H88+I88+J88+K88+L88</f>
        <v>0</v>
      </c>
      <c r="N88">
        <f>0+D88+F88+G88+H88+I88+J88+K88+L88</f>
        <v>0</v>
      </c>
    </row>
    <row r="89" spans="3:14">
      <c r="C89" t="s">
        <v>30</v>
      </c>
      <c r="D89">
        <f>129.533*$D$72</f>
        <v>0</v>
      </c>
      <c r="E89">
        <f>235.266*$E$72</f>
        <v>0</v>
      </c>
      <c r="F89">
        <f>-58.001*$F$72</f>
        <v>0</v>
      </c>
      <c r="G89">
        <f>17.112*$G$72</f>
        <v>0</v>
      </c>
      <c r="H89">
        <f>0*$H$72</f>
        <v>0</v>
      </c>
      <c r="I89">
        <f>17.91*$I$72</f>
        <v>0</v>
      </c>
      <c r="J89">
        <f>-8.76*$J$72</f>
        <v>0</v>
      </c>
      <c r="K89">
        <f>11.68*$K$72</f>
        <v>0</v>
      </c>
      <c r="L89">
        <f>0.012*$L$72</f>
        <v>0</v>
      </c>
      <c r="M89">
        <f>0+D89+E89+G89+H89+I89+J89+K89+L89</f>
        <v>0</v>
      </c>
      <c r="N89">
        <f>0+D89+F89+G89+H89+I89+J89+K89+L89</f>
        <v>0</v>
      </c>
    </row>
    <row r="90" spans="3:14">
      <c r="C90" t="s">
        <v>31</v>
      </c>
      <c r="D90">
        <f>154.512*$D$72</f>
        <v>0</v>
      </c>
      <c r="E90">
        <f>272.913*$E$72</f>
        <v>0</v>
      </c>
      <c r="F90">
        <f>-54.473*$F$72</f>
        <v>0</v>
      </c>
      <c r="G90">
        <f>12.152*$G$72</f>
        <v>0</v>
      </c>
      <c r="H90">
        <f>0*$H$72</f>
        <v>0</v>
      </c>
      <c r="I90">
        <f>21.213*$I$72</f>
        <v>0</v>
      </c>
      <c r="J90">
        <f>24.921*$J$72</f>
        <v>0</v>
      </c>
      <c r="K90">
        <f>-33.228*$K$72</f>
        <v>0</v>
      </c>
      <c r="L90">
        <f>0.014*$L$72</f>
        <v>0</v>
      </c>
      <c r="M90">
        <f>0+D90+E90+G90+H90+I90+J90+K90+L90</f>
        <v>0</v>
      </c>
      <c r="N90">
        <f>0+D90+F90+G90+H90+I90+J90+K90+L90</f>
        <v>0</v>
      </c>
    </row>
    <row r="91" spans="3:14">
      <c r="C91" t="s">
        <v>32</v>
      </c>
      <c r="D91">
        <f>167.494*$D$72</f>
        <v>0</v>
      </c>
      <c r="E91">
        <f>285.261*$E$72</f>
        <v>0</v>
      </c>
      <c r="F91">
        <f>-45.147*$F$72</f>
        <v>0</v>
      </c>
      <c r="G91">
        <f>15.574*$G$72</f>
        <v>0</v>
      </c>
      <c r="H91">
        <f>0*$H$72</f>
        <v>0</v>
      </c>
      <c r="I91">
        <f>23.119*$I$72</f>
        <v>0</v>
      </c>
      <c r="J91">
        <f>14.513*$J$72</f>
        <v>0</v>
      </c>
      <c r="K91">
        <f>-19.351*$K$72</f>
        <v>0</v>
      </c>
      <c r="L91">
        <f>0.015*$L$72</f>
        <v>0</v>
      </c>
      <c r="M91">
        <f>0+D91+E91+G91+H91+I91+J91+K91+L91</f>
        <v>0</v>
      </c>
      <c r="N91">
        <f>0+D91+F91+G91+H91+I91+J91+K91+L91</f>
        <v>0</v>
      </c>
    </row>
    <row r="92" spans="3:14">
      <c r="C92" t="s">
        <v>33</v>
      </c>
      <c r="D92">
        <f>186.427*$D$72</f>
        <v>0</v>
      </c>
      <c r="E92">
        <f>307.294*$E$72</f>
        <v>0</v>
      </c>
      <c r="F92">
        <f>-32.053*$F$72</f>
        <v>0</v>
      </c>
      <c r="G92">
        <f>20.047*$G$72</f>
        <v>0</v>
      </c>
      <c r="H92">
        <f>0*$H$72</f>
        <v>0</v>
      </c>
      <c r="I92">
        <f>25.871*$I$72</f>
        <v>0</v>
      </c>
      <c r="J92">
        <f>12.044*$J$72</f>
        <v>0</v>
      </c>
      <c r="K92">
        <f>-16.059*$K$72</f>
        <v>0</v>
      </c>
      <c r="L92">
        <f>0.014*$L$72</f>
        <v>0</v>
      </c>
      <c r="M92">
        <f>0+D92+E92+G92+H92+I92+J92+K92+L92</f>
        <v>0</v>
      </c>
      <c r="N92">
        <f>0+D92+F92+G92+H92+I92+J92+K92+L92</f>
        <v>0</v>
      </c>
    </row>
    <row r="93" spans="3:14">
      <c r="C93" t="s">
        <v>34</v>
      </c>
      <c r="D93">
        <f>204.877*$D$72</f>
        <v>0</v>
      </c>
      <c r="E93">
        <f>330.477*$E$72</f>
        <v>0</v>
      </c>
      <c r="F93">
        <f>-24.949*$F$72</f>
        <v>0</v>
      </c>
      <c r="G93">
        <f>24.663*$G$72</f>
        <v>0</v>
      </c>
      <c r="H93">
        <f>0*$H$72</f>
        <v>0</v>
      </c>
      <c r="I93">
        <f>28.56*$I$72</f>
        <v>0</v>
      </c>
      <c r="J93">
        <f>13.764*$J$72</f>
        <v>0</v>
      </c>
      <c r="K93">
        <f>-18.352*$K$72</f>
        <v>0</v>
      </c>
      <c r="L93">
        <f>0.012*$L$72</f>
        <v>0</v>
      </c>
      <c r="M93">
        <f>0+D93+E93+G93+H93+I93+J93+K93+L93</f>
        <v>0</v>
      </c>
      <c r="N93">
        <f>0+D93+F93+G93+H93+I93+J93+K93+L93</f>
        <v>0</v>
      </c>
    </row>
    <row r="94" spans="3:14">
      <c r="C94" t="s">
        <v>35</v>
      </c>
      <c r="D94">
        <f>221.008*$D$72</f>
        <v>0</v>
      </c>
      <c r="E94">
        <f>354.269*$E$72</f>
        <v>0</v>
      </c>
      <c r="F94">
        <f>-18.083*$F$72</f>
        <v>0</v>
      </c>
      <c r="G94">
        <f>29.354*$G$72</f>
        <v>0</v>
      </c>
      <c r="H94">
        <f>0*$H$72</f>
        <v>0</v>
      </c>
      <c r="I94">
        <f>30.906*$I$72</f>
        <v>0</v>
      </c>
      <c r="J94">
        <f>23.815*$J$72</f>
        <v>0</v>
      </c>
      <c r="K94">
        <f>-31.754*$K$72</f>
        <v>0</v>
      </c>
      <c r="L94">
        <f>0.008836*$L$72</f>
        <v>0</v>
      </c>
      <c r="M94">
        <f>0+D94+E94+G94+H94+I94+J94+K94+L94</f>
        <v>0</v>
      </c>
      <c r="N94">
        <f>0+D94+F94+G94+H94+I94+J94+K94+L94</f>
        <v>0</v>
      </c>
    </row>
    <row r="95" spans="3:14">
      <c r="C95" t="s">
        <v>36</v>
      </c>
      <c r="D95">
        <f>9.7*$D$72</f>
        <v>0</v>
      </c>
      <c r="E95">
        <f>41.764*$E$72</f>
        <v>0</v>
      </c>
      <c r="F95">
        <f>-145.671*$F$72</f>
        <v>0</v>
      </c>
      <c r="G95">
        <f>-2.08*$G$72</f>
        <v>0</v>
      </c>
      <c r="H95">
        <f>0*$H$72</f>
        <v>0</v>
      </c>
      <c r="I95">
        <f>0.774*$I$72</f>
        <v>0</v>
      </c>
      <c r="J95">
        <f>-33.504*$J$72</f>
        <v>0</v>
      </c>
      <c r="K95">
        <f>44.671*$K$72</f>
        <v>0</v>
      </c>
      <c r="L95">
        <f>-0.018*$L$72</f>
        <v>0</v>
      </c>
      <c r="M95">
        <f>0+D95+E95+G95+H95+I95+J95+K95+L95</f>
        <v>0</v>
      </c>
      <c r="N95">
        <f>0+D95+F95+G95+H95+I95+J95+K95+L95</f>
        <v>0</v>
      </c>
    </row>
    <row r="96" spans="3:14">
      <c r="C96" t="s">
        <v>36</v>
      </c>
      <c r="D96">
        <f>-9.275*$D$72</f>
        <v>0</v>
      </c>
      <c r="E96">
        <f>32.303*$E$72</f>
        <v>0</v>
      </c>
      <c r="F96">
        <f>-45.256*$F$72</f>
        <v>0</v>
      </c>
      <c r="G96">
        <f>1.893*$G$72</f>
        <v>0</v>
      </c>
      <c r="H96">
        <f>0*$H$72</f>
        <v>0</v>
      </c>
      <c r="I96">
        <f>-0.701*$I$72</f>
        <v>0</v>
      </c>
      <c r="J96">
        <f>31.601*$J$72</f>
        <v>0</v>
      </c>
      <c r="K96">
        <f>-42.135*$K$72</f>
        <v>0</v>
      </c>
      <c r="L96">
        <f>-0.55*$L$72</f>
        <v>0</v>
      </c>
      <c r="M96">
        <f>0+D96+E96+G96+H96+I96+J96+K96+L96</f>
        <v>0</v>
      </c>
      <c r="N96">
        <f>0+D96+F96+G96+H96+I96+J96+K96+L96</f>
        <v>0</v>
      </c>
    </row>
    <row r="97" spans="3:14">
      <c r="C97" t="s">
        <v>37</v>
      </c>
      <c r="D97">
        <f>-0.137*$D$72</f>
        <v>0</v>
      </c>
      <c r="E97">
        <f>32.303*$E$72</f>
        <v>0</v>
      </c>
      <c r="F97">
        <f>-45.256*$F$72</f>
        <v>0</v>
      </c>
      <c r="G97">
        <f>1.893*$G$72</f>
        <v>0</v>
      </c>
      <c r="H97">
        <f>0*$H$72</f>
        <v>0</v>
      </c>
      <c r="I97">
        <f>-0.701*$I$72</f>
        <v>0</v>
      </c>
      <c r="J97">
        <f>31.601*$J$72</f>
        <v>0</v>
      </c>
      <c r="K97">
        <f>-42.135*$K$72</f>
        <v>0</v>
      </c>
      <c r="L97">
        <f>-0.55*$L$72</f>
        <v>0</v>
      </c>
      <c r="M97">
        <f>0+D97+E97+G97+H97+I97+J97+K97+L97</f>
        <v>0</v>
      </c>
      <c r="N97">
        <f>0+D97+F97+G97+H97+I97+J97+K97+L97</f>
        <v>0</v>
      </c>
    </row>
    <row r="98" spans="3:14">
      <c r="C98" t="s">
        <v>38</v>
      </c>
      <c r="D98">
        <f>-194.066*$D$72</f>
        <v>0</v>
      </c>
      <c r="E98">
        <f>24.456*$E$72</f>
        <v>0</v>
      </c>
      <c r="F98">
        <f>-337.283*$F$72</f>
        <v>0</v>
      </c>
      <c r="G98">
        <f>-27.116*$G$72</f>
        <v>0</v>
      </c>
      <c r="H98">
        <f>0*$H$72</f>
        <v>0</v>
      </c>
      <c r="I98">
        <f>-28.291*$I$72</f>
        <v>0</v>
      </c>
      <c r="J98">
        <f>-21.723*$J$72</f>
        <v>0</v>
      </c>
      <c r="K98">
        <f>28.964*$K$72</f>
        <v>0</v>
      </c>
      <c r="L98">
        <f>0.907*$L$72</f>
        <v>0</v>
      </c>
      <c r="M98">
        <f>0+D98+E98+G98+H98+I98+J98+K98+L98</f>
        <v>0</v>
      </c>
      <c r="N98">
        <f>0+D98+F98+G98+H98+I98+J98+K98+L98</f>
        <v>0</v>
      </c>
    </row>
    <row r="99" spans="3:14">
      <c r="C99" t="s">
        <v>39</v>
      </c>
      <c r="D99">
        <f>-176.953*$D$72</f>
        <v>0</v>
      </c>
      <c r="E99">
        <f>32.144*$E$72</f>
        <v>0</v>
      </c>
      <c r="F99">
        <f>-315.665*$F$72</f>
        <v>0</v>
      </c>
      <c r="G99">
        <f>-22.313*$G$72</f>
        <v>0</v>
      </c>
      <c r="H99">
        <f>0*$H$72</f>
        <v>0</v>
      </c>
      <c r="I99">
        <f>-25.818*$I$72</f>
        <v>0</v>
      </c>
      <c r="J99">
        <f>-16.369*$J$72</f>
        <v>0</v>
      </c>
      <c r="K99">
        <f>21.825*$K$72</f>
        <v>0</v>
      </c>
      <c r="L99">
        <f>0.933*$L$72</f>
        <v>0</v>
      </c>
      <c r="M99">
        <f>0+D99+E99+G99+H99+I99+J99+K99+L99</f>
        <v>0</v>
      </c>
      <c r="N99">
        <f>0+D99+F99+G99+H99+I99+J99+K99+L99</f>
        <v>0</v>
      </c>
    </row>
    <row r="100" spans="3:14">
      <c r="C100" t="s">
        <v>40</v>
      </c>
      <c r="D100">
        <f>-158.205*$D$72</f>
        <v>0</v>
      </c>
      <c r="E100">
        <f>41.774*$E$72</f>
        <v>0</v>
      </c>
      <c r="F100">
        <f>-294.068*$F$72</f>
        <v>0</v>
      </c>
      <c r="G100">
        <f>-17.591*$G$72</f>
        <v>0</v>
      </c>
      <c r="H100">
        <f>0*$H$72</f>
        <v>0</v>
      </c>
      <c r="I100">
        <f>-23.097*$I$72</f>
        <v>0</v>
      </c>
      <c r="J100">
        <f>-15.938*$J$72</f>
        <v>0</v>
      </c>
      <c r="K100">
        <f>21.251*$K$72</f>
        <v>0</v>
      </c>
      <c r="L100">
        <f>0.944*$L$72</f>
        <v>0</v>
      </c>
      <c r="M100">
        <f>0+D100+E100+G100+H100+I100+J100+K100+L100</f>
        <v>0</v>
      </c>
      <c r="N100">
        <f>0+D100+F100+G100+H100+I100+J100+K100+L100</f>
        <v>0</v>
      </c>
    </row>
    <row r="101" spans="3:14">
      <c r="C101" t="s">
        <v>41</v>
      </c>
      <c r="D101">
        <f>-139.284*$D$72</f>
        <v>0</v>
      </c>
      <c r="E101">
        <f>54.496*$E$72</f>
        <v>0</v>
      </c>
      <c r="F101">
        <f>-273.035*$F$72</f>
        <v>0</v>
      </c>
      <c r="G101">
        <f>-13.23*$G$72</f>
        <v>0</v>
      </c>
      <c r="H101">
        <f>0*$H$72</f>
        <v>0</v>
      </c>
      <c r="I101">
        <f>-20.341*$I$72</f>
        <v>0</v>
      </c>
      <c r="J101">
        <f>-17.433*$J$72</f>
        <v>0</v>
      </c>
      <c r="K101">
        <f>23.244*$K$72</f>
        <v>0</v>
      </c>
      <c r="L101">
        <f>0.941*$L$72</f>
        <v>0</v>
      </c>
      <c r="M101">
        <f>0+D101+E101+G101+H101+I101+J101+K101+L101</f>
        <v>0</v>
      </c>
      <c r="N101">
        <f>0+D101+F101+G101+H101+I101+J101+K101+L101</f>
        <v>0</v>
      </c>
    </row>
    <row r="102" spans="3:14">
      <c r="C102" t="s">
        <v>42</v>
      </c>
      <c r="D102">
        <f>-126.158*$D$72</f>
        <v>0</v>
      </c>
      <c r="E102">
        <f>62.047*$E$72</f>
        <v>0</v>
      </c>
      <c r="F102">
        <f>-261.469*$F$72</f>
        <v>0</v>
      </c>
      <c r="G102">
        <f>-9.961*$G$72</f>
        <v>0</v>
      </c>
      <c r="H102">
        <f>0*$H$72</f>
        <v>0</v>
      </c>
      <c r="I102">
        <f>-18.412*$I$72</f>
        <v>0</v>
      </c>
      <c r="J102">
        <f>-25.956*$J$72</f>
        <v>0</v>
      </c>
      <c r="K102">
        <f>34.608*$K$72</f>
        <v>0</v>
      </c>
      <c r="L102">
        <f>0.923*$L$72</f>
        <v>0</v>
      </c>
      <c r="M102">
        <f>0+D102+E102+G102+H102+I102+J102+K102+L102</f>
        <v>0</v>
      </c>
      <c r="N102">
        <f>0+D102+F102+G102+H102+I102+J102+K102+L102</f>
        <v>0</v>
      </c>
    </row>
    <row r="103" spans="3:14">
      <c r="C103" t="s">
        <v>43</v>
      </c>
      <c r="D103">
        <f>-99.976*$D$72</f>
        <v>0</v>
      </c>
      <c r="E103">
        <f>60.968*$E$72</f>
        <v>0</v>
      </c>
      <c r="F103">
        <f>-224.31*$F$72</f>
        <v>0</v>
      </c>
      <c r="G103">
        <f>-14.495*$G$72</f>
        <v>0</v>
      </c>
      <c r="H103">
        <f>0*$H$72</f>
        <v>0</v>
      </c>
      <c r="I103">
        <f>-15.081*$I$72</f>
        <v>0</v>
      </c>
      <c r="J103">
        <f>9.471*$J$72</f>
        <v>0</v>
      </c>
      <c r="K103">
        <f>-12.628*$K$72</f>
        <v>0</v>
      </c>
      <c r="L103">
        <f>1.22*$L$72</f>
        <v>0</v>
      </c>
      <c r="M103">
        <f>0+D103+E103+G103+H103+I103+J103+K103+L103</f>
        <v>0</v>
      </c>
      <c r="N103">
        <f>0+D103+F103+G103+H103+I103+J103+K103+L103</f>
        <v>0</v>
      </c>
    </row>
    <row r="104" spans="3:14">
      <c r="C104" t="s">
        <v>44</v>
      </c>
      <c r="D104">
        <f>-77.639*$D$72</f>
        <v>0</v>
      </c>
      <c r="E104">
        <f>74.824*$E$72</f>
        <v>0</v>
      </c>
      <c r="F104">
        <f>-203.777*$F$72</f>
        <v>0</v>
      </c>
      <c r="G104">
        <f>-9.925*$G$72</f>
        <v>0</v>
      </c>
      <c r="H104">
        <f>0*$H$72</f>
        <v>0</v>
      </c>
      <c r="I104">
        <f>-11.826*$I$72</f>
        <v>0</v>
      </c>
      <c r="J104">
        <f>5.708*$J$72</f>
        <v>0</v>
      </c>
      <c r="K104">
        <f>-7.61*$K$72</f>
        <v>0</v>
      </c>
      <c r="L104">
        <f>1.289*$L$72</f>
        <v>0</v>
      </c>
      <c r="M104">
        <f>0+D104+E104+G104+H104+I104+J104+K104+L104</f>
        <v>0</v>
      </c>
      <c r="N104">
        <f>0+D104+F104+G104+H104+I104+J104+K104+L104</f>
        <v>0</v>
      </c>
    </row>
    <row r="105" spans="3:14">
      <c r="C105" t="s">
        <v>45</v>
      </c>
      <c r="D105">
        <f>-54.788*$D$72</f>
        <v>0</v>
      </c>
      <c r="E105">
        <f>89.145*$E$72</f>
        <v>0</v>
      </c>
      <c r="F105">
        <f>-183.3*$F$72</f>
        <v>0</v>
      </c>
      <c r="G105">
        <f>-5.128*$G$72</f>
        <v>0</v>
      </c>
      <c r="H105">
        <f>0*$H$72</f>
        <v>0</v>
      </c>
      <c r="I105">
        <f>-8.521*$I$72</f>
        <v>0</v>
      </c>
      <c r="J105">
        <f>-0.007648*$J$72</f>
        <v>0</v>
      </c>
      <c r="K105">
        <f>0.01*$K$72</f>
        <v>0</v>
      </c>
      <c r="L105">
        <f>1.355*$L$72</f>
        <v>0</v>
      </c>
      <c r="M105">
        <f>0+D105+E105+G105+H105+I105+J105+K105+L105</f>
        <v>0</v>
      </c>
      <c r="N105">
        <f>0+D105+F105+G105+H105+I105+J105+K105+L105</f>
        <v>0</v>
      </c>
    </row>
    <row r="106" spans="3:14">
      <c r="C106" t="s">
        <v>46</v>
      </c>
      <c r="D106">
        <f>-31.821*$D$72</f>
        <v>0</v>
      </c>
      <c r="E106">
        <f>103.045*$E$72</f>
        <v>0</v>
      </c>
      <c r="F106">
        <f>-162.987*$F$72</f>
        <v>0</v>
      </c>
      <c r="G106">
        <f>-0.506*$G$72</f>
        <v>0</v>
      </c>
      <c r="H106">
        <f>0*$H$72</f>
        <v>0</v>
      </c>
      <c r="I106">
        <f>-5.173*$I$72</f>
        <v>0</v>
      </c>
      <c r="J106">
        <f>-5.346*$J$72</f>
        <v>0</v>
      </c>
      <c r="K106">
        <f>7.128*$K$72</f>
        <v>0</v>
      </c>
      <c r="L106">
        <f>1.41*$L$72</f>
        <v>0</v>
      </c>
      <c r="M106">
        <f>0+D106+E106+G106+H106+I106+J106+K106+L106</f>
        <v>0</v>
      </c>
      <c r="N106">
        <f>0+D106+F106+G106+H106+I106+J106+K106+L106</f>
        <v>0</v>
      </c>
    </row>
    <row r="107" spans="3:14">
      <c r="C107" t="s">
        <v>47</v>
      </c>
      <c r="D107">
        <f>-8.884*$D$72</f>
        <v>0</v>
      </c>
      <c r="E107">
        <f>119.197*$E$72</f>
        <v>0</v>
      </c>
      <c r="F107">
        <f>-142.405*$F$72</f>
        <v>0</v>
      </c>
      <c r="G107">
        <f>3.73*$G$72</f>
        <v>0</v>
      </c>
      <c r="H107">
        <f>0*$H$72</f>
        <v>0</v>
      </c>
      <c r="I107">
        <f>-1.817*$I$72</f>
        <v>0</v>
      </c>
      <c r="J107">
        <f>-8.573*$J$72</f>
        <v>0</v>
      </c>
      <c r="K107">
        <f>11.43*$K$72</f>
        <v>0</v>
      </c>
      <c r="L107">
        <f>1.474*$L$72</f>
        <v>0</v>
      </c>
      <c r="M107">
        <f>0+D107+E107+G107+H107+I107+J107+K107+L107</f>
        <v>0</v>
      </c>
      <c r="N107">
        <f>0+D107+F107+G107+H107+I107+J107+K107+L107</f>
        <v>0</v>
      </c>
    </row>
    <row r="108" spans="3:14">
      <c r="C108" t="s">
        <v>48</v>
      </c>
      <c r="D108">
        <f>29.852*$D$72</f>
        <v>0</v>
      </c>
      <c r="E108">
        <f>150.375*$E$72</f>
        <v>0</v>
      </c>
      <c r="F108">
        <f>-111.863*$F$72</f>
        <v>0</v>
      </c>
      <c r="G108">
        <f>-2.062*$G$72</f>
        <v>0</v>
      </c>
      <c r="H108">
        <f>0*$H$72</f>
        <v>0</v>
      </c>
      <c r="I108">
        <f>3.435*$I$72</f>
        <v>0</v>
      </c>
      <c r="J108">
        <f>7.139*$J$72</f>
        <v>0</v>
      </c>
      <c r="K108">
        <f>-9.518*$K$72</f>
        <v>0</v>
      </c>
      <c r="L108">
        <f>1.222*$L$72</f>
        <v>0</v>
      </c>
      <c r="M108">
        <f>0+D108+E108+G108+H108+I108+J108+K108+L108</f>
        <v>0</v>
      </c>
      <c r="N108">
        <f>0+D108+F108+G108+H108+I108+J108+K108+L108</f>
        <v>0</v>
      </c>
    </row>
    <row r="109" spans="3:14">
      <c r="C109" t="s">
        <v>49</v>
      </c>
      <c r="D109">
        <f>52.887*$D$72</f>
        <v>0</v>
      </c>
      <c r="E109">
        <f>170.878*$E$72</f>
        <v>0</v>
      </c>
      <c r="F109">
        <f>-97.003*$F$72</f>
        <v>0</v>
      </c>
      <c r="G109">
        <f>2.448*$G$72</f>
        <v>0</v>
      </c>
      <c r="H109">
        <f>0*$H$72</f>
        <v>0</v>
      </c>
      <c r="I109">
        <f>6.796*$I$72</f>
        <v>0</v>
      </c>
      <c r="J109">
        <f>2.244*$J$72</f>
        <v>0</v>
      </c>
      <c r="K109">
        <f>-2.993*$K$72</f>
        <v>0</v>
      </c>
      <c r="L109">
        <f>1.294*$L$72</f>
        <v>0</v>
      </c>
      <c r="M109">
        <f>0+D109+E109+G109+H109+I109+J109+K109+L109</f>
        <v>0</v>
      </c>
      <c r="N109">
        <f>0+D109+F109+G109+H109+I109+J109+K109+L109</f>
        <v>0</v>
      </c>
    </row>
    <row r="110" spans="3:14">
      <c r="C110" t="s">
        <v>50</v>
      </c>
      <c r="D110">
        <f>75.832*$D$72</f>
        <v>0</v>
      </c>
      <c r="E110">
        <f>191.807*$E$72</f>
        <v>0</v>
      </c>
      <c r="F110">
        <f>-82.689*$F$72</f>
        <v>0</v>
      </c>
      <c r="G110">
        <f>7.222*$G$72</f>
        <v>0</v>
      </c>
      <c r="H110">
        <f>0*$H$72</f>
        <v>0</v>
      </c>
      <c r="I110">
        <f>10.132*$I$72</f>
        <v>0</v>
      </c>
      <c r="J110">
        <f>-3.825*$J$72</f>
        <v>0</v>
      </c>
      <c r="K110">
        <f>5.1*$K$72</f>
        <v>0</v>
      </c>
      <c r="L110">
        <f>1.323*$L$72</f>
        <v>0</v>
      </c>
      <c r="M110">
        <f>0+D110+E110+G110+H110+I110+J110+K110+L110</f>
        <v>0</v>
      </c>
      <c r="N110">
        <f>0+D110+F110+G110+H110+I110+J110+K110+L110</f>
        <v>0</v>
      </c>
    </row>
    <row r="111" spans="3:14">
      <c r="C111" t="s">
        <v>51</v>
      </c>
      <c r="D111">
        <f>98.666*$D$72</f>
        <v>0</v>
      </c>
      <c r="E111">
        <f>212.483*$E$72</f>
        <v>0</v>
      </c>
      <c r="F111">
        <f>-68.607*$F$72</f>
        <v>0</v>
      </c>
      <c r="G111">
        <f>11.857*$G$72</f>
        <v>0</v>
      </c>
      <c r="H111">
        <f>0*$H$72</f>
        <v>0</v>
      </c>
      <c r="I111">
        <f>13.445*$I$72</f>
        <v>0</v>
      </c>
      <c r="J111">
        <f>-8.762*$J$72</f>
        <v>0</v>
      </c>
      <c r="K111">
        <f>11.683*$K$72</f>
        <v>0</v>
      </c>
      <c r="L111">
        <f>1.249*$L$72</f>
        <v>0</v>
      </c>
      <c r="M111">
        <f>0+D111+E111+G111+H111+I111+J111+K111+L111</f>
        <v>0</v>
      </c>
      <c r="N111">
        <f>0+D111+F111+G111+H111+I111+J111+K111+L111</f>
        <v>0</v>
      </c>
    </row>
    <row r="112" spans="3:14">
      <c r="C112" t="s">
        <v>52</v>
      </c>
      <c r="D112">
        <f>120.997*$D$72</f>
        <v>0</v>
      </c>
      <c r="E112">
        <f>232.998*$E$72</f>
        <v>0</v>
      </c>
      <c r="F112">
        <f>-55.464*$F$72</f>
        <v>0</v>
      </c>
      <c r="G112">
        <f>16.156*$G$72</f>
        <v>0</v>
      </c>
      <c r="H112">
        <f>0*$H$72</f>
        <v>0</v>
      </c>
      <c r="I112">
        <f>16.708*$I$72</f>
        <v>0</v>
      </c>
      <c r="J112">
        <f>-10.912*$J$72</f>
        <v>0</v>
      </c>
      <c r="K112">
        <f>14.549*$K$72</f>
        <v>0</v>
      </c>
      <c r="L112">
        <f>1.02*$L$72</f>
        <v>0</v>
      </c>
      <c r="M112">
        <f>0+D112+E112+G112+H112+I112+J112+K112+L112</f>
        <v>0</v>
      </c>
      <c r="N112">
        <f>0+D112+F112+G112+H112+I112+J112+K112+L112</f>
        <v>0</v>
      </c>
    </row>
    <row r="113" spans="3:14">
      <c r="C113" t="s">
        <v>53</v>
      </c>
      <c r="D113">
        <f>148.922*$D$72</f>
        <v>0</v>
      </c>
      <c r="E113">
        <f>272.189*$E$72</f>
        <v>0</v>
      </c>
      <c r="F113">
        <f>-56.553*$F$72</f>
        <v>0</v>
      </c>
      <c r="G113">
        <f>11.438*$G$72</f>
        <v>0</v>
      </c>
      <c r="H113">
        <f>0*$H$72</f>
        <v>0</v>
      </c>
      <c r="I113">
        <f>20.43*$I$72</f>
        <v>0</v>
      </c>
      <c r="J113">
        <f>22.703*$J$72</f>
        <v>0</v>
      </c>
      <c r="K113">
        <f>-30.271*$K$72</f>
        <v>0</v>
      </c>
      <c r="L113">
        <f>-2.463*$L$72</f>
        <v>0</v>
      </c>
      <c r="M113">
        <f>0+D113+E113+G113+H113+I113+J113+K113+L113</f>
        <v>0</v>
      </c>
      <c r="N113">
        <f>0+D113+F113+G113+H113+I113+J113+K113+L113</f>
        <v>0</v>
      </c>
    </row>
    <row r="114" spans="3:14">
      <c r="C114" t="s">
        <v>54</v>
      </c>
      <c r="D114">
        <f>162.333*$D$72</f>
        <v>0</v>
      </c>
      <c r="E114">
        <f>284.225*$E$72</f>
        <v>0</v>
      </c>
      <c r="F114">
        <f>-47.632*$F$72</f>
        <v>0</v>
      </c>
      <c r="G114">
        <f>14.913*$G$72</f>
        <v>0</v>
      </c>
      <c r="H114">
        <f>0*$H$72</f>
        <v>0</v>
      </c>
      <c r="I114">
        <f>22.396*$I$72</f>
        <v>0</v>
      </c>
      <c r="J114">
        <f>12.476*$J$72</f>
        <v>0</v>
      </c>
      <c r="K114">
        <f>-16.635*$K$72</f>
        <v>0</v>
      </c>
      <c r="L114">
        <f>-2.527*$L$72</f>
        <v>0</v>
      </c>
      <c r="M114">
        <f>0+D114+E114+G114+H114+I114+J114+K114+L114</f>
        <v>0</v>
      </c>
      <c r="N114">
        <f>0+D114+F114+G114+H114+I114+J114+K114+L114</f>
        <v>0</v>
      </c>
    </row>
    <row r="115" spans="3:14">
      <c r="C115" t="s">
        <v>55</v>
      </c>
      <c r="D115">
        <f>181.609*$D$72</f>
        <v>0</v>
      </c>
      <c r="E115">
        <f>305.657*$E$72</f>
        <v>0</v>
      </c>
      <c r="F115">
        <f>-34.869*$F$72</f>
        <v>0</v>
      </c>
      <c r="G115">
        <f>19.425*$G$72</f>
        <v>0</v>
      </c>
      <c r="H115">
        <f>0*$H$72</f>
        <v>0</v>
      </c>
      <c r="I115">
        <f>25.195*$I$72</f>
        <v>0</v>
      </c>
      <c r="J115">
        <f>10.106*$J$72</f>
        <v>0</v>
      </c>
      <c r="K115">
        <f>-13.475*$K$72</f>
        <v>0</v>
      </c>
      <c r="L115">
        <f>-2.548*$L$72</f>
        <v>0</v>
      </c>
      <c r="M115">
        <f>0+D115+E115+G115+H115+I115+J115+K115+L115</f>
        <v>0</v>
      </c>
      <c r="N115">
        <f>0+D115+F115+G115+H115+I115+J115+K115+L115</f>
        <v>0</v>
      </c>
    </row>
    <row r="116" spans="3:14">
      <c r="C116" t="s">
        <v>56</v>
      </c>
      <c r="D116">
        <f>200.636*$D$72</f>
        <v>0</v>
      </c>
      <c r="E116">
        <f>328.194*$E$72</f>
        <v>0</v>
      </c>
      <c r="F116">
        <f>-27.094*$F$72</f>
        <v>0</v>
      </c>
      <c r="G116">
        <f>24.1*$G$72</f>
        <v>0</v>
      </c>
      <c r="H116">
        <f>0*$H$72</f>
        <v>0</v>
      </c>
      <c r="I116">
        <f>27.966*$I$72</f>
        <v>0</v>
      </c>
      <c r="J116">
        <f>11.876*$J$72</f>
        <v>0</v>
      </c>
      <c r="K116">
        <f>-15.835*$K$72</f>
        <v>0</v>
      </c>
      <c r="L116">
        <f>-2.572*$L$72</f>
        <v>0</v>
      </c>
      <c r="M116">
        <f>0+D116+E116+G116+H116+I116+J116+K116+L116</f>
        <v>0</v>
      </c>
      <c r="N116">
        <f>0+D116+F116+G116+H116+I116+J116+K116+L116</f>
        <v>0</v>
      </c>
    </row>
    <row r="117" spans="3:14">
      <c r="C117" t="s">
        <v>57</v>
      </c>
      <c r="D117">
        <f>217.935*$D$72</f>
        <v>0</v>
      </c>
      <c r="E117">
        <f>351.318*$E$72</f>
        <v>0</v>
      </c>
      <c r="F117">
        <f>-18.776*$F$72</f>
        <v>0</v>
      </c>
      <c r="G117">
        <f>28.9*$G$72</f>
        <v>0</v>
      </c>
      <c r="H117">
        <f>0*$H$72</f>
        <v>0</v>
      </c>
      <c r="I117">
        <f>30.48*$I$72</f>
        <v>0</v>
      </c>
      <c r="J117">
        <f>21.855*$J$72</f>
        <v>0</v>
      </c>
      <c r="K117">
        <f>-29.14*$K$72</f>
        <v>0</v>
      </c>
      <c r="L117">
        <f>-2.761*$L$72</f>
        <v>0</v>
      </c>
      <c r="M117">
        <f>0+D117+E117+G117+H117+I117+J117+K117+L117</f>
        <v>0</v>
      </c>
      <c r="N117">
        <f>0+D117+F117+G117+H117+I117+J117+K117+L117</f>
        <v>0</v>
      </c>
    </row>
    <row r="118" spans="3:14">
      <c r="C118" t="s">
        <v>58</v>
      </c>
      <c r="D118">
        <f>7.703*$D$72</f>
        <v>0</v>
      </c>
      <c r="E118">
        <f>46.203*$E$72</f>
        <v>0</v>
      </c>
      <c r="F118">
        <f>-149.55*$F$72</f>
        <v>0</v>
      </c>
      <c r="G118">
        <f>-2.248*$G$72</f>
        <v>0</v>
      </c>
      <c r="H118">
        <f>0*$H$72</f>
        <v>0</v>
      </c>
      <c r="I118">
        <f>0.484*$I$72</f>
        <v>0</v>
      </c>
      <c r="J118">
        <f>-32.999*$J$72</f>
        <v>0</v>
      </c>
      <c r="K118">
        <f>43.999*$K$72</f>
        <v>0</v>
      </c>
      <c r="L118">
        <f>1.076*$L$72</f>
        <v>0</v>
      </c>
      <c r="M118">
        <f>0+D118+E118+G118+H118+I118+J118+K118+L118</f>
        <v>0</v>
      </c>
      <c r="N118">
        <f>0+D118+F118+G118+H118+I118+J118+K118+L118</f>
        <v>0</v>
      </c>
    </row>
    <row r="119" spans="3:14">
      <c r="C119" t="s">
        <v>58</v>
      </c>
      <c r="D119">
        <f>-6.959*$D$72</f>
        <v>0</v>
      </c>
      <c r="E119">
        <f>9.396*$E$72</f>
        <v>0</v>
      </c>
      <c r="F119">
        <f>-19.643*$F$72</f>
        <v>0</v>
      </c>
      <c r="G119">
        <f>1.779*$G$72</f>
        <v>0</v>
      </c>
      <c r="H119">
        <f>0*$H$72</f>
        <v>0</v>
      </c>
      <c r="I119">
        <f>-0.346*$I$72</f>
        <v>0</v>
      </c>
      <c r="J119">
        <f>35.868*$J$72</f>
        <v>0</v>
      </c>
      <c r="K119">
        <f>-47.825*$K$72</f>
        <v>0</v>
      </c>
      <c r="L119">
        <f>-8.584*$L$72</f>
        <v>0</v>
      </c>
      <c r="M119">
        <f>0+D119+E119+G119+H119+I119+J119+K119+L119</f>
        <v>0</v>
      </c>
      <c r="N119">
        <f>0+D119+F119+G119+H119+I119+J119+K119+L119</f>
        <v>0</v>
      </c>
    </row>
    <row r="120" spans="3:14">
      <c r="C120" t="s">
        <v>59</v>
      </c>
      <c r="D120">
        <f>2.179*$D$72</f>
        <v>0</v>
      </c>
      <c r="E120">
        <f>9.396*$E$72</f>
        <v>0</v>
      </c>
      <c r="F120">
        <f>-19.643*$F$72</f>
        <v>0</v>
      </c>
      <c r="G120">
        <f>1.779*$G$72</f>
        <v>0</v>
      </c>
      <c r="H120">
        <f>0*$H$72</f>
        <v>0</v>
      </c>
      <c r="I120">
        <f>-0.346*$I$72</f>
        <v>0</v>
      </c>
      <c r="J120">
        <f>35.868*$J$72</f>
        <v>0</v>
      </c>
      <c r="K120">
        <f>-47.825*$K$72</f>
        <v>0</v>
      </c>
      <c r="L120">
        <f>-8.584*$L$72</f>
        <v>0</v>
      </c>
      <c r="M120">
        <f>0+D120+E120+G120+H120+I120+J120+K120+L120</f>
        <v>0</v>
      </c>
      <c r="N120">
        <f>0+D120+F120+G120+H120+I120+J120+K120+L120</f>
        <v>0</v>
      </c>
    </row>
    <row r="121" spans="3:14">
      <c r="C121" t="s">
        <v>60</v>
      </c>
      <c r="D121">
        <f>-74.633*$D$72</f>
        <v>0</v>
      </c>
      <c r="E121">
        <f>23.575*$E$72</f>
        <v>0</v>
      </c>
      <c r="F121">
        <f>-209.844*$F$72</f>
        <v>0</v>
      </c>
      <c r="G121">
        <f>-16.262*$G$72</f>
        <v>0</v>
      </c>
      <c r="H121">
        <f>0*$H$72</f>
        <v>0</v>
      </c>
      <c r="I121">
        <f>-11.197*$I$72</f>
        <v>0</v>
      </c>
      <c r="J121">
        <f>-23.892*$J$72</f>
        <v>0</v>
      </c>
      <c r="K121">
        <f>31.856*$K$72</f>
        <v>0</v>
      </c>
      <c r="L121">
        <f>14.571*$L$72</f>
        <v>0</v>
      </c>
      <c r="M121">
        <f>0+D121+E121+G121+H121+I121+J121+K121+L121</f>
        <v>0</v>
      </c>
      <c r="N121">
        <f>0+D121+F121+G121+H121+I121+J121+K121+L121</f>
        <v>0</v>
      </c>
    </row>
    <row r="122" spans="3:14">
      <c r="C122" t="s">
        <v>61</v>
      </c>
      <c r="D122">
        <f>-58.834*$D$72</f>
        <v>0</v>
      </c>
      <c r="E122">
        <f>35.176*$E$72</f>
        <v>0</v>
      </c>
      <c r="F122">
        <f>-182.276*$F$72</f>
        <v>0</v>
      </c>
      <c r="G122">
        <f>-11.676*$G$72</f>
        <v>0</v>
      </c>
      <c r="H122">
        <f>0*$H$72</f>
        <v>0</v>
      </c>
      <c r="I122">
        <f>-8.904*$I$72</f>
        <v>0</v>
      </c>
      <c r="J122">
        <f>-24.513*$J$72</f>
        <v>0</v>
      </c>
      <c r="K122">
        <f>32.683*$K$72</f>
        <v>0</v>
      </c>
      <c r="L122">
        <f>15.795*$L$72</f>
        <v>0</v>
      </c>
      <c r="M122">
        <f>0+D122+E122+G122+H122+I122+J122+K122+L122</f>
        <v>0</v>
      </c>
      <c r="N122">
        <f>0+D122+F122+G122+H122+I122+J122+K122+L122</f>
        <v>0</v>
      </c>
    </row>
    <row r="123" spans="3:14">
      <c r="C123" t="s">
        <v>62</v>
      </c>
      <c r="D123">
        <f>-43.622*$D$72</f>
        <v>0</v>
      </c>
      <c r="E123">
        <f>47.866*$E$72</f>
        <v>0</v>
      </c>
      <c r="F123">
        <f>-163.252*$F$72</f>
        <v>0</v>
      </c>
      <c r="G123">
        <f>-7.522*$G$72</f>
        <v>0</v>
      </c>
      <c r="H123">
        <f>0*$H$72</f>
        <v>0</v>
      </c>
      <c r="I123">
        <f>-6.682*$I$72</f>
        <v>0</v>
      </c>
      <c r="J123">
        <f>-37.426*$J$72</f>
        <v>0</v>
      </c>
      <c r="K123">
        <f>49.902*$K$72</f>
        <v>0</v>
      </c>
      <c r="L123">
        <f>17.102*$L$72</f>
        <v>0</v>
      </c>
      <c r="M123">
        <f>0+D123+E123+G123+H123+I123+J123+K123+L123</f>
        <v>0</v>
      </c>
      <c r="N123">
        <f>0+D123+F123+G123+H123+I123+J123+K123+L123</f>
        <v>0</v>
      </c>
    </row>
    <row r="124" spans="3:14">
      <c r="C124" t="s">
        <v>63</v>
      </c>
      <c r="D124">
        <f>-25.353*$D$72</f>
        <v>0</v>
      </c>
      <c r="E124">
        <f>66.504*$E$72</f>
        <v>0</v>
      </c>
      <c r="F124">
        <f>-138.87*$F$72</f>
        <v>0</v>
      </c>
      <c r="G124">
        <f>-3.265*$G$72</f>
        <v>0</v>
      </c>
      <c r="H124">
        <f>0*$H$72</f>
        <v>0</v>
      </c>
      <c r="I124">
        <f>-4.019*$I$72</f>
        <v>0</v>
      </c>
      <c r="J124">
        <f>-37.98*$J$72</f>
        <v>0</v>
      </c>
      <c r="K124">
        <f>50.64*$K$72</f>
        <v>0</v>
      </c>
      <c r="L124">
        <f>17.024*$L$72</f>
        <v>0</v>
      </c>
      <c r="M124">
        <f>0+D124+E124+G124+H124+I124+J124+K124+L124</f>
        <v>0</v>
      </c>
      <c r="N124">
        <f>0+D124+F124+G124+H124+I124+J124+K124+L124</f>
        <v>0</v>
      </c>
    </row>
    <row r="125" spans="3:14">
      <c r="C125" t="s">
        <v>64</v>
      </c>
      <c r="D125">
        <f>-6.421*$D$72</f>
        <v>0</v>
      </c>
      <c r="E125">
        <f>85.066*$E$72</f>
        <v>0</v>
      </c>
      <c r="F125">
        <f>-113.88*$F$72</f>
        <v>0</v>
      </c>
      <c r="G125">
        <f>0.68*$G$72</f>
        <v>0</v>
      </c>
      <c r="H125">
        <f>0*$H$72</f>
        <v>0</v>
      </c>
      <c r="I125">
        <f>-1.25*$I$72</f>
        <v>0</v>
      </c>
      <c r="J125">
        <f>-37.058*$J$72</f>
        <v>0</v>
      </c>
      <c r="K125">
        <f>49.411*$K$72</f>
        <v>0</v>
      </c>
      <c r="L125">
        <f>15.905*$L$72</f>
        <v>0</v>
      </c>
      <c r="M125">
        <f>0+D125+E125+G125+H125+I125+J125+K125+L125</f>
        <v>0</v>
      </c>
      <c r="N125">
        <f>0+D125+F125+G125+H125+I125+J125+K125+L125</f>
        <v>0</v>
      </c>
    </row>
    <row r="126" spans="3:14">
      <c r="C126" t="s">
        <v>65</v>
      </c>
      <c r="D126">
        <f>19.75*$D$72</f>
        <v>0</v>
      </c>
      <c r="E126">
        <f>116.219*$E$72</f>
        <v>0</v>
      </c>
      <c r="F126">
        <f>-82.813*$F$72</f>
        <v>0</v>
      </c>
      <c r="G126">
        <f>-1.077*$G$72</f>
        <v>0</v>
      </c>
      <c r="H126">
        <f>0*$H$72</f>
        <v>0</v>
      </c>
      <c r="I126">
        <f>1.906*$I$72</f>
        <v>0</v>
      </c>
      <c r="J126">
        <f>28.257*$J$72</f>
        <v>0</v>
      </c>
      <c r="K126">
        <f>-37.676*$K$72</f>
        <v>0</v>
      </c>
      <c r="L126">
        <f>-15.808*$L$72</f>
        <v>0</v>
      </c>
      <c r="M126">
        <f>0+D126+E126+G126+H126+I126+J126+K126+L126</f>
        <v>0</v>
      </c>
      <c r="N126">
        <f>0+D126+F126+G126+H126+I126+J126+K126+L126</f>
        <v>0</v>
      </c>
    </row>
    <row r="127" spans="3:14">
      <c r="C127" t="s">
        <v>66</v>
      </c>
      <c r="D127">
        <f>41.032*$D$72</f>
        <v>0</v>
      </c>
      <c r="E127">
        <f>143.918*$E$72</f>
        <v>0</v>
      </c>
      <c r="F127">
        <f>-61.105*$F$72</f>
        <v>0</v>
      </c>
      <c r="G127">
        <f>3.615*$G$72</f>
        <v>0</v>
      </c>
      <c r="H127">
        <f>0*$H$72</f>
        <v>0</v>
      </c>
      <c r="I127">
        <f>5*$I$72</f>
        <v>0</v>
      </c>
      <c r="J127">
        <f>27.706*$J$72</f>
        <v>0</v>
      </c>
      <c r="K127">
        <f>-36.942*$K$72</f>
        <v>0</v>
      </c>
      <c r="L127">
        <f>-16.405*$L$72</f>
        <v>0</v>
      </c>
      <c r="M127">
        <f>0+D127+E127+G127+H127+I127+J127+K127+L127</f>
        <v>0</v>
      </c>
      <c r="N127">
        <f>0+D127+F127+G127+H127+I127+J127+K127+L127</f>
        <v>0</v>
      </c>
    </row>
    <row r="128" spans="3:14">
      <c r="C128" t="s">
        <v>67</v>
      </c>
      <c r="D128">
        <f>62.197*$D$72</f>
        <v>0</v>
      </c>
      <c r="E128">
        <f>171.588*$E$72</f>
        <v>0</v>
      </c>
      <c r="F128">
        <f>-38.892*$F$72</f>
        <v>0</v>
      </c>
      <c r="G128">
        <f>8.685*$G$72</f>
        <v>0</v>
      </c>
      <c r="H128">
        <f>0*$H$72</f>
        <v>0</v>
      </c>
      <c r="I128">
        <f>8.053*$I$72</f>
        <v>0</v>
      </c>
      <c r="J128">
        <f>27.562*$J$72</f>
        <v>0</v>
      </c>
      <c r="K128">
        <f>-36.75*$K$72</f>
        <v>0</v>
      </c>
      <c r="L128">
        <f>-16.277*$L$72</f>
        <v>0</v>
      </c>
      <c r="M128">
        <f>0+D128+E128+G128+H128+I128+J128+K128+L128</f>
        <v>0</v>
      </c>
      <c r="N128">
        <f>0+D128+F128+G128+H128+I128+J128+K128+L128</f>
        <v>0</v>
      </c>
    </row>
    <row r="129" spans="3:14">
      <c r="C129" t="s">
        <v>68</v>
      </c>
      <c r="D129">
        <f>79.628*$D$72</f>
        <v>0</v>
      </c>
      <c r="E129">
        <f>193.62*$E$72</f>
        <v>0</v>
      </c>
      <c r="F129">
        <f>-23.597*$F$72</f>
        <v>0</v>
      </c>
      <c r="G129">
        <f>13.365*$G$72</f>
        <v>0</v>
      </c>
      <c r="H129">
        <f>0*$H$72</f>
        <v>0</v>
      </c>
      <c r="I129">
        <f>10.56*$I$72</f>
        <v>0</v>
      </c>
      <c r="J129">
        <f>14.335*$J$72</f>
        <v>0</v>
      </c>
      <c r="K129">
        <f>-19.113*$K$72</f>
        <v>0</v>
      </c>
      <c r="L129">
        <f>-15.206*$L$72</f>
        <v>0</v>
      </c>
      <c r="M129">
        <f>0+D129+E129+G129+H129+I129+J129+K129+L129</f>
        <v>0</v>
      </c>
      <c r="N129">
        <f>0+D129+F129+G129+H129+I129+J129+K129+L129</f>
        <v>0</v>
      </c>
    </row>
    <row r="130" spans="3:14">
      <c r="C130" t="s">
        <v>69</v>
      </c>
      <c r="D130">
        <f>101.747*$D$72</f>
        <v>0</v>
      </c>
      <c r="E130">
        <f>231.975*$E$72</f>
        <v>0</v>
      </c>
      <c r="F130">
        <f>-9.707*$F$72</f>
        <v>0</v>
      </c>
      <c r="G130">
        <f>19.182*$G$72</f>
        <v>0</v>
      </c>
      <c r="H130">
        <f>0*$H$72</f>
        <v>0</v>
      </c>
      <c r="I130">
        <f>13.711*$I$72</f>
        <v>0</v>
      </c>
      <c r="J130">
        <f>24.043*$J$72</f>
        <v>0</v>
      </c>
      <c r="K130">
        <f>-32.057*$K$72</f>
        <v>0</v>
      </c>
      <c r="L130">
        <f>-15.199*$L$72</f>
        <v>0</v>
      </c>
      <c r="M130">
        <f>0+D130+E130+G130+H130+I130+J130+K130+L130</f>
        <v>0</v>
      </c>
      <c r="N130">
        <f>0+D130+F130+G130+H130+I130+J130+K130+L130</f>
        <v>0</v>
      </c>
    </row>
    <row r="135" spans="3:14">
      <c r="C135" t="s">
        <v>71</v>
      </c>
    </row>
    <row r="137" spans="3:14">
      <c r="C137" t="s">
        <v>2</v>
      </c>
    </row>
    <row r="138" spans="3:14">
      <c r="C138" t="s">
        <v>3</v>
      </c>
      <c r="D138" t="s">
        <v>4</v>
      </c>
      <c r="E138" t="s">
        <v>5</v>
      </c>
      <c r="F138" t="s">
        <v>6</v>
      </c>
      <c r="G138" t="s">
        <v>7</v>
      </c>
      <c r="H138" t="s">
        <v>8</v>
      </c>
      <c r="I138" t="s">
        <v>9</v>
      </c>
      <c r="J138" t="s">
        <v>10</v>
      </c>
      <c r="K138" t="s">
        <v>11</v>
      </c>
      <c r="L138" t="s">
        <v>12</v>
      </c>
      <c r="M138" t="s">
        <v>13</v>
      </c>
      <c r="N138" t="s">
        <v>14</v>
      </c>
    </row>
    <row r="139" spans="3:14">
      <c r="C139" t="s">
        <v>80</v>
      </c>
      <c r="D139">
        <f>4.0209*$D$137</f>
        <v>0</v>
      </c>
      <c r="E139">
        <f>15.8828*$E$137</f>
        <v>0</v>
      </c>
      <c r="F139">
        <f>-5.45*$F$137</f>
        <v>0</v>
      </c>
      <c r="G139">
        <f>-0.9678*$G$137</f>
        <v>0</v>
      </c>
      <c r="H139">
        <f>0*$H$137</f>
        <v>0</v>
      </c>
      <c r="I139">
        <f>0.6475*$I$137</f>
        <v>0</v>
      </c>
      <c r="J139">
        <f>95.6329*$J$137</f>
        <v>0</v>
      </c>
      <c r="K139">
        <f>-127.5106*$K$137</f>
        <v>0</v>
      </c>
      <c r="L139">
        <f>0.0034*$L$137</f>
        <v>0</v>
      </c>
      <c r="M139">
        <f>0+D139+E139+G139+H139+I139+J139+K139+L139</f>
        <v>0</v>
      </c>
      <c r="N139">
        <f>0+D139+F139+G139+H139+I139+J139+K139+L139</f>
        <v>0</v>
      </c>
    </row>
    <row r="140" spans="3:14">
      <c r="C140" t="s">
        <v>16</v>
      </c>
      <c r="D140">
        <f>-66.8864*$D$137</f>
        <v>0</v>
      </c>
      <c r="E140">
        <f>4.5965*$E$137</f>
        <v>0</v>
      </c>
      <c r="F140">
        <f>-95.0042*$F$137</f>
        <v>0</v>
      </c>
      <c r="G140">
        <f>-6.5136*$G$137</f>
        <v>0</v>
      </c>
      <c r="H140">
        <f>0*$H$137</f>
        <v>0</v>
      </c>
      <c r="I140">
        <f>-9.4715*$I$137</f>
        <v>0</v>
      </c>
      <c r="J140">
        <f>-227.383*$J$137</f>
        <v>0</v>
      </c>
      <c r="K140">
        <f>303.1773*$K$137</f>
        <v>0</v>
      </c>
      <c r="L140">
        <f>0.0031*$L$137</f>
        <v>0</v>
      </c>
      <c r="M140">
        <f>0+D140+E140+G140+H140+I140+J140+K140+L140</f>
        <v>0</v>
      </c>
      <c r="N140">
        <f>0+D140+F140+G140+H140+I140+J140+K140+L140</f>
        <v>0</v>
      </c>
    </row>
    <row r="141" spans="3:14">
      <c r="C141" t="s">
        <v>17</v>
      </c>
      <c r="D141">
        <f>-144.3014*$D$137</f>
        <v>0</v>
      </c>
      <c r="E141">
        <f>4.4355*$E$137</f>
        <v>0</v>
      </c>
      <c r="F141">
        <f>-201.6634*$F$137</f>
        <v>0</v>
      </c>
      <c r="G141">
        <f>-14.3247*$G$137</f>
        <v>0</v>
      </c>
      <c r="H141">
        <f>0*$H$137</f>
        <v>0</v>
      </c>
      <c r="I141">
        <f>-20.6101*$I$137</f>
        <v>0</v>
      </c>
      <c r="J141">
        <f>-165.1521*$J$137</f>
        <v>0</v>
      </c>
      <c r="K141">
        <f>220.2028*$K$137</f>
        <v>0</v>
      </c>
      <c r="L141">
        <f>0.0023*$L$137</f>
        <v>0</v>
      </c>
      <c r="M141">
        <f>0+D141+E141+G141+H141+I141+J141+K141+L141</f>
        <v>0</v>
      </c>
      <c r="N141">
        <f>0+D141+F141+G141+H141+I141+J141+K141+L141</f>
        <v>0</v>
      </c>
    </row>
    <row r="142" spans="3:14">
      <c r="C142" t="s">
        <v>18</v>
      </c>
      <c r="D142">
        <f>-212.007*$D$137</f>
        <v>0</v>
      </c>
      <c r="E142">
        <f>4.6934*$E$137</f>
        <v>0</v>
      </c>
      <c r="F142">
        <f>-296.6136*$F$137</f>
        <v>0</v>
      </c>
      <c r="G142">
        <f>-21.7079*$G$137</f>
        <v>0</v>
      </c>
      <c r="H142">
        <f>0*$H$137</f>
        <v>0</v>
      </c>
      <c r="I142">
        <f>-30.2772*$I$137</f>
        <v>0</v>
      </c>
      <c r="J142">
        <f>-97.8931*$J$137</f>
        <v>0</v>
      </c>
      <c r="K142">
        <f>130.5242*$K$137</f>
        <v>0</v>
      </c>
      <c r="L142">
        <f>0.0051*$L$137</f>
        <v>0</v>
      </c>
      <c r="M142">
        <f>0+D142+E142+G142+H142+I142+J142+K142+L142</f>
        <v>0</v>
      </c>
      <c r="N142">
        <f>0+D142+F142+G142+H142+I142+J142+K142+L142</f>
        <v>0</v>
      </c>
    </row>
    <row r="143" spans="3:14">
      <c r="C143" t="s">
        <v>19</v>
      </c>
      <c r="D143">
        <f>-268.708*$D$137</f>
        <v>0</v>
      </c>
      <c r="E143">
        <f>6.2234*$E$137</f>
        <v>0</v>
      </c>
      <c r="F143">
        <f>-373.7327*$F$137</f>
        <v>0</v>
      </c>
      <c r="G143">
        <f>-28.9391*$G$137</f>
        <v>0</v>
      </c>
      <c r="H143">
        <f>0*$H$137</f>
        <v>0</v>
      </c>
      <c r="I143">
        <f>-38.2671*$I$137</f>
        <v>0</v>
      </c>
      <c r="J143">
        <f>-39.6281*$J$137</f>
        <v>0</v>
      </c>
      <c r="K143">
        <f>52.8375*$K$137</f>
        <v>0</v>
      </c>
      <c r="L143">
        <f>0.0072*$L$137</f>
        <v>0</v>
      </c>
      <c r="M143">
        <f>0+D143+E143+G143+H143+I143+J143+K143+L143</f>
        <v>0</v>
      </c>
      <c r="N143">
        <f>0+D143+F143+G143+H143+I143+J143+K143+L143</f>
        <v>0</v>
      </c>
    </row>
    <row r="144" spans="3:14">
      <c r="C144" t="s">
        <v>20</v>
      </c>
      <c r="D144">
        <f>-309.9764*$D$137</f>
        <v>0</v>
      </c>
      <c r="E144">
        <f>7.8457*$E$137</f>
        <v>0</v>
      </c>
      <c r="F144">
        <f>-416.7529*$F$137</f>
        <v>0</v>
      </c>
      <c r="G144">
        <f>-42.0493*$G$137</f>
        <v>0</v>
      </c>
      <c r="H144">
        <f>0*$H$137</f>
        <v>0</v>
      </c>
      <c r="I144">
        <f>-43.6155*$I$137</f>
        <v>0</v>
      </c>
      <c r="J144">
        <f>104.1913*$J$137</f>
        <v>0</v>
      </c>
      <c r="K144">
        <f>-138.9217*$K$137</f>
        <v>0</v>
      </c>
      <c r="L144">
        <f>0.0033*$L$137</f>
        <v>0</v>
      </c>
      <c r="M144">
        <f>0+D144+E144+G144+H144+I144+J144+K144+L144</f>
        <v>0</v>
      </c>
      <c r="N144">
        <f>0+D144+F144+G144+H144+I144+J144+K144+L144</f>
        <v>0</v>
      </c>
    </row>
    <row r="145" spans="3:14">
      <c r="C145" t="s">
        <v>21</v>
      </c>
      <c r="D145">
        <f>-354.9788*$D$137</f>
        <v>0</v>
      </c>
      <c r="E145">
        <f>9.3953*$E$137</f>
        <v>0</v>
      </c>
      <c r="F145">
        <f>-498.1518*$F$137</f>
        <v>0</v>
      </c>
      <c r="G145">
        <f>-34.175*$G$137</f>
        <v>0</v>
      </c>
      <c r="H145">
        <f>0*$H$137</f>
        <v>0</v>
      </c>
      <c r="I145">
        <f>-50.7759*$I$137</f>
        <v>0</v>
      </c>
      <c r="J145">
        <f>-46.7943*$J$137</f>
        <v>0</v>
      </c>
      <c r="K145">
        <f>62.3925*$K$137</f>
        <v>0</v>
      </c>
      <c r="L145">
        <f>0.0115*$L$137</f>
        <v>0</v>
      </c>
      <c r="M145">
        <f>0+D145+E145+G145+H145+I145+J145+K145+L145</f>
        <v>0</v>
      </c>
      <c r="N145">
        <f>0+D145+F145+G145+H145+I145+J145+K145+L145</f>
        <v>0</v>
      </c>
    </row>
    <row r="146" spans="3:14">
      <c r="C146" t="s">
        <v>22</v>
      </c>
      <c r="D146">
        <f>-382.4258*$D$137</f>
        <v>0</v>
      </c>
      <c r="E146">
        <f>10.6789*$E$137</f>
        <v>0</v>
      </c>
      <c r="F146">
        <f>-535.1644*$F$137</f>
        <v>0</v>
      </c>
      <c r="G146">
        <f>-35.219*$G$137</f>
        <v>0</v>
      </c>
      <c r="H146">
        <f>0*$H$137</f>
        <v>0</v>
      </c>
      <c r="I146">
        <f>-54.8251*$I$137</f>
        <v>0</v>
      </c>
      <c r="J146">
        <f>-52.6894*$J$137</f>
        <v>0</v>
      </c>
      <c r="K146">
        <f>70.2525*$K$137</f>
        <v>0</v>
      </c>
      <c r="L146">
        <f>0.0107*$L$137</f>
        <v>0</v>
      </c>
      <c r="M146">
        <f>0+D146+E146+G146+H146+I146+J146+K146+L146</f>
        <v>0</v>
      </c>
      <c r="N146">
        <f>0+D146+F146+G146+H146+I146+J146+K146+L146</f>
        <v>0</v>
      </c>
    </row>
    <row r="147" spans="3:14">
      <c r="C147" t="s">
        <v>23</v>
      </c>
      <c r="D147">
        <f>-400.0039*$D$137</f>
        <v>0</v>
      </c>
      <c r="E147">
        <f>11.8574*$E$137</f>
        <v>0</v>
      </c>
      <c r="F147">
        <f>-556.9581*$F$137</f>
        <v>0</v>
      </c>
      <c r="G147">
        <f>-37.7411*$G$137</f>
        <v>0</v>
      </c>
      <c r="H147">
        <f>0*$H$137</f>
        <v>0</v>
      </c>
      <c r="I147">
        <f>-57.2807*$I$137</f>
        <v>0</v>
      </c>
      <c r="J147">
        <f>-38.6251*$J$137</f>
        <v>0</v>
      </c>
      <c r="K147">
        <f>51.5001*$K$137</f>
        <v>0</v>
      </c>
      <c r="L147">
        <f>0.0117*$L$137</f>
        <v>0</v>
      </c>
      <c r="M147">
        <f>0+D147+E147+G147+H147+I147+J147+K147+L147</f>
        <v>0</v>
      </c>
      <c r="N147">
        <f>0+D147+F147+G147+H147+I147+J147+K147+L147</f>
        <v>0</v>
      </c>
    </row>
    <row r="148" spans="3:14">
      <c r="C148" t="s">
        <v>24</v>
      </c>
      <c r="D148">
        <f>-408.2128*$D$137</f>
        <v>0</v>
      </c>
      <c r="E148">
        <f>12.9978*$E$137</f>
        <v>0</v>
      </c>
      <c r="F148">
        <f>-564.3452*$F$137</f>
        <v>0</v>
      </c>
      <c r="G148">
        <f>-41.0085*$G$137</f>
        <v>0</v>
      </c>
      <c r="H148">
        <f>0*$H$137</f>
        <v>0</v>
      </c>
      <c r="I148">
        <f>-58.2748*$I$137</f>
        <v>0</v>
      </c>
      <c r="J148">
        <f>-13.7439*$J$137</f>
        <v>0</v>
      </c>
      <c r="K148">
        <f>18.3252*$K$137</f>
        <v>0</v>
      </c>
      <c r="L148">
        <f>0.0123*$L$137</f>
        <v>0</v>
      </c>
      <c r="M148">
        <f>0+D148+E148+G148+H148+I148+J148+K148+L148</f>
        <v>0</v>
      </c>
      <c r="N148">
        <f>0+D148+F148+G148+H148+I148+J148+K148+L148</f>
        <v>0</v>
      </c>
    </row>
    <row r="149" spans="3:14">
      <c r="C149" t="s">
        <v>25</v>
      </c>
      <c r="D149">
        <f>-401.6709*$D$137</f>
        <v>0</v>
      </c>
      <c r="E149">
        <f>13.6645*$E$137</f>
        <v>0</v>
      </c>
      <c r="F149">
        <f>-537.7841*$F$137</f>
        <v>0</v>
      </c>
      <c r="G149">
        <f>-53.0149*$G$137</f>
        <v>0</v>
      </c>
      <c r="H149">
        <f>0*$H$137</f>
        <v>0</v>
      </c>
      <c r="I149">
        <f>-56.5557*$I$137</f>
        <v>0</v>
      </c>
      <c r="J149">
        <f>82.9172*$J$137</f>
        <v>0</v>
      </c>
      <c r="K149">
        <f>-110.5562*$K$137</f>
        <v>0</v>
      </c>
      <c r="L149">
        <f>0.0058*$L$137</f>
        <v>0</v>
      </c>
      <c r="M149">
        <f>0+D149+E149+G149+H149+I149+J149+K149+L149</f>
        <v>0</v>
      </c>
      <c r="N149">
        <f>0+D149+F149+G149+H149+I149+J149+K149+L149</f>
        <v>0</v>
      </c>
    </row>
    <row r="150" spans="3:14">
      <c r="C150" t="s">
        <v>26</v>
      </c>
      <c r="D150">
        <f>-402.9517*$D$137</f>
        <v>0</v>
      </c>
      <c r="E150">
        <f>16.0255*$E$137</f>
        <v>0</v>
      </c>
      <c r="F150">
        <f>-564.1202*$F$137</f>
        <v>0</v>
      </c>
      <c r="G150">
        <f>-36.7377*$G$137</f>
        <v>0</v>
      </c>
      <c r="H150">
        <f>0*$H$137</f>
        <v>0</v>
      </c>
      <c r="I150">
        <f>-57.7521*$I$137</f>
        <v>0</v>
      </c>
      <c r="J150">
        <f>-31.7605*$J$137</f>
        <v>0</v>
      </c>
      <c r="K150">
        <f>42.3474*$K$137</f>
        <v>0</v>
      </c>
      <c r="L150">
        <f>0.0145*$L$137</f>
        <v>0</v>
      </c>
      <c r="M150">
        <f>0+D150+E150+G150+H150+I150+J150+K150+L150</f>
        <v>0</v>
      </c>
      <c r="N150">
        <f>0+D150+F150+G150+H150+I150+J150+K150+L150</f>
        <v>0</v>
      </c>
    </row>
    <row r="151" spans="3:14">
      <c r="C151" t="s">
        <v>27</v>
      </c>
      <c r="D151">
        <f>-385.2308*$D$137</f>
        <v>0</v>
      </c>
      <c r="E151">
        <f>17.2823*$E$137</f>
        <v>0</v>
      </c>
      <c r="F151">
        <f>-542.6666*$F$137</f>
        <v>0</v>
      </c>
      <c r="G151">
        <f>-33.61*$G$137</f>
        <v>0</v>
      </c>
      <c r="H151">
        <f>0*$H$137</f>
        <v>0</v>
      </c>
      <c r="I151">
        <f>-55.3429*$I$137</f>
        <v>0</v>
      </c>
      <c r="J151">
        <f>-42.3864*$J$137</f>
        <v>0</v>
      </c>
      <c r="K151">
        <f>56.5152*$K$137</f>
        <v>0</v>
      </c>
      <c r="L151">
        <f>0.0122*$L$137</f>
        <v>0</v>
      </c>
      <c r="M151">
        <f>0+D151+E151+G151+H151+I151+J151+K151+L151</f>
        <v>0</v>
      </c>
      <c r="N151">
        <f>0+D151+F151+G151+H151+I151+J151+K151+L151</f>
        <v>0</v>
      </c>
    </row>
    <row r="152" spans="3:14">
      <c r="C152" t="s">
        <v>28</v>
      </c>
      <c r="D152">
        <f>-358.5149*$D$137</f>
        <v>0</v>
      </c>
      <c r="E152">
        <f>18.1313*$E$137</f>
        <v>0</v>
      </c>
      <c r="F152">
        <f>-505.3956*$F$137</f>
        <v>0</v>
      </c>
      <c r="G152">
        <f>-32.2341*$G$137</f>
        <v>0</v>
      </c>
      <c r="H152">
        <f>0*$H$137</f>
        <v>0</v>
      </c>
      <c r="I152">
        <f>-51.4494*$I$137</f>
        <v>0</v>
      </c>
      <c r="J152">
        <f>-34.4267*$J$137</f>
        <v>0</v>
      </c>
      <c r="K152">
        <f>45.9022*$K$137</f>
        <v>0</v>
      </c>
      <c r="L152">
        <f>0.0124*$L$137</f>
        <v>0</v>
      </c>
      <c r="M152">
        <f>0+D152+E152+G152+H152+I152+J152+K152+L152</f>
        <v>0</v>
      </c>
      <c r="N152">
        <f>0+D152+F152+G152+H152+I152+J152+K152+L152</f>
        <v>0</v>
      </c>
    </row>
    <row r="153" spans="3:14">
      <c r="C153" t="s">
        <v>29</v>
      </c>
      <c r="D153">
        <f>-323.4929*$D$137</f>
        <v>0</v>
      </c>
      <c r="E153">
        <f>18.6599*$E$137</f>
        <v>0</v>
      </c>
      <c r="F153">
        <f>-454.5689*$F$137</f>
        <v>0</v>
      </c>
      <c r="G153">
        <f>-31.392*$G$137</f>
        <v>0</v>
      </c>
      <c r="H153">
        <f>0*$H$137</f>
        <v>0</v>
      </c>
      <c r="I153">
        <f>-46.2605*$I$137</f>
        <v>0</v>
      </c>
      <c r="J153">
        <f>-13.7692*$J$137</f>
        <v>0</v>
      </c>
      <c r="K153">
        <f>18.3589*$K$137</f>
        <v>0</v>
      </c>
      <c r="L153">
        <f>0.012*$L$137</f>
        <v>0</v>
      </c>
      <c r="M153">
        <f>0+D153+E153+G153+H153+I153+J153+K153+L153</f>
        <v>0</v>
      </c>
      <c r="N153">
        <f>0+D153+F153+G153+H153+I153+J153+K153+L153</f>
        <v>0</v>
      </c>
    </row>
    <row r="154" spans="3:14">
      <c r="C154" t="s">
        <v>30</v>
      </c>
      <c r="D154">
        <f>-279.4142*$D$137</f>
        <v>0</v>
      </c>
      <c r="E154">
        <f>16.9769*$E$137</f>
        <v>0</v>
      </c>
      <c r="F154">
        <f>-378.3521*$F$137</f>
        <v>0</v>
      </c>
      <c r="G154">
        <f>-38.787*$G$137</f>
        <v>0</v>
      </c>
      <c r="H154">
        <f>0*$H$137</f>
        <v>0</v>
      </c>
      <c r="I154">
        <f>-39.1949*$I$137</f>
        <v>0</v>
      </c>
      <c r="J154">
        <f>83.8344*$J$137</f>
        <v>0</v>
      </c>
      <c r="K154">
        <f>-111.7791*$K$137</f>
        <v>0</v>
      </c>
      <c r="L154">
        <f>0.0033*$L$137</f>
        <v>0</v>
      </c>
      <c r="M154">
        <f>0+D154+E154+G154+H154+I154+J154+K154+L154</f>
        <v>0</v>
      </c>
      <c r="N154">
        <f>0+D154+F154+G154+H154+I154+J154+K154+L154</f>
        <v>0</v>
      </c>
    </row>
    <row r="155" spans="3:14">
      <c r="C155" t="s">
        <v>31</v>
      </c>
      <c r="D155">
        <f>-233.2632*$D$137</f>
        <v>0</v>
      </c>
      <c r="E155">
        <f>21.6404*$E$137</f>
        <v>0</v>
      </c>
      <c r="F155">
        <f>-337.1044*$F$137</f>
        <v>0</v>
      </c>
      <c r="G155">
        <f>-19.9382*$G$137</f>
        <v>0</v>
      </c>
      <c r="H155">
        <f>0*$H$137</f>
        <v>0</v>
      </c>
      <c r="I155">
        <f>-33.5664*$I$137</f>
        <v>0</v>
      </c>
      <c r="J155">
        <f>-39.1311*$J$137</f>
        <v>0</v>
      </c>
      <c r="K155">
        <f>52.1748*$K$137</f>
        <v>0</v>
      </c>
      <c r="L155">
        <f>0.0141*$L$137</f>
        <v>0</v>
      </c>
      <c r="M155">
        <f>0+D155+E155+G155+H155+I155+J155+K155+L155</f>
        <v>0</v>
      </c>
      <c r="N155">
        <f>0+D155+F155+G155+H155+I155+J155+K155+L155</f>
        <v>0</v>
      </c>
    </row>
    <row r="156" spans="3:14">
      <c r="C156" t="s">
        <v>32</v>
      </c>
      <c r="D156">
        <f>-177.8417*$D$137</f>
        <v>0</v>
      </c>
      <c r="E156">
        <f>23.3445*$E$137</f>
        <v>0</v>
      </c>
      <c r="F156">
        <f>-264.9183*$F$137</f>
        <v>0</v>
      </c>
      <c r="G156">
        <f>-12.5923*$G$137</f>
        <v>0</v>
      </c>
      <c r="H156">
        <f>0*$H$137</f>
        <v>0</v>
      </c>
      <c r="I156">
        <f>-25.8231*$I$137</f>
        <v>0</v>
      </c>
      <c r="J156">
        <f>-63.2845*$J$137</f>
        <v>0</v>
      </c>
      <c r="K156">
        <f>84.3794*$K$137</f>
        <v>0</v>
      </c>
      <c r="L156">
        <f>0.015*$L$137</f>
        <v>0</v>
      </c>
      <c r="M156">
        <f>0+D156+E156+G156+H156+I156+J156+K156+L156</f>
        <v>0</v>
      </c>
      <c r="N156">
        <f>0+D156+F156+G156+H156+I156+J156+K156+L156</f>
        <v>0</v>
      </c>
    </row>
    <row r="157" spans="3:14">
      <c r="C157" t="s">
        <v>33</v>
      </c>
      <c r="D157">
        <f>-118.465*$D$137</f>
        <v>0</v>
      </c>
      <c r="E157">
        <f>21.0482*$E$137</f>
        <v>0</v>
      </c>
      <c r="F157">
        <f>-180.7456*$F$137</f>
        <v>0</v>
      </c>
      <c r="G157">
        <f>-7.2519*$G$137</f>
        <v>0</v>
      </c>
      <c r="H157">
        <f>0*$H$137</f>
        <v>0</v>
      </c>
      <c r="I157">
        <f>-17.3175*$I$137</f>
        <v>0</v>
      </c>
      <c r="J157">
        <f>-64.1933*$J$137</f>
        <v>0</v>
      </c>
      <c r="K157">
        <f>85.5911*$K$137</f>
        <v>0</v>
      </c>
      <c r="L157">
        <f>0.0194*$L$137</f>
        <v>0</v>
      </c>
      <c r="M157">
        <f>0+D157+E157+G157+H157+I157+J157+K157+L157</f>
        <v>0</v>
      </c>
      <c r="N157">
        <f>0+D157+F157+G157+H157+I157+J157+K157+L157</f>
        <v>0</v>
      </c>
    </row>
    <row r="158" spans="3:14">
      <c r="C158" t="s">
        <v>34</v>
      </c>
      <c r="D158">
        <f>-59.8115*$D$137</f>
        <v>0</v>
      </c>
      <c r="E158">
        <f>15.8582*$E$137</f>
        <v>0</v>
      </c>
      <c r="F158">
        <f>-94.3409*$F$137</f>
        <v>0</v>
      </c>
      <c r="G158">
        <f>-2.8935*$G$137</f>
        <v>0</v>
      </c>
      <c r="H158">
        <f>0*$H$137</f>
        <v>0</v>
      </c>
      <c r="I158">
        <f>-8.8069*$I$137</f>
        <v>0</v>
      </c>
      <c r="J158">
        <f>-46.5323*$J$137</f>
        <v>0</v>
      </c>
      <c r="K158">
        <f>62.0431*$K$137</f>
        <v>0</v>
      </c>
      <c r="L158">
        <f>0.0184*$L$137</f>
        <v>0</v>
      </c>
      <c r="M158">
        <f>0+D158+E158+G158+H158+I158+J158+K158+L158</f>
        <v>0</v>
      </c>
      <c r="N158">
        <f>0+D158+F158+G158+H158+I158+J158+K158+L158</f>
        <v>0</v>
      </c>
    </row>
    <row r="159" spans="3:14">
      <c r="C159" t="s">
        <v>35</v>
      </c>
      <c r="D159">
        <f>-23.0247*$D$137</f>
        <v>0</v>
      </c>
      <c r="E159">
        <f>21.0855*$E$137</f>
        <v>0</v>
      </c>
      <c r="F159">
        <f>-40.6656*$F$137</f>
        <v>0</v>
      </c>
      <c r="G159">
        <f>-5.2895*$G$137</f>
        <v>0</v>
      </c>
      <c r="H159">
        <f>0*$H$137</f>
        <v>0</v>
      </c>
      <c r="I159">
        <f>-2.9771*$I$137</f>
        <v>0</v>
      </c>
      <c r="J159">
        <f>81.5461*$J$137</f>
        <v>0</v>
      </c>
      <c r="K159">
        <f>-108.7281*$K$137</f>
        <v>0</v>
      </c>
      <c r="L159">
        <f>-0.0052*$L$137</f>
        <v>0</v>
      </c>
      <c r="M159">
        <f>0+D159+E159+G159+H159+I159+J159+K159+L159</f>
        <v>0</v>
      </c>
      <c r="N159">
        <f>0+D159+F159+G159+H159+I159+J159+K159+L159</f>
        <v>0</v>
      </c>
    </row>
    <row r="160" spans="3:14">
      <c r="C160" t="s">
        <v>36</v>
      </c>
      <c r="D160">
        <f>-3.8453*$D$137</f>
        <v>0</v>
      </c>
      <c r="E160">
        <f>2.5684*$E$137</f>
        <v>0</v>
      </c>
      <c r="F160">
        <f>-5.1645*$F$137</f>
        <v>0</v>
      </c>
      <c r="G160">
        <f>-0.4799*$G$137</f>
        <v>0</v>
      </c>
      <c r="H160">
        <f>0*$H$137</f>
        <v>0</v>
      </c>
      <c r="I160">
        <f>-0.5073*$I$137</f>
        <v>0</v>
      </c>
      <c r="J160">
        <f>17.2347*$J$137</f>
        <v>0</v>
      </c>
      <c r="K160">
        <f>-22.9796*$K$137</f>
        <v>0</v>
      </c>
      <c r="L160">
        <f>0.0057*$L$137</f>
        <v>0</v>
      </c>
      <c r="M160">
        <f>0+D160+E160+G160+H160+I160+J160+K160+L160</f>
        <v>0</v>
      </c>
      <c r="N160">
        <f>0+D160+F160+G160+H160+I160+J160+K160+L160</f>
        <v>0</v>
      </c>
    </row>
    <row r="161" spans="3:14">
      <c r="C161" t="s">
        <v>36</v>
      </c>
      <c r="D161">
        <f>-4.5403*$D$137</f>
        <v>0</v>
      </c>
      <c r="E161">
        <f>4.1603*$E$137</f>
        <v>0</v>
      </c>
      <c r="F161">
        <f>-8.1196*$F$137</f>
        <v>0</v>
      </c>
      <c r="G161">
        <f>-0.4559*$G$137</f>
        <v>0</v>
      </c>
      <c r="H161">
        <f>0*$H$137</f>
        <v>0</v>
      </c>
      <c r="I161">
        <f>-0.6084*$I$137</f>
        <v>0</v>
      </c>
      <c r="J161">
        <f>17.7111*$J$137</f>
        <v>0</v>
      </c>
      <c r="K161">
        <f>-23.6148*$K$137</f>
        <v>0</v>
      </c>
      <c r="L161">
        <f>-0.1569*$L$137</f>
        <v>0</v>
      </c>
      <c r="M161">
        <f>0+D161+E161+G161+H161+I161+J161+K161+L161</f>
        <v>0</v>
      </c>
      <c r="N161">
        <f>0+D161+F161+G161+H161+I161+J161+K161+L161</f>
        <v>0</v>
      </c>
    </row>
    <row r="162" spans="3:14">
      <c r="C162" t="s">
        <v>37</v>
      </c>
      <c r="D162">
        <f>-20.4165*$D$137</f>
        <v>0</v>
      </c>
      <c r="E162">
        <f>2.6393*$E$137</f>
        <v>0</v>
      </c>
      <c r="F162">
        <f>-22.3837*$F$137</f>
        <v>0</v>
      </c>
      <c r="G162">
        <f>-3.2165*$G$137</f>
        <v>0</v>
      </c>
      <c r="H162">
        <f>0*$H$137</f>
        <v>0</v>
      </c>
      <c r="I162">
        <f>-2.786*$I$137</f>
        <v>0</v>
      </c>
      <c r="J162">
        <f>45.728*$J$137</f>
        <v>0</v>
      </c>
      <c r="K162">
        <f>-60.9707*$K$137</f>
        <v>0</v>
      </c>
      <c r="L162">
        <f>-0.0653*$L$137</f>
        <v>0</v>
      </c>
      <c r="M162">
        <f>0+D162+E162+G162+H162+I162+J162+K162+L162</f>
        <v>0</v>
      </c>
      <c r="N162">
        <f>0+D162+F162+G162+H162+I162+J162+K162+L162</f>
        <v>0</v>
      </c>
    </row>
    <row r="163" spans="3:14">
      <c r="C163" t="s">
        <v>38</v>
      </c>
      <c r="D163">
        <f>-53.1568*$D$137</f>
        <v>0</v>
      </c>
      <c r="E163">
        <f>15.2464*$E$137</f>
        <v>0</v>
      </c>
      <c r="F163">
        <f>-93.1958*$F$137</f>
        <v>0</v>
      </c>
      <c r="G163">
        <f>-2.6869*$G$137</f>
        <v>0</v>
      </c>
      <c r="H163">
        <f>0*$H$137</f>
        <v>0</v>
      </c>
      <c r="I163">
        <f>-7.9453*$I$137</f>
        <v>0</v>
      </c>
      <c r="J163">
        <f>-105.9863*$J$137</f>
        <v>0</v>
      </c>
      <c r="K163">
        <f>141.3151*$K$137</f>
        <v>0</v>
      </c>
      <c r="L163">
        <f>-0.0751*$L$137</f>
        <v>0</v>
      </c>
      <c r="M163">
        <f>0+D163+E163+G163+H163+I163+J163+K163+L163</f>
        <v>0</v>
      </c>
      <c r="N163">
        <f>0+D163+F163+G163+H163+I163+J163+K163+L163</f>
        <v>0</v>
      </c>
    </row>
    <row r="164" spans="3:14">
      <c r="C164" t="s">
        <v>39</v>
      </c>
      <c r="D164">
        <f>-120.4759*$D$137</f>
        <v>0</v>
      </c>
      <c r="E164">
        <f>12.1924*$E$137</f>
        <v>0</v>
      </c>
      <c r="F164">
        <f>-183.1764*$F$137</f>
        <v>0</v>
      </c>
      <c r="G164">
        <f>-9.0922*$G$137</f>
        <v>0</v>
      </c>
      <c r="H164">
        <f>0*$H$137</f>
        <v>0</v>
      </c>
      <c r="I164">
        <f>-17.572*$I$137</f>
        <v>0</v>
      </c>
      <c r="J164">
        <f>-94.9249*$J$137</f>
        <v>0</v>
      </c>
      <c r="K164">
        <f>126.5665*$K$137</f>
        <v>0</v>
      </c>
      <c r="L164">
        <f>-0.0865*$L$137</f>
        <v>0</v>
      </c>
      <c r="M164">
        <f>0+D164+E164+G164+H164+I164+J164+K164+L164</f>
        <v>0</v>
      </c>
      <c r="N164">
        <f>0+D164+F164+G164+H164+I164+J164+K164+L164</f>
        <v>0</v>
      </c>
    </row>
    <row r="165" spans="3:14">
      <c r="C165" t="s">
        <v>40</v>
      </c>
      <c r="D165">
        <f>-184.9175*$D$137</f>
        <v>0</v>
      </c>
      <c r="E165">
        <f>7.254*$E$137</f>
        <v>0</v>
      </c>
      <c r="F165">
        <f>-267.4821*$F$137</f>
        <v>0</v>
      </c>
      <c r="G165">
        <f>-16.5532*$G$137</f>
        <v>0</v>
      </c>
      <c r="H165">
        <f>0*$H$137</f>
        <v>0</v>
      </c>
      <c r="I165">
        <f>-26.6437*$I$137</f>
        <v>0</v>
      </c>
      <c r="J165">
        <f>-63.283*$J$137</f>
        <v>0</v>
      </c>
      <c r="K165">
        <f>84.3773*$K$137</f>
        <v>0</v>
      </c>
      <c r="L165">
        <f>0.0836*$L$137</f>
        <v>0</v>
      </c>
      <c r="M165">
        <f>0+D165+E165+G165+H165+I165+J165+K165+L165</f>
        <v>0</v>
      </c>
      <c r="N165">
        <f>0+D165+F165+G165+H165+I165+J165+K165+L165</f>
        <v>0</v>
      </c>
    </row>
    <row r="166" spans="3:14">
      <c r="C166" t="s">
        <v>41</v>
      </c>
      <c r="D166">
        <f>-241.3697*$D$137</f>
        <v>0</v>
      </c>
      <c r="E166">
        <f>5.3724*$E$137</f>
        <v>0</v>
      </c>
      <c r="F166">
        <f>-338.3157*$F$137</f>
        <v>0</v>
      </c>
      <c r="G166">
        <f>-24.5962*$G$137</f>
        <v>0</v>
      </c>
      <c r="H166">
        <f>0*$H$137</f>
        <v>0</v>
      </c>
      <c r="I166">
        <f>-34.4747*$I$137</f>
        <v>0</v>
      </c>
      <c r="J166">
        <f>-22.3163*$J$137</f>
        <v>0</v>
      </c>
      <c r="K166">
        <f>29.7551*$K$137</f>
        <v>0</v>
      </c>
      <c r="L166">
        <f>0.2463*$L$137</f>
        <v>0</v>
      </c>
      <c r="M166">
        <f>0+D166+E166+G166+H166+I166+J166+K166+L166</f>
        <v>0</v>
      </c>
      <c r="N166">
        <f>0+D166+F166+G166+H166+I166+J166+K166+L166</f>
        <v>0</v>
      </c>
    </row>
    <row r="167" spans="3:14">
      <c r="C167" t="s">
        <v>42</v>
      </c>
      <c r="D167">
        <f>-291.4006*$D$137</f>
        <v>0</v>
      </c>
      <c r="E167">
        <f>6.4194*$E$137</f>
        <v>0</v>
      </c>
      <c r="F167">
        <f>-382.0564*$F$137</f>
        <v>0</v>
      </c>
      <c r="G167">
        <f>-39.9617*$G$137</f>
        <v>0</v>
      </c>
      <c r="H167">
        <f>0*$H$137</f>
        <v>0</v>
      </c>
      <c r="I167">
        <f>-40.8654*$I$137</f>
        <v>0</v>
      </c>
      <c r="J167">
        <f>91.5365*$J$137</f>
        <v>0</v>
      </c>
      <c r="K167">
        <f>-122.0487*$K$137</f>
        <v>0</v>
      </c>
      <c r="L167">
        <f>0.2811*$L$137</f>
        <v>0</v>
      </c>
      <c r="M167">
        <f>0+D167+E167+G167+H167+I167+J167+K167+L167</f>
        <v>0</v>
      </c>
      <c r="N167">
        <f>0+D167+F167+G167+H167+I167+J167+K167+L167</f>
        <v>0</v>
      </c>
    </row>
    <row r="168" spans="3:14">
      <c r="C168" t="s">
        <v>43</v>
      </c>
      <c r="D168">
        <f>-327.9011*$D$137</f>
        <v>0</v>
      </c>
      <c r="E168">
        <f>7.8912*$E$137</f>
        <v>0</v>
      </c>
      <c r="F168">
        <f>-462.4874*$F$137</f>
        <v>0</v>
      </c>
      <c r="G168">
        <f>-29.9922*$G$137</f>
        <v>0</v>
      </c>
      <c r="H168">
        <f>0*$H$137</f>
        <v>0</v>
      </c>
      <c r="I168">
        <f>-46.9975*$I$137</f>
        <v>0</v>
      </c>
      <c r="J168">
        <f>-35.1947*$J$137</f>
        <v>0</v>
      </c>
      <c r="K168">
        <f>46.9262*$K$137</f>
        <v>0</v>
      </c>
      <c r="L168">
        <f>0.4853*$L$137</f>
        <v>0</v>
      </c>
      <c r="M168">
        <f>0+D168+E168+G168+H168+I168+J168+K168+L168</f>
        <v>0</v>
      </c>
      <c r="N168">
        <f>0+D168+F168+G168+H168+I168+J168+K168+L168</f>
        <v>0</v>
      </c>
    </row>
    <row r="169" spans="3:14">
      <c r="C169" t="s">
        <v>44</v>
      </c>
      <c r="D169">
        <f>-358.149*$D$137</f>
        <v>0</v>
      </c>
      <c r="E169">
        <f>8.9866*$E$137</f>
        <v>0</v>
      </c>
      <c r="F169">
        <f>-501.3833*$F$137</f>
        <v>0</v>
      </c>
      <c r="G169">
        <f>-31.5967*$G$137</f>
        <v>0</v>
      </c>
      <c r="H169">
        <f>0*$H$137</f>
        <v>0</v>
      </c>
      <c r="I169">
        <f>-51.4209*$I$137</f>
        <v>0</v>
      </c>
      <c r="J169">
        <f>-42.9096*$J$137</f>
        <v>0</v>
      </c>
      <c r="K169">
        <f>57.2128*$K$137</f>
        <v>0</v>
      </c>
      <c r="L169">
        <f>0.4845*$L$137</f>
        <v>0</v>
      </c>
      <c r="M169">
        <f>0+D169+E169+G169+H169+I169+J169+K169+L169</f>
        <v>0</v>
      </c>
      <c r="N169">
        <f>0+D169+F169+G169+H169+I169+J169+K169+L169</f>
        <v>0</v>
      </c>
    </row>
    <row r="170" spans="3:14">
      <c r="C170" t="s">
        <v>45</v>
      </c>
      <c r="D170">
        <f>-378.958*$D$137</f>
        <v>0</v>
      </c>
      <c r="E170">
        <f>10.1185*$E$137</f>
        <v>0</v>
      </c>
      <c r="F170">
        <f>-525.5308*$F$137</f>
        <v>0</v>
      </c>
      <c r="G170">
        <f>-34.8211*$G$137</f>
        <v>0</v>
      </c>
      <c r="H170">
        <f>0*$H$137</f>
        <v>0</v>
      </c>
      <c r="I170">
        <f>-54.3025*$I$137</f>
        <v>0</v>
      </c>
      <c r="J170">
        <f>-32.5592*$J$137</f>
        <v>0</v>
      </c>
      <c r="K170">
        <f>43.4122*$K$137</f>
        <v>0</v>
      </c>
      <c r="L170">
        <f>0.5692*$L$137</f>
        <v>0</v>
      </c>
      <c r="M170">
        <f>0+D170+E170+G170+H170+I170+J170+K170+L170</f>
        <v>0</v>
      </c>
      <c r="N170">
        <f>0+D170+F170+G170+H170+I170+J170+K170+L170</f>
        <v>0</v>
      </c>
    </row>
    <row r="171" spans="3:14">
      <c r="C171" t="s">
        <v>46</v>
      </c>
      <c r="D171">
        <f>-389.9861*$D$137</f>
        <v>0</v>
      </c>
      <c r="E171">
        <f>11.3754*$E$137</f>
        <v>0</v>
      </c>
      <c r="F171">
        <f>-535.5479*$F$137</f>
        <v>0</v>
      </c>
      <c r="G171">
        <f>-38.7175*$G$137</f>
        <v>0</v>
      </c>
      <c r="H171">
        <f>0*$H$137</f>
        <v>0</v>
      </c>
      <c r="I171">
        <f>-55.6694*$I$137</f>
        <v>0</v>
      </c>
      <c r="J171">
        <f>-11.1217*$J$137</f>
        <v>0</v>
      </c>
      <c r="K171">
        <f>14.829*$K$137</f>
        <v>0</v>
      </c>
      <c r="L171">
        <f>0.5811*$L$137</f>
        <v>0</v>
      </c>
      <c r="M171">
        <f>0+D171+E171+G171+H171+I171+J171+K171+L171</f>
        <v>0</v>
      </c>
      <c r="N171">
        <f>0+D171+F171+G171+H171+I171+J171+K171+L171</f>
        <v>0</v>
      </c>
    </row>
    <row r="172" spans="3:14">
      <c r="C172" t="s">
        <v>47</v>
      </c>
      <c r="D172">
        <f>-386.3247*$D$137</f>
        <v>0</v>
      </c>
      <c r="E172">
        <f>12.6409*$E$137</f>
        <v>0</v>
      </c>
      <c r="F172">
        <f>-511.3027*$F$137</f>
        <v>0</v>
      </c>
      <c r="G172">
        <f>-51.6209*$G$137</f>
        <v>0</v>
      </c>
      <c r="H172">
        <f>0*$H$137</f>
        <v>0</v>
      </c>
      <c r="I172">
        <f>-54.3097*$I$137</f>
        <v>0</v>
      </c>
      <c r="J172">
        <f>79.1598*$J$137</f>
        <v>0</v>
      </c>
      <c r="K172">
        <f>-105.5463*$K$137</f>
        <v>0</v>
      </c>
      <c r="L172">
        <f>0.074*$L$137</f>
        <v>0</v>
      </c>
      <c r="M172">
        <f>0+D172+E172+G172+H172+I172+J172+K172+L172</f>
        <v>0</v>
      </c>
      <c r="N172">
        <f>0+D172+F172+G172+H172+I172+J172+K172+L172</f>
        <v>0</v>
      </c>
    </row>
    <row r="173" spans="3:14">
      <c r="C173" t="s">
        <v>48</v>
      </c>
      <c r="D173">
        <f>-388.944*$D$137</f>
        <v>0</v>
      </c>
      <c r="E173">
        <f>14.1124*$E$137</f>
        <v>0</v>
      </c>
      <c r="F173">
        <f>-540.5165*$F$137</f>
        <v>0</v>
      </c>
      <c r="G173">
        <f>-35.0896*$G$137</f>
        <v>0</v>
      </c>
      <c r="H173">
        <f>0*$H$137</f>
        <v>0</v>
      </c>
      <c r="I173">
        <f>-55.7373*$I$137</f>
        <v>0</v>
      </c>
      <c r="J173">
        <f>-30.8796*$J$137</f>
        <v>0</v>
      </c>
      <c r="K173">
        <f>41.1728*$K$137</f>
        <v>0</v>
      </c>
      <c r="L173">
        <f>0.7748*$L$137</f>
        <v>0</v>
      </c>
      <c r="M173">
        <f>0+D173+E173+G173+H173+I173+J173+K173+L173</f>
        <v>0</v>
      </c>
      <c r="N173">
        <f>0+D173+F173+G173+H173+I173+J173+K173+L173</f>
        <v>0</v>
      </c>
    </row>
    <row r="174" spans="3:14">
      <c r="C174" t="s">
        <v>49</v>
      </c>
      <c r="D174">
        <f>-373.2724*$D$137</f>
        <v>0</v>
      </c>
      <c r="E174">
        <f>15.4778*$E$137</f>
        <v>0</v>
      </c>
      <c r="F174">
        <f>-521.8176*$F$137</f>
        <v>0</v>
      </c>
      <c r="G174">
        <f>-32.2682*$G$137</f>
        <v>0</v>
      </c>
      <c r="H174">
        <f>0*$H$137</f>
        <v>0</v>
      </c>
      <c r="I174">
        <f>-53.6161*$I$137</f>
        <v>0</v>
      </c>
      <c r="J174">
        <f>-42.3628*$J$137</f>
        <v>0</v>
      </c>
      <c r="K174">
        <f>56.4837*$K$137</f>
        <v>0</v>
      </c>
      <c r="L174">
        <f>0.8118*$L$137</f>
        <v>0</v>
      </c>
      <c r="M174">
        <f>0+D174+E174+G174+H174+I174+J174+K174+L174</f>
        <v>0</v>
      </c>
      <c r="N174">
        <f>0+D174+F174+G174+H174+I174+J174+K174+L174</f>
        <v>0</v>
      </c>
    </row>
    <row r="175" spans="3:14">
      <c r="C175" t="s">
        <v>50</v>
      </c>
      <c r="D175">
        <f>-348.3593*$D$137</f>
        <v>0</v>
      </c>
      <c r="E175">
        <f>16.6329*$E$137</f>
        <v>0</v>
      </c>
      <c r="F175">
        <f>-487.157*$F$137</f>
        <v>0</v>
      </c>
      <c r="G175">
        <f>-31.1824*$G$137</f>
        <v>0</v>
      </c>
      <c r="H175">
        <f>0*$H$137</f>
        <v>0</v>
      </c>
      <c r="I175">
        <f>-49.9751*$I$137</f>
        <v>0</v>
      </c>
      <c r="J175">
        <f>-35.3433*$J$137</f>
        <v>0</v>
      </c>
      <c r="K175">
        <f>47.1244*$K$137</f>
        <v>0</v>
      </c>
      <c r="L175">
        <f>0.7524*$L$137</f>
        <v>0</v>
      </c>
      <c r="M175">
        <f>0+D175+E175+G175+H175+I175+J175+K175+L175</f>
        <v>0</v>
      </c>
      <c r="N175">
        <f>0+D175+F175+G175+H175+I175+J175+K175+L175</f>
        <v>0</v>
      </c>
    </row>
    <row r="176" spans="3:14">
      <c r="C176" t="s">
        <v>51</v>
      </c>
      <c r="D176">
        <f>-314.8388*$D$137</f>
        <v>0</v>
      </c>
      <c r="E176">
        <f>17.3454*$E$137</f>
        <v>0</v>
      </c>
      <c r="F176">
        <f>-438.8702*$F$137</f>
        <v>0</v>
      </c>
      <c r="G176">
        <f>-30.5726*$G$137</f>
        <v>0</v>
      </c>
      <c r="H176">
        <f>0*$H$137</f>
        <v>0</v>
      </c>
      <c r="I176">
        <f>-44.9985*$I$137</f>
        <v>0</v>
      </c>
      <c r="J176">
        <f>-15.3148*$J$137</f>
        <v>0</v>
      </c>
      <c r="K176">
        <f>20.4198*$K$137</f>
        <v>0</v>
      </c>
      <c r="L176">
        <f>0.5915*$L$137</f>
        <v>0</v>
      </c>
      <c r="M176">
        <f>0+D176+E176+G176+H176+I176+J176+K176+L176</f>
        <v>0</v>
      </c>
      <c r="N176">
        <f>0+D176+F176+G176+H176+I176+J176+K176+L176</f>
        <v>0</v>
      </c>
    </row>
    <row r="177" spans="3:14">
      <c r="C177" t="s">
        <v>52</v>
      </c>
      <c r="D177">
        <f>-270.4888*$D$137</f>
        <v>0</v>
      </c>
      <c r="E177">
        <f>16.6809*$E$137</f>
        <v>0</v>
      </c>
      <c r="F177">
        <f>-365.1398*$F$137</f>
        <v>0</v>
      </c>
      <c r="G177">
        <f>-38.0447*$G$137</f>
        <v>0</v>
      </c>
      <c r="H177">
        <f>0*$H$137</f>
        <v>0</v>
      </c>
      <c r="I177">
        <f>-37.8939*$I$137</f>
        <v>0</v>
      </c>
      <c r="J177">
        <f>81.7217*$J$137</f>
        <v>0</v>
      </c>
      <c r="K177">
        <f>-108.9623*$K$137</f>
        <v>0</v>
      </c>
      <c r="L177">
        <f>-1.4899*$L$137</f>
        <v>0</v>
      </c>
      <c r="M177">
        <f>0+D177+E177+G177+H177+I177+J177+K177+L177</f>
        <v>0</v>
      </c>
      <c r="N177">
        <f>0+D177+F177+G177+H177+I177+J177+K177+L177</f>
        <v>0</v>
      </c>
    </row>
    <row r="178" spans="3:14">
      <c r="C178" t="s">
        <v>53</v>
      </c>
      <c r="D178">
        <f>-228.7293*$D$137</f>
        <v>0</v>
      </c>
      <c r="E178">
        <f>19.9808*$E$137</f>
        <v>0</v>
      </c>
      <c r="F178">
        <f>-327.203*$F$137</f>
        <v>0</v>
      </c>
      <c r="G178">
        <f>-19.5704*$G$137</f>
        <v>0</v>
      </c>
      <c r="H178">
        <f>0*$H$137</f>
        <v>0</v>
      </c>
      <c r="I178">
        <f>-32.8958*$I$137</f>
        <v>0</v>
      </c>
      <c r="J178">
        <f>-40.8672*$J$137</f>
        <v>0</v>
      </c>
      <c r="K178">
        <f>54.4896*$K$137</f>
        <v>0</v>
      </c>
      <c r="L178">
        <f>1.2341*$L$137</f>
        <v>0</v>
      </c>
      <c r="M178">
        <f>0+D178+E178+G178+H178+I178+J178+K178+L178</f>
        <v>0</v>
      </c>
      <c r="N178">
        <f>0+D178+F178+G178+H178+I178+J178+K178+L178</f>
        <v>0</v>
      </c>
    </row>
    <row r="179" spans="3:14">
      <c r="C179" t="s">
        <v>54</v>
      </c>
      <c r="D179">
        <f>-175.5476*$D$137</f>
        <v>0</v>
      </c>
      <c r="E179">
        <f>20.596*$E$137</f>
        <v>0</v>
      </c>
      <c r="F179">
        <f>-257.3438*$F$137</f>
        <v>0</v>
      </c>
      <c r="G179">
        <f>-12.4559*$G$137</f>
        <v>0</v>
      </c>
      <c r="H179">
        <f>0*$H$137</f>
        <v>0</v>
      </c>
      <c r="I179">
        <f>-25.4743*$I$137</f>
        <v>0</v>
      </c>
      <c r="J179">
        <f>-65.0224*$J$137</f>
        <v>0</v>
      </c>
      <c r="K179">
        <f>86.6965*$K$137</f>
        <v>0</v>
      </c>
      <c r="L179">
        <f>0.2414*$L$137</f>
        <v>0</v>
      </c>
      <c r="M179">
        <f>0+D179+E179+G179+H179+I179+J179+K179+L179</f>
        <v>0</v>
      </c>
      <c r="N179">
        <f>0+D179+F179+G179+H179+I179+J179+K179+L179</f>
        <v>0</v>
      </c>
    </row>
    <row r="180" spans="3:14">
      <c r="C180" t="s">
        <v>55</v>
      </c>
      <c r="D180">
        <f>-117.8261*$D$137</f>
        <v>0</v>
      </c>
      <c r="E180">
        <f>18.5042*$E$137</f>
        <v>0</v>
      </c>
      <c r="F180">
        <f>-175.0611*$F$137</f>
        <v>0</v>
      </c>
      <c r="G180">
        <f>-7.2882*$G$137</f>
        <v>0</v>
      </c>
      <c r="H180">
        <f>0*$H$137</f>
        <v>0</v>
      </c>
      <c r="I180">
        <f>-17.2076*$I$137</f>
        <v>0</v>
      </c>
      <c r="J180">
        <f>-65.8886*$J$137</f>
        <v>0</v>
      </c>
      <c r="K180">
        <f>87.8514*$K$137</f>
        <v>0</v>
      </c>
      <c r="L180">
        <f>-1.6475*$L$137</f>
        <v>0</v>
      </c>
      <c r="M180">
        <f>0+D180+E180+G180+H180+I180+J180+K180+L180</f>
        <v>0</v>
      </c>
      <c r="N180">
        <f>0+D180+F180+G180+H180+I180+J180+K180+L180</f>
        <v>0</v>
      </c>
    </row>
    <row r="181" spans="3:14">
      <c r="C181" t="s">
        <v>56</v>
      </c>
      <c r="D181">
        <f>-60.0637*$D$137</f>
        <v>0</v>
      </c>
      <c r="E181">
        <f>14.1087*$E$137</f>
        <v>0</v>
      </c>
      <c r="F181">
        <f>-90.6895*$F$137</f>
        <v>0</v>
      </c>
      <c r="G181">
        <f>-3.0071*$G$137</f>
        <v>0</v>
      </c>
      <c r="H181">
        <f>0*$H$137</f>
        <v>0</v>
      </c>
      <c r="I181">
        <f>-8.8289*$I$137</f>
        <v>0</v>
      </c>
      <c r="J181">
        <f>-47.9231*$J$137</f>
        <v>0</v>
      </c>
      <c r="K181">
        <f>63.8975*$K$137</f>
        <v>0</v>
      </c>
      <c r="L181">
        <f>-2.8221*$L$137</f>
        <v>0</v>
      </c>
      <c r="M181">
        <f>0+D181+E181+G181+H181+I181+J181+K181+L181</f>
        <v>0</v>
      </c>
      <c r="N181">
        <f>0+D181+F181+G181+H181+I181+J181+K181+L181</f>
        <v>0</v>
      </c>
    </row>
    <row r="182" spans="3:14">
      <c r="C182" t="s">
        <v>57</v>
      </c>
      <c r="D182">
        <f>-19.0052*$D$137</f>
        <v>0</v>
      </c>
      <c r="E182">
        <f>15.0055*$E$137</f>
        <v>0</v>
      </c>
      <c r="F182">
        <f>-34.0272*$F$137</f>
        <v>0</v>
      </c>
      <c r="G182">
        <f>-4.96*$G$137</f>
        <v>0</v>
      </c>
      <c r="H182">
        <f>0*$H$137</f>
        <v>0</v>
      </c>
      <c r="I182">
        <f>-2.396*$I$137</f>
        <v>0</v>
      </c>
      <c r="J182">
        <f>80.6789*$J$137</f>
        <v>0</v>
      </c>
      <c r="K182">
        <f>-107.5718*$K$137</f>
        <v>0</v>
      </c>
      <c r="L182">
        <f>-5.0042*$L$137</f>
        <v>0</v>
      </c>
      <c r="M182">
        <f>0+D182+E182+G182+H182+I182+J182+K182+L182</f>
        <v>0</v>
      </c>
      <c r="N182">
        <f>0+D182+F182+G182+H182+I182+J182+K182+L182</f>
        <v>0</v>
      </c>
    </row>
    <row r="183" spans="3:14">
      <c r="C183" t="s">
        <v>58</v>
      </c>
      <c r="D183">
        <f>-2.9203*$D$137</f>
        <v>0</v>
      </c>
      <c r="E183">
        <f>3.9306*$E$137</f>
        <v>0</v>
      </c>
      <c r="F183">
        <f>-6.8576*$F$137</f>
        <v>0</v>
      </c>
      <c r="G183">
        <f>-0.4112*$G$137</f>
        <v>0</v>
      </c>
      <c r="H183">
        <f>0*$H$137</f>
        <v>0</v>
      </c>
      <c r="I183">
        <f>-0.3725*$I$137</f>
        <v>0</v>
      </c>
      <c r="J183">
        <f>16.9056*$J$137</f>
        <v>0</v>
      </c>
      <c r="K183">
        <f>-22.5408*$K$137</f>
        <v>0</v>
      </c>
      <c r="L183">
        <f>-1.9872*$L$137</f>
        <v>0</v>
      </c>
      <c r="M183">
        <f>0+D183+E183+G183+H183+I183+J183+K183+L183</f>
        <v>0</v>
      </c>
      <c r="N183">
        <f>0+D183+F183+G183+H183+I183+J183+K183+L183</f>
        <v>0</v>
      </c>
    </row>
    <row r="184" spans="3:14">
      <c r="C184" t="s">
        <v>58</v>
      </c>
      <c r="D184">
        <f>-3.7426*$D$137</f>
        <v>0</v>
      </c>
      <c r="E184">
        <f>1.6721*$E$137</f>
        <v>0</v>
      </c>
      <c r="F184">
        <f>-5.0787*$F$137</f>
        <v>0</v>
      </c>
      <c r="G184">
        <f>-0.4168*$G$137</f>
        <v>0</v>
      </c>
      <c r="H184">
        <f>0*$H$137</f>
        <v>0</v>
      </c>
      <c r="I184">
        <f>-0.4945*$I$137</f>
        <v>0</v>
      </c>
      <c r="J184">
        <f>17.8907*$J$137</f>
        <v>0</v>
      </c>
      <c r="K184">
        <f>-23.8543*$K$137</f>
        <v>0</v>
      </c>
      <c r="L184">
        <f>-1.6476*$L$137</f>
        <v>0</v>
      </c>
      <c r="M184">
        <f>0+D184+E184+G184+H184+I184+J184+K184+L184</f>
        <v>0</v>
      </c>
      <c r="N184">
        <f>0+D184+F184+G184+H184+I184+J184+K184+L184</f>
        <v>0</v>
      </c>
    </row>
    <row r="185" spans="3:14">
      <c r="C185" t="s">
        <v>59</v>
      </c>
      <c r="D185">
        <f>-11.3283*$D$137</f>
        <v>0</v>
      </c>
      <c r="E185">
        <f>2.7335*$E$137</f>
        <v>0</v>
      </c>
      <c r="F185">
        <f>-14.3757*$F$137</f>
        <v>0</v>
      </c>
      <c r="G185">
        <f>-2.4829*$G$137</f>
        <v>0</v>
      </c>
      <c r="H185">
        <f>0*$H$137</f>
        <v>0</v>
      </c>
      <c r="I185">
        <f>-1.4801*$I$137</f>
        <v>0</v>
      </c>
      <c r="J185">
        <f>44.3807*$J$137</f>
        <v>0</v>
      </c>
      <c r="K185">
        <f>-59.1742*$K$137</f>
        <v>0</v>
      </c>
      <c r="L185">
        <f>-2.4783*$L$137</f>
        <v>0</v>
      </c>
      <c r="M185">
        <f>0+D185+E185+G185+H185+I185+J185+K185+L185</f>
        <v>0</v>
      </c>
      <c r="N185">
        <f>0+D185+F185+G185+H185+I185+J185+K185+L185</f>
        <v>0</v>
      </c>
    </row>
    <row r="186" spans="3:14">
      <c r="C186" t="s">
        <v>60</v>
      </c>
      <c r="D186">
        <f>-15.6329*$D$137</f>
        <v>0</v>
      </c>
      <c r="E186">
        <f>15.3236*$E$137</f>
        <v>0</v>
      </c>
      <c r="F186">
        <f>-53.962*$F$137</f>
        <v>0</v>
      </c>
      <c r="G186">
        <f>0.6652*$G$137</f>
        <v>0</v>
      </c>
      <c r="H186">
        <f>0*$H$137</f>
        <v>0</v>
      </c>
      <c r="I186">
        <f>-2.572*$I$137</f>
        <v>0</v>
      </c>
      <c r="J186">
        <f>-109.0601*$J$137</f>
        <v>0</v>
      </c>
      <c r="K186">
        <f>145.4135*$K$137</f>
        <v>0</v>
      </c>
      <c r="L186">
        <f>3.0707*$L$137</f>
        <v>0</v>
      </c>
      <c r="M186">
        <f>0+D186+E186+G186+H186+I186+J186+K186+L186</f>
        <v>0</v>
      </c>
      <c r="N186">
        <f>0+D186+F186+G186+H186+I186+J186+K186+L186</f>
        <v>0</v>
      </c>
    </row>
    <row r="187" spans="3:14">
      <c r="C187" t="s">
        <v>61</v>
      </c>
      <c r="D187">
        <f>-42.6479*$D$137</f>
        <v>0</v>
      </c>
      <c r="E187">
        <f>12.1907*$E$137</f>
        <v>0</v>
      </c>
      <c r="F187">
        <f>-102.9677*$F$137</f>
        <v>0</v>
      </c>
      <c r="G187">
        <f>-1.8242*$G$137</f>
        <v>0</v>
      </c>
      <c r="H187">
        <f>0*$H$137</f>
        <v>0</v>
      </c>
      <c r="I187">
        <f>-6.4512*$I$137</f>
        <v>0</v>
      </c>
      <c r="J187">
        <f>-99.2267*$J$137</f>
        <v>0</v>
      </c>
      <c r="K187">
        <f>132.3022*$K$137</f>
        <v>0</v>
      </c>
      <c r="L187">
        <f>-0.7345*$L$137</f>
        <v>0</v>
      </c>
      <c r="M187">
        <f>0+D187+E187+G187+H187+I187+J187+K187+L187</f>
        <v>0</v>
      </c>
      <c r="N187">
        <f>0+D187+F187+G187+H187+I187+J187+K187+L187</f>
        <v>0</v>
      </c>
    </row>
    <row r="188" spans="3:14">
      <c r="C188" t="s">
        <v>62</v>
      </c>
      <c r="D188">
        <f>-65.8221*$D$137</f>
        <v>0</v>
      </c>
      <c r="E188">
        <f>6.9381*$E$137</f>
        <v>0</v>
      </c>
      <c r="F188">
        <f>-141.0239*$F$137</f>
        <v>0</v>
      </c>
      <c r="G188">
        <f>-5.122*$G$137</f>
        <v>0</v>
      </c>
      <c r="H188">
        <f>0*$H$137</f>
        <v>0</v>
      </c>
      <c r="I188">
        <f>-9.6467*$I$137</f>
        <v>0</v>
      </c>
      <c r="J188">
        <f>-68.7411*$J$137</f>
        <v>0</v>
      </c>
      <c r="K188">
        <f>91.6548*$K$137</f>
        <v>0</v>
      </c>
      <c r="L188">
        <f>-0.9672*$L$137</f>
        <v>0</v>
      </c>
      <c r="M188">
        <f>0+D188+E188+G188+H188+I188+J188+K188+L188</f>
        <v>0</v>
      </c>
      <c r="N188">
        <f>0+D188+F188+G188+H188+I188+J188+K188+L188</f>
        <v>0</v>
      </c>
    </row>
    <row r="189" spans="3:14">
      <c r="C189" t="s">
        <v>63</v>
      </c>
      <c r="D189">
        <f>-81.3559*$D$137</f>
        <v>0</v>
      </c>
      <c r="E189">
        <f>2.6285*$E$137</f>
        <v>0</v>
      </c>
      <c r="F189">
        <f>-163.192*$F$137</f>
        <v>0</v>
      </c>
      <c r="G189">
        <f>-8.7253*$G$137</f>
        <v>0</v>
      </c>
      <c r="H189">
        <f>0*$H$137</f>
        <v>0</v>
      </c>
      <c r="I189">
        <f>-11.6693*$I$137</f>
        <v>0</v>
      </c>
      <c r="J189">
        <f>-27.1906*$J$137</f>
        <v>0</v>
      </c>
      <c r="K189">
        <f>36.2542*$K$137</f>
        <v>0</v>
      </c>
      <c r="L189">
        <f>-2.0468*$L$137</f>
        <v>0</v>
      </c>
      <c r="M189">
        <f>0+D189+E189+G189+H189+I189+J189+K189+L189</f>
        <v>0</v>
      </c>
      <c r="N189">
        <f>0+D189+F189+G189+H189+I189+J189+K189+L189</f>
        <v>0</v>
      </c>
    </row>
    <row r="190" spans="3:14">
      <c r="C190" t="s">
        <v>64</v>
      </c>
      <c r="D190">
        <f>-89.5966*$D$137</f>
        <v>0</v>
      </c>
      <c r="E190">
        <f>1.6279*$E$137</f>
        <v>0</v>
      </c>
      <c r="F190">
        <f>-157.315*$F$137</f>
        <v>0</v>
      </c>
      <c r="G190">
        <f>-17.9533*$G$137</f>
        <v>0</v>
      </c>
      <c r="H190">
        <f>0*$H$137</f>
        <v>0</v>
      </c>
      <c r="I190">
        <f>-12.2206*$I$137</f>
        <v>0</v>
      </c>
      <c r="J190">
        <f>102.7416*$J$137</f>
        <v>0</v>
      </c>
      <c r="K190">
        <f>-136.9888*$K$137</f>
        <v>0</v>
      </c>
      <c r="L190">
        <f>-23.4051*$L$137</f>
        <v>0</v>
      </c>
      <c r="M190">
        <f>0+D190+E190+G190+H190+I190+J190+K190+L190</f>
        <v>0</v>
      </c>
      <c r="N190">
        <f>0+D190+F190+G190+H190+I190+J190+K190+L190</f>
        <v>0</v>
      </c>
    </row>
    <row r="191" spans="3:14">
      <c r="C191" t="s">
        <v>65</v>
      </c>
      <c r="D191">
        <f>-85.6835*$D$137</f>
        <v>0</v>
      </c>
      <c r="E191">
        <f>4.9446*$E$137</f>
        <v>0</v>
      </c>
      <c r="F191">
        <f>-175.3062*$F$137</f>
        <v>0</v>
      </c>
      <c r="G191">
        <f>-6.2781*$G$137</f>
        <v>0</v>
      </c>
      <c r="H191">
        <f>0*$H$137</f>
        <v>0</v>
      </c>
      <c r="I191">
        <f>-12.4484*$I$137</f>
        <v>0</v>
      </c>
      <c r="J191">
        <f>-58.181*$J$137</f>
        <v>0</v>
      </c>
      <c r="K191">
        <f>77.5746*$K$137</f>
        <v>0</v>
      </c>
      <c r="L191">
        <f>13.0313*$L$137</f>
        <v>0</v>
      </c>
      <c r="M191">
        <f>0+D191+E191+G191+H191+I191+J191+K191+L191</f>
        <v>0</v>
      </c>
      <c r="N191">
        <f>0+D191+F191+G191+H191+I191+J191+K191+L191</f>
        <v>0</v>
      </c>
    </row>
    <row r="192" spans="3:14">
      <c r="C192" t="s">
        <v>66</v>
      </c>
      <c r="D192">
        <f>-74.6491*$D$137</f>
        <v>0</v>
      </c>
      <c r="E192">
        <f>5.2935*$E$137</f>
        <v>0</v>
      </c>
      <c r="F192">
        <f>-153.2867*$F$137</f>
        <v>0</v>
      </c>
      <c r="G192">
        <f>-3.5695*$G$137</f>
        <v>0</v>
      </c>
      <c r="H192">
        <f>0*$H$137</f>
        <v>0</v>
      </c>
      <c r="I192">
        <f>-10.9823*$I$137</f>
        <v>0</v>
      </c>
      <c r="J192">
        <f>-80.0694*$J$137</f>
        <v>0</v>
      </c>
      <c r="K192">
        <f>106.7592*$K$137</f>
        <v>0</v>
      </c>
      <c r="L192">
        <f>12.7891*$L$137</f>
        <v>0</v>
      </c>
      <c r="M192">
        <f>0+D192+E192+G192+H192+I192+J192+K192+L192</f>
        <v>0</v>
      </c>
      <c r="N192">
        <f>0+D192+F192+G192+H192+I192+J192+K192+L192</f>
        <v>0</v>
      </c>
    </row>
    <row r="193" spans="3:14">
      <c r="C193" t="s">
        <v>67</v>
      </c>
      <c r="D193">
        <f>-54.5396*$D$137</f>
        <v>0</v>
      </c>
      <c r="E193">
        <f>5.2893*$E$137</f>
        <v>0</v>
      </c>
      <c r="F193">
        <f>-111.6531*$F$137</f>
        <v>0</v>
      </c>
      <c r="G193">
        <f>-1.8163*$G$137</f>
        <v>0</v>
      </c>
      <c r="H193">
        <f>0*$H$137</f>
        <v>0</v>
      </c>
      <c r="I193">
        <f>-8.0492*$I$137</f>
        <v>0</v>
      </c>
      <c r="J193">
        <f>-91.1762*$J$137</f>
        <v>0</v>
      </c>
      <c r="K193">
        <f>121.5683*$K$137</f>
        <v>0</v>
      </c>
      <c r="L193">
        <f>8.3867*$L$137</f>
        <v>0</v>
      </c>
      <c r="M193">
        <f>0+D193+E193+G193+H193+I193+J193+K193+L193</f>
        <v>0</v>
      </c>
      <c r="N193">
        <f>0+D193+F193+G193+H193+I193+J193+K193+L193</f>
        <v>0</v>
      </c>
    </row>
    <row r="194" spans="3:14">
      <c r="C194" t="s">
        <v>68</v>
      </c>
      <c r="D194">
        <f>-26.2296*$D$137</f>
        <v>0</v>
      </c>
      <c r="E194">
        <f>4.1827*$E$137</f>
        <v>0</v>
      </c>
      <c r="F194">
        <f>-54.6627*$F$137</f>
        <v>0</v>
      </c>
      <c r="G194">
        <f>-0.2958*$G$137</f>
        <v>0</v>
      </c>
      <c r="H194">
        <f>0*$H$137</f>
        <v>0</v>
      </c>
      <c r="I194">
        <f>-3.8455*$I$137</f>
        <v>0</v>
      </c>
      <c r="J194">
        <f>-103.6604*$J$137</f>
        <v>0</v>
      </c>
      <c r="K194">
        <f>138.2139*$K$137</f>
        <v>0</v>
      </c>
      <c r="L194">
        <f>4.3534*$L$137</f>
        <v>0</v>
      </c>
      <c r="M194">
        <f>0+D194+E194+G194+H194+I194+J194+K194+L194</f>
        <v>0</v>
      </c>
      <c r="N194">
        <f>0+D194+F194+G194+H194+I194+J194+K194+L194</f>
        <v>0</v>
      </c>
    </row>
    <row r="195" spans="3:14">
      <c r="C195" t="s">
        <v>69</v>
      </c>
      <c r="D195">
        <f>1.3011*$D$137</f>
        <v>0</v>
      </c>
      <c r="E195">
        <f>15.1819*$E$137</f>
        <v>0</v>
      </c>
      <c r="F195">
        <f>-6.6819*$F$137</f>
        <v>0</v>
      </c>
      <c r="G195">
        <f>-2.2614*$G$137</f>
        <v>0</v>
      </c>
      <c r="H195">
        <f>0*$H$137</f>
        <v>0</v>
      </c>
      <c r="I195">
        <f>0.3495*$I$137</f>
        <v>0</v>
      </c>
      <c r="J195">
        <f>87.3836*$J$137</f>
        <v>0</v>
      </c>
      <c r="K195">
        <f>-116.5114*$K$137</f>
        <v>0</v>
      </c>
      <c r="L195">
        <f>5.2344*$L$137</f>
        <v>0</v>
      </c>
      <c r="M195">
        <f>0+D195+E195+G195+H195+I195+J195+K195+L195</f>
        <v>0</v>
      </c>
      <c r="N195">
        <f>0+D195+F195+G195+H195+I195+J195+K195+L195</f>
        <v>0</v>
      </c>
    </row>
    <row r="200" spans="3:14">
      <c r="C200" t="s">
        <v>72</v>
      </c>
    </row>
    <row r="202" spans="3:14">
      <c r="C202" t="s">
        <v>2</v>
      </c>
    </row>
    <row r="203" spans="3:14">
      <c r="C203" t="s">
        <v>3</v>
      </c>
      <c r="D203" t="s">
        <v>4</v>
      </c>
      <c r="E203" t="s">
        <v>5</v>
      </c>
      <c r="F203" t="s">
        <v>6</v>
      </c>
      <c r="G203" t="s">
        <v>7</v>
      </c>
      <c r="H203" t="s">
        <v>8</v>
      </c>
      <c r="I203" t="s">
        <v>9</v>
      </c>
      <c r="J203" t="s">
        <v>10</v>
      </c>
      <c r="K203" t="s">
        <v>11</v>
      </c>
      <c r="L203" t="s">
        <v>12</v>
      </c>
      <c r="M203" t="s">
        <v>13</v>
      </c>
      <c r="N203" t="s">
        <v>14</v>
      </c>
    </row>
    <row r="204" spans="3:14">
      <c r="C204" t="s">
        <v>80</v>
      </c>
      <c r="D204">
        <f>55.077*$D$202</f>
        <v>0</v>
      </c>
      <c r="E204">
        <f>87.428*$E$202</f>
        <v>0</v>
      </c>
      <c r="F204">
        <f>-14.382*$F$202</f>
        <v>0</v>
      </c>
      <c r="G204">
        <f>3.527*$G$202</f>
        <v>0</v>
      </c>
      <c r="H204">
        <f>0*$H$202</f>
        <v>0</v>
      </c>
      <c r="I204">
        <f>7.793*$I$202</f>
        <v>0</v>
      </c>
      <c r="J204">
        <f>476.098*$J$202</f>
        <v>0</v>
      </c>
      <c r="K204">
        <f>-634.798*$K$202</f>
        <v>0</v>
      </c>
      <c r="L204">
        <f>-0.008272*$L$202</f>
        <v>0</v>
      </c>
      <c r="M204">
        <f>0+D204+E204+G204+H204+I204+J204+K204+L204</f>
        <v>0</v>
      </c>
      <c r="N204">
        <f>0+D204+F204+G204+H204+I204+J204+K204+L204</f>
        <v>0</v>
      </c>
    </row>
    <row r="205" spans="3:14">
      <c r="C205" t="s">
        <v>16</v>
      </c>
      <c r="D205">
        <f>89.953*$D$202</f>
        <v>0</v>
      </c>
      <c r="E205">
        <f>125.57*$E$202</f>
        <v>0</v>
      </c>
      <c r="F205">
        <f>-7.458*$F$202</f>
        <v>0</v>
      </c>
      <c r="G205">
        <f>10.957*$G$202</f>
        <v>0</v>
      </c>
      <c r="H205">
        <f>0*$H$202</f>
        <v>0</v>
      </c>
      <c r="I205">
        <f>12.66*$I$202</f>
        <v>0</v>
      </c>
      <c r="J205">
        <f>330.432*$J$202</f>
        <v>0</v>
      </c>
      <c r="K205">
        <f>-440.576*$K$202</f>
        <v>0</v>
      </c>
      <c r="L205">
        <f>-0.008924*$L$202</f>
        <v>0</v>
      </c>
      <c r="M205">
        <f>0+D205+E205+G205+H205+I205+J205+K205+L205</f>
        <v>0</v>
      </c>
      <c r="N205">
        <f>0+D205+F205+G205+H205+I205+J205+K205+L205</f>
        <v>0</v>
      </c>
    </row>
    <row r="206" spans="3:14">
      <c r="C206" t="s">
        <v>17</v>
      </c>
      <c r="D206">
        <f>96.575*$D$202</f>
        <v>0</v>
      </c>
      <c r="E206">
        <f>147.915*$E$202</f>
        <v>0</v>
      </c>
      <c r="F206">
        <f>-18.101*$F$202</f>
        <v>0</v>
      </c>
      <c r="G206">
        <f>16.962*$G$202</f>
        <v>0</v>
      </c>
      <c r="H206">
        <f>0*$H$202</f>
        <v>0</v>
      </c>
      <c r="I206">
        <f>13.356*$I$202</f>
        <v>0</v>
      </c>
      <c r="J206">
        <f>133.601*$J$202</f>
        <v>0</v>
      </c>
      <c r="K206">
        <f>-178.135*$K$202</f>
        <v>0</v>
      </c>
      <c r="L206">
        <f>-0.017*$L$202</f>
        <v>0</v>
      </c>
      <c r="M206">
        <f>0+D206+E206+G206+H206+I206+J206+K206+L206</f>
        <v>0</v>
      </c>
      <c r="N206">
        <f>0+D206+F206+G206+H206+I206+J206+K206+L206</f>
        <v>0</v>
      </c>
    </row>
    <row r="207" spans="3:14">
      <c r="C207" t="s">
        <v>18</v>
      </c>
      <c r="D207">
        <f>91.152*$D$202</f>
        <v>0</v>
      </c>
      <c r="E207">
        <f>146.806*$E$202</f>
        <v>0</v>
      </c>
      <c r="F207">
        <f>-28.944*$F$202</f>
        <v>0</v>
      </c>
      <c r="G207">
        <f>19.843*$G$202</f>
        <v>0</v>
      </c>
      <c r="H207">
        <f>0*$H$202</f>
        <v>0</v>
      </c>
      <c r="I207">
        <f>12.331*$I$202</f>
        <v>0</v>
      </c>
      <c r="J207">
        <f>25.334*$J$202</f>
        <v>0</v>
      </c>
      <c r="K207">
        <f>-33.778*$K$202</f>
        <v>0</v>
      </c>
      <c r="L207">
        <f>-0.018*$L$202</f>
        <v>0</v>
      </c>
      <c r="M207">
        <f>0+D207+E207+G207+H207+I207+J207+K207+L207</f>
        <v>0</v>
      </c>
      <c r="N207">
        <f>0+D207+F207+G207+H207+I207+J207+K207+L207</f>
        <v>0</v>
      </c>
    </row>
    <row r="208" spans="3:14">
      <c r="C208" t="s">
        <v>19</v>
      </c>
      <c r="D208">
        <f>78.506*$D$202</f>
        <v>0</v>
      </c>
      <c r="E208">
        <f>135.564*$E$202</f>
        <v>0</v>
      </c>
      <c r="F208">
        <f>-36.527*$F$202</f>
        <v>0</v>
      </c>
      <c r="G208">
        <f>22.986*$G$202</f>
        <v>0</v>
      </c>
      <c r="H208">
        <f>0*$H$202</f>
        <v>0</v>
      </c>
      <c r="I208">
        <f>10.225*$I$202</f>
        <v>0</v>
      </c>
      <c r="J208">
        <f>-67.843*$J$202</f>
        <v>0</v>
      </c>
      <c r="K208">
        <f>90.458*$K$202</f>
        <v>0</v>
      </c>
      <c r="L208">
        <f>-0.018*$L$202</f>
        <v>0</v>
      </c>
      <c r="M208">
        <f>0+D208+E208+G208+H208+I208+J208+K208+L208</f>
        <v>0</v>
      </c>
      <c r="N208">
        <f>0+D208+F208+G208+H208+I208+J208+K208+L208</f>
        <v>0</v>
      </c>
    </row>
    <row r="209" spans="3:14">
      <c r="C209" t="s">
        <v>20</v>
      </c>
      <c r="D209">
        <f>60.464*$D$202</f>
        <v>0</v>
      </c>
      <c r="E209">
        <f>122.71*$E$202</f>
        <v>0</v>
      </c>
      <c r="F209">
        <f>-52.246*$F$202</f>
        <v>0</v>
      </c>
      <c r="G209">
        <f>28.09*$G$202</f>
        <v>0</v>
      </c>
      <c r="H209">
        <f>0*$H$202</f>
        <v>0</v>
      </c>
      <c r="I209">
        <f>7.294*$I$202</f>
        <v>0</v>
      </c>
      <c r="J209">
        <f>-185.751*$J$202</f>
        <v>0</v>
      </c>
      <c r="K209">
        <f>247.668*$K$202</f>
        <v>0</v>
      </c>
      <c r="L209">
        <f>-0.017*$L$202</f>
        <v>0</v>
      </c>
      <c r="M209">
        <f>0+D209+E209+G209+H209+I209+J209+K209+L209</f>
        <v>0</v>
      </c>
      <c r="N209">
        <f>0+D209+F209+G209+H209+I209+J209+K209+L209</f>
        <v>0</v>
      </c>
    </row>
    <row r="210" spans="3:14">
      <c r="C210" t="s">
        <v>21</v>
      </c>
      <c r="D210">
        <f>64.233*$D$202</f>
        <v>0</v>
      </c>
      <c r="E210">
        <f>133.983*$E$202</f>
        <v>0</v>
      </c>
      <c r="F210">
        <f>-34.376*$F$202</f>
        <v>0</v>
      </c>
      <c r="G210">
        <f>-0.466*$G$202</f>
        <v>0</v>
      </c>
      <c r="H210">
        <f>0*$H$202</f>
        <v>0</v>
      </c>
      <c r="I210">
        <f>9.622*$I$202</f>
        <v>0</v>
      </c>
      <c r="J210">
        <f>148.845*$J$202</f>
        <v>0</v>
      </c>
      <c r="K210">
        <f>-198.46*$K$202</f>
        <v>0</v>
      </c>
      <c r="L210">
        <f>-0.016*$L$202</f>
        <v>0</v>
      </c>
      <c r="M210">
        <f>0+D210+E210+G210+H210+I210+J210+K210+L210</f>
        <v>0</v>
      </c>
      <c r="N210">
        <f>0+D210+F210+G210+H210+I210+J210+K210+L210</f>
        <v>0</v>
      </c>
    </row>
    <row r="211" spans="3:14">
      <c r="C211" t="s">
        <v>22</v>
      </c>
      <c r="D211">
        <f>43.586*$D$202</f>
        <v>0</v>
      </c>
      <c r="E211">
        <f>100.145*$E$202</f>
        <v>0</v>
      </c>
      <c r="F211">
        <f>-30.596*$F$202</f>
        <v>0</v>
      </c>
      <c r="G211">
        <f>3.945*$G$202</f>
        <v>0</v>
      </c>
      <c r="H211">
        <f>0*$H$202</f>
        <v>0</v>
      </c>
      <c r="I211">
        <f>6.307*$I$202</f>
        <v>0</v>
      </c>
      <c r="J211">
        <f>59.011*$J$202</f>
        <v>0</v>
      </c>
      <c r="K211">
        <f>-78.682*$K$202</f>
        <v>0</v>
      </c>
      <c r="L211">
        <f>-0.017*$L$202</f>
        <v>0</v>
      </c>
      <c r="M211">
        <f>0+D211+E211+G211+H211+I211+J211+K211+L211</f>
        <v>0</v>
      </c>
      <c r="N211">
        <f>0+D211+F211+G211+H211+I211+J211+K211+L211</f>
        <v>0</v>
      </c>
    </row>
    <row r="212" spans="3:14">
      <c r="C212" t="s">
        <v>23</v>
      </c>
      <c r="D212">
        <f>23.73*$D$202</f>
        <v>0</v>
      </c>
      <c r="E212">
        <f>75.722*$E$202</f>
        <v>0</v>
      </c>
      <c r="F212">
        <f>-34.194*$F$202</f>
        <v>0</v>
      </c>
      <c r="G212">
        <f>7.278*$G$202</f>
        <v>0</v>
      </c>
      <c r="H212">
        <f>0*$H$202</f>
        <v>0</v>
      </c>
      <c r="I212">
        <f>3.101*$I$202</f>
        <v>0</v>
      </c>
      <c r="J212">
        <f>0.953*$J$202</f>
        <v>0</v>
      </c>
      <c r="K212">
        <f>-1.271*$K$202</f>
        <v>0</v>
      </c>
      <c r="L212">
        <f>-0.016*$L$202</f>
        <v>0</v>
      </c>
      <c r="M212">
        <f>0+D212+E212+G212+H212+I212+J212+K212+L212</f>
        <v>0</v>
      </c>
      <c r="N212">
        <f>0+D212+F212+G212+H212+I212+J212+K212+L212</f>
        <v>0</v>
      </c>
    </row>
    <row r="213" spans="3:14">
      <c r="C213" t="s">
        <v>24</v>
      </c>
      <c r="D213">
        <f>3.118*$D$202</f>
        <v>0</v>
      </c>
      <c r="E213">
        <f>60.754*$E$202</f>
        <v>0</v>
      </c>
      <c r="F213">
        <f>-53.421*$F$202</f>
        <v>0</v>
      </c>
      <c r="G213">
        <f>12.229*$G$202</f>
        <v>0</v>
      </c>
      <c r="H213">
        <f>0*$H$202</f>
        <v>0</v>
      </c>
      <c r="I213">
        <f>-0.305*$I$202</f>
        <v>0</v>
      </c>
      <c r="J213">
        <f>-58.484*$J$202</f>
        <v>0</v>
      </c>
      <c r="K213">
        <f>77.979*$K$202</f>
        <v>0</v>
      </c>
      <c r="L213">
        <f>-0.016*$L$202</f>
        <v>0</v>
      </c>
      <c r="M213">
        <f>0+D213+E213+G213+H213+I213+J213+K213+L213</f>
        <v>0</v>
      </c>
      <c r="N213">
        <f>0+D213+F213+G213+H213+I213+J213+K213+L213</f>
        <v>0</v>
      </c>
    </row>
    <row r="214" spans="3:14">
      <c r="C214" t="s">
        <v>25</v>
      </c>
      <c r="D214">
        <f>-19.544*$D$202</f>
        <v>0</v>
      </c>
      <c r="E214">
        <f>62.126*$E$202</f>
        <v>0</v>
      </c>
      <c r="F214">
        <f>-92.893*$F$202</f>
        <v>0</v>
      </c>
      <c r="G214">
        <f>20.213*$G$202</f>
        <v>0</v>
      </c>
      <c r="H214">
        <f>0*$H$202</f>
        <v>0</v>
      </c>
      <c r="I214">
        <f>-4.114*$I$202</f>
        <v>0</v>
      </c>
      <c r="J214">
        <f>-143.784*$J$202</f>
        <v>0</v>
      </c>
      <c r="K214">
        <f>191.713*$K$202</f>
        <v>0</v>
      </c>
      <c r="L214">
        <f>-0.017*$L$202</f>
        <v>0</v>
      </c>
      <c r="M214">
        <f>0+D214+E214+G214+H214+I214+J214+K214+L214</f>
        <v>0</v>
      </c>
      <c r="N214">
        <f>0+D214+F214+G214+H214+I214+J214+K214+L214</f>
        <v>0</v>
      </c>
    </row>
    <row r="215" spans="3:14">
      <c r="C215" t="s">
        <v>26</v>
      </c>
      <c r="D215">
        <f>-14.384*$D$202</f>
        <v>0</v>
      </c>
      <c r="E215">
        <f>71.736*$E$202</f>
        <v>0</v>
      </c>
      <c r="F215">
        <f>-63.559*$F$202</f>
        <v>0</v>
      </c>
      <c r="G215">
        <f>-16.414*$G$202</f>
        <v>0</v>
      </c>
      <c r="H215">
        <f>0*$H$202</f>
        <v>0</v>
      </c>
      <c r="I215">
        <f>-1.031*$I$202</f>
        <v>0</v>
      </c>
      <c r="J215">
        <f>105.468*$J$202</f>
        <v>0</v>
      </c>
      <c r="K215">
        <f>-140.625*$K$202</f>
        <v>0</v>
      </c>
      <c r="L215">
        <f>-0.015*$L$202</f>
        <v>0</v>
      </c>
      <c r="M215">
        <f>0+D215+E215+G215+H215+I215+J215+K215+L215</f>
        <v>0</v>
      </c>
      <c r="N215">
        <f>0+D215+F215+G215+H215+I215+J215+K215+L215</f>
        <v>0</v>
      </c>
    </row>
    <row r="216" spans="3:14">
      <c r="C216" t="s">
        <v>27</v>
      </c>
      <c r="D216">
        <f>-34.991*$D$202</f>
        <v>0</v>
      </c>
      <c r="E216">
        <f>34.511*$E$202</f>
        <v>0</v>
      </c>
      <c r="F216">
        <f>-62.063*$F$202</f>
        <v>0</v>
      </c>
      <c r="G216">
        <f>-9.442*$G$202</f>
        <v>0</v>
      </c>
      <c r="H216">
        <f>0*$H$202</f>
        <v>0</v>
      </c>
      <c r="I216">
        <f>-4.523*$I$202</f>
        <v>0</v>
      </c>
      <c r="J216">
        <f>38.893*$J$202</f>
        <v>0</v>
      </c>
      <c r="K216">
        <f>-51.857*$K$202</f>
        <v>0</v>
      </c>
      <c r="L216">
        <f>-0.016*$L$202</f>
        <v>0</v>
      </c>
      <c r="M216">
        <f>0+D216+E216+G216+H216+I216+J216+K216+L216</f>
        <v>0</v>
      </c>
      <c r="N216">
        <f>0+D216+F216+G216+H216+I216+J216+K216+L216</f>
        <v>0</v>
      </c>
    </row>
    <row r="217" spans="3:14">
      <c r="C217" t="s">
        <v>28</v>
      </c>
      <c r="D217">
        <f>-52.468*$D$202</f>
        <v>0</v>
      </c>
      <c r="E217">
        <f>23.876*$E$202</f>
        <v>0</v>
      </c>
      <c r="F217">
        <f>-81.279*$F$202</f>
        <v>0</v>
      </c>
      <c r="G217">
        <f>-4.54*$G$202</f>
        <v>0</v>
      </c>
      <c r="H217">
        <f>0*$H$202</f>
        <v>0</v>
      </c>
      <c r="I217">
        <f>-7.501*$I$202</f>
        <v>0</v>
      </c>
      <c r="J217">
        <f>-6.193*$J$202</f>
        <v>0</v>
      </c>
      <c r="K217">
        <f>8.258*$K$202</f>
        <v>0</v>
      </c>
      <c r="L217">
        <f>-0.017*$L$202</f>
        <v>0</v>
      </c>
      <c r="M217">
        <f>0+D217+E217+G217+H217+I217+J217+K217+L217</f>
        <v>0</v>
      </c>
      <c r="N217">
        <f>0+D217+F217+G217+H217+I217+J217+K217+L217</f>
        <v>0</v>
      </c>
    </row>
    <row r="218" spans="3:14">
      <c r="C218" t="s">
        <v>29</v>
      </c>
      <c r="D218">
        <f>-67.527*$D$202</f>
        <v>0</v>
      </c>
      <c r="E218">
        <f>23.252*$E$202</f>
        <v>0</v>
      </c>
      <c r="F218">
        <f>-110.338*$F$202</f>
        <v>0</v>
      </c>
      <c r="G218">
        <f>1.124*$G$202</f>
        <v>0</v>
      </c>
      <c r="H218">
        <f>0*$H$202</f>
        <v>0</v>
      </c>
      <c r="I218">
        <f>-10.17*$I$202</f>
        <v>0</v>
      </c>
      <c r="J218">
        <f>-61.853*$J$202</f>
        <v>0</v>
      </c>
      <c r="K218">
        <f>82.47*$K$202</f>
        <v>0</v>
      </c>
      <c r="L218">
        <f>-0.018*$L$202</f>
        <v>0</v>
      </c>
      <c r="M218">
        <f>0+D218+E218+G218+H218+I218+J218+K218+L218</f>
        <v>0</v>
      </c>
      <c r="N218">
        <f>0+D218+F218+G218+H218+I218+J218+K218+L218</f>
        <v>0</v>
      </c>
    </row>
    <row r="219" spans="3:14">
      <c r="C219" t="s">
        <v>30</v>
      </c>
      <c r="D219">
        <f>-80.861*$D$202</f>
        <v>0</v>
      </c>
      <c r="E219">
        <f>31.836*$E$202</f>
        <v>0</v>
      </c>
      <c r="F219">
        <f>-148.511*$F$202</f>
        <v>0</v>
      </c>
      <c r="G219">
        <f>9.193*$G$202</f>
        <v>0</v>
      </c>
      <c r="H219">
        <f>0*$H$202</f>
        <v>0</v>
      </c>
      <c r="I219">
        <f>-12.659*$I$202</f>
        <v>0</v>
      </c>
      <c r="J219">
        <f>-151.622*$J$202</f>
        <v>0</v>
      </c>
      <c r="K219">
        <f>202.163*$K$202</f>
        <v>0</v>
      </c>
      <c r="L219">
        <f>-0.017*$L$202</f>
        <v>0</v>
      </c>
      <c r="M219">
        <f>0+D219+E219+G219+H219+I219+J219+K219+L219</f>
        <v>0</v>
      </c>
      <c r="N219">
        <f>0+D219+F219+G219+H219+I219+J219+K219+L219</f>
        <v>0</v>
      </c>
    </row>
    <row r="220" spans="3:14">
      <c r="C220" t="s">
        <v>31</v>
      </c>
      <c r="D220">
        <f>-94.396*$D$202</f>
        <v>0</v>
      </c>
      <c r="E220">
        <f>23.89*$E$202</f>
        <v>0</v>
      </c>
      <c r="F220">
        <f>-129.766*$F$202</f>
        <v>0</v>
      </c>
      <c r="G220">
        <f>-25.347*$G$202</f>
        <v>0</v>
      </c>
      <c r="H220">
        <f>0*$H$202</f>
        <v>0</v>
      </c>
      <c r="I220">
        <f>-12.321*$I$202</f>
        <v>0</v>
      </c>
      <c r="J220">
        <f>130.179*$J$202</f>
        <v>0</v>
      </c>
      <c r="K220">
        <f>-173.571*$K$202</f>
        <v>0</v>
      </c>
      <c r="L220">
        <f>-0.016*$L$202</f>
        <v>0</v>
      </c>
      <c r="M220">
        <f>0+D220+E220+G220+H220+I220+J220+K220+L220</f>
        <v>0</v>
      </c>
      <c r="N220">
        <f>0+D220+F220+G220+H220+I220+J220+K220+L220</f>
        <v>0</v>
      </c>
    </row>
    <row r="221" spans="3:14">
      <c r="C221" t="s">
        <v>32</v>
      </c>
      <c r="D221">
        <f>-97.056*$D$202</f>
        <v>0</v>
      </c>
      <c r="E221">
        <f>7.556*$E$202</f>
        <v>0</v>
      </c>
      <c r="F221">
        <f>-127.228*$F$202</f>
        <v>0</v>
      </c>
      <c r="G221">
        <f>-18.427*$G$202</f>
        <v>0</v>
      </c>
      <c r="H221">
        <f>0*$H$202</f>
        <v>0</v>
      </c>
      <c r="I221">
        <f>-13.209*$I$202</f>
        <v>0</v>
      </c>
      <c r="J221">
        <f>48.232*$J$202</f>
        <v>0</v>
      </c>
      <c r="K221">
        <f>-64.309*$K$202</f>
        <v>0</v>
      </c>
      <c r="L221">
        <f>-0.019*$L$202</f>
        <v>0</v>
      </c>
      <c r="M221">
        <f>0+D221+E221+G221+H221+I221+J221+K221+L221</f>
        <v>0</v>
      </c>
      <c r="N221">
        <f>0+D221+F221+G221+H221+I221+J221+K221+L221</f>
        <v>0</v>
      </c>
    </row>
    <row r="222" spans="3:14">
      <c r="C222" t="s">
        <v>33</v>
      </c>
      <c r="D222">
        <f>-90.167*$D$202</f>
        <v>0</v>
      </c>
      <c r="E222">
        <f>12.198*$E$202</f>
        <v>0</v>
      </c>
      <c r="F222">
        <f>-124.066*$F$202</f>
        <v>0</v>
      </c>
      <c r="G222">
        <f>-12.588*$G$202</f>
        <v>0</v>
      </c>
      <c r="H222">
        <f>0*$H$202</f>
        <v>0</v>
      </c>
      <c r="I222">
        <f>-12.706*$I$202</f>
        <v>0</v>
      </c>
      <c r="J222">
        <f>-25.525*$J$202</f>
        <v>0</v>
      </c>
      <c r="K222">
        <f>34.033*$K$202</f>
        <v>0</v>
      </c>
      <c r="L222">
        <f>-0.021*$L$202</f>
        <v>0</v>
      </c>
      <c r="M222">
        <f>0+D222+E222+G222+H222+I222+J222+K222+L222</f>
        <v>0</v>
      </c>
      <c r="N222">
        <f>0+D222+F222+G222+H222+I222+J222+K222+L222</f>
        <v>0</v>
      </c>
    </row>
    <row r="223" spans="3:14">
      <c r="C223" t="s">
        <v>34</v>
      </c>
      <c r="D223">
        <f>-66.587*$D$202</f>
        <v>0</v>
      </c>
      <c r="E223">
        <f>27.001*$E$202</f>
        <v>0</v>
      </c>
      <c r="F223">
        <f>-109.666*$F$202</f>
        <v>0</v>
      </c>
      <c r="G223">
        <f>-5.04*$G$202</f>
        <v>0</v>
      </c>
      <c r="H223">
        <f>0*$H$202</f>
        <v>0</v>
      </c>
      <c r="I223">
        <f>-9.875*$I$202</f>
        <v>0</v>
      </c>
      <c r="J223">
        <f>-128.465*$J$202</f>
        <v>0</v>
      </c>
      <c r="K223">
        <f>171.287*$K$202</f>
        <v>0</v>
      </c>
      <c r="L223">
        <f>-0.016*$L$202</f>
        <v>0</v>
      </c>
      <c r="M223">
        <f>0+D223+E223+G223+H223+I223+J223+K223+L223</f>
        <v>0</v>
      </c>
      <c r="N223">
        <f>0+D223+F223+G223+H223+I223+J223+K223+L223</f>
        <v>0</v>
      </c>
    </row>
    <row r="224" spans="3:14">
      <c r="C224" t="s">
        <v>35</v>
      </c>
      <c r="D224">
        <f>-16.913*$D$202</f>
        <v>0</v>
      </c>
      <c r="E224">
        <f>52.757*$E$202</f>
        <v>0</v>
      </c>
      <c r="F224">
        <f>-85.049*$F$202</f>
        <v>0</v>
      </c>
      <c r="G224">
        <f>7.127*$G$202</f>
        <v>0</v>
      </c>
      <c r="H224">
        <f>0*$H$202</f>
        <v>0</v>
      </c>
      <c r="I224">
        <f>-3.466*$I$202</f>
        <v>0</v>
      </c>
      <c r="J224">
        <f>-298.346*$J$202</f>
        <v>0</v>
      </c>
      <c r="K224">
        <f>397.795*$K$202</f>
        <v>0</v>
      </c>
      <c r="L224">
        <f>0.008008*$L$202</f>
        <v>0</v>
      </c>
      <c r="M224">
        <f>0+D224+E224+G224+H224+I224+J224+K224+L224</f>
        <v>0</v>
      </c>
      <c r="N224">
        <f>0+D224+F224+G224+H224+I224+J224+K224+L224</f>
        <v>0</v>
      </c>
    </row>
    <row r="225" spans="3:14">
      <c r="C225" t="s">
        <v>36</v>
      </c>
      <c r="D225">
        <f>-36.411*$D$202</f>
        <v>0</v>
      </c>
      <c r="E225">
        <f>10.718*$E$202</f>
        <v>0</v>
      </c>
      <c r="F225">
        <f>-43.569*$F$202</f>
        <v>0</v>
      </c>
      <c r="G225">
        <f>-6.234*$G$202</f>
        <v>0</v>
      </c>
      <c r="H225">
        <f>0*$H$202</f>
        <v>0</v>
      </c>
      <c r="I225">
        <f>-4.999*$I$202</f>
        <v>0</v>
      </c>
      <c r="J225">
        <f>62.117*$J$202</f>
        <v>0</v>
      </c>
      <c r="K225">
        <f>-82.823*$K$202</f>
        <v>0</v>
      </c>
      <c r="L225">
        <f>-0.012*$L$202</f>
        <v>0</v>
      </c>
      <c r="M225">
        <f>0+D225+E225+G225+H225+I225+J225+K225+L225</f>
        <v>0</v>
      </c>
      <c r="N225">
        <f>0+D225+F225+G225+H225+I225+J225+K225+L225</f>
        <v>0</v>
      </c>
    </row>
    <row r="226" spans="3:14">
      <c r="C226" t="s">
        <v>36</v>
      </c>
      <c r="D226">
        <f>35.28*$D$202</f>
        <v>0</v>
      </c>
      <c r="E226">
        <f>43.695*$E$202</f>
        <v>0</v>
      </c>
      <c r="F226">
        <f>-6.218*$F$202</f>
        <v>0</v>
      </c>
      <c r="G226">
        <f>6.135*$G$202</f>
        <v>0</v>
      </c>
      <c r="H226">
        <f>0*$H$202</f>
        <v>0</v>
      </c>
      <c r="I226">
        <f>4.839*$I$202</f>
        <v>0</v>
      </c>
      <c r="J226">
        <f>-62.26*$J$202</f>
        <v>0</v>
      </c>
      <c r="K226">
        <f>83.013*$K$202</f>
        <v>0</v>
      </c>
      <c r="L226">
        <f>-0.204*$L$202</f>
        <v>0</v>
      </c>
      <c r="M226">
        <f>0+D226+E226+G226+H226+I226+J226+K226+L226</f>
        <v>0</v>
      </c>
      <c r="N226">
        <f>0+D226+F226+G226+H226+I226+J226+K226+L226</f>
        <v>0</v>
      </c>
    </row>
    <row r="227" spans="3:14">
      <c r="C227" t="s">
        <v>37</v>
      </c>
      <c r="D227">
        <f>35.28*$D$202</f>
        <v>0</v>
      </c>
      <c r="E227">
        <f>43.653*$E$202</f>
        <v>0</v>
      </c>
      <c r="F227">
        <f>-6.218*$F$202</f>
        <v>0</v>
      </c>
      <c r="G227">
        <f>6.135*$G$202</f>
        <v>0</v>
      </c>
      <c r="H227">
        <f>0*$H$202</f>
        <v>0</v>
      </c>
      <c r="I227">
        <f>4.839*$I$202</f>
        <v>0</v>
      </c>
      <c r="J227">
        <f>-62.26*$J$202</f>
        <v>0</v>
      </c>
      <c r="K227">
        <f>83.013*$K$202</f>
        <v>0</v>
      </c>
      <c r="L227">
        <f>-0.204*$L$202</f>
        <v>0</v>
      </c>
      <c r="M227">
        <f>0+D227+E227+G227+H227+I227+J227+K227+L227</f>
        <v>0</v>
      </c>
      <c r="N227">
        <f>0+D227+F227+G227+H227+I227+J227+K227+L227</f>
        <v>0</v>
      </c>
    </row>
    <row r="228" spans="3:14">
      <c r="C228" t="s">
        <v>38</v>
      </c>
      <c r="D228">
        <f>37.279*$D$202</f>
        <v>0</v>
      </c>
      <c r="E228">
        <f>83.619*$E$202</f>
        <v>0</v>
      </c>
      <c r="F228">
        <f>-34.785*$F$202</f>
        <v>0</v>
      </c>
      <c r="G228">
        <f>-0.498*$G$202</f>
        <v>0</v>
      </c>
      <c r="H228">
        <f>0*$H$202</f>
        <v>0</v>
      </c>
      <c r="I228">
        <f>6.001*$I$202</f>
        <v>0</v>
      </c>
      <c r="J228">
        <f>207.601*$J$202</f>
        <v>0</v>
      </c>
      <c r="K228">
        <f>-276.801*$K$202</f>
        <v>0</v>
      </c>
      <c r="L228">
        <f>-0.407*$L$202</f>
        <v>0</v>
      </c>
      <c r="M228">
        <f>0+D228+E228+G228+H228+I228+J228+K228+L228</f>
        <v>0</v>
      </c>
      <c r="N228">
        <f>0+D228+F228+G228+H228+I228+J228+K228+L228</f>
        <v>0</v>
      </c>
    </row>
    <row r="229" spans="3:14">
      <c r="C229" t="s">
        <v>39</v>
      </c>
      <c r="D229">
        <f>72.066*$D$202</f>
        <v>0</v>
      </c>
      <c r="E229">
        <f>114.817*$E$202</f>
        <v>0</v>
      </c>
      <c r="F229">
        <f>-16.805*$F$202</f>
        <v>0</v>
      </c>
      <c r="G229">
        <f>8.794*$G$202</f>
        <v>0</v>
      </c>
      <c r="H229">
        <f>0*$H$202</f>
        <v>0</v>
      </c>
      <c r="I229">
        <f>10.396*$I$202</f>
        <v>0</v>
      </c>
      <c r="J229">
        <f>73.492*$J$202</f>
        <v>0</v>
      </c>
      <c r="K229">
        <f>-97.989*$K$202</f>
        <v>0</v>
      </c>
      <c r="L229">
        <f>-1.109*$L$202</f>
        <v>0</v>
      </c>
      <c r="M229">
        <f>0+D229+E229+G229+H229+I229+J229+K229+L229</f>
        <v>0</v>
      </c>
      <c r="N229">
        <f>0+D229+F229+G229+H229+I229+J229+K229+L229</f>
        <v>0</v>
      </c>
    </row>
    <row r="230" spans="3:14">
      <c r="C230" t="s">
        <v>40</v>
      </c>
      <c r="D230">
        <f>85.722*$D$202</f>
        <v>0</v>
      </c>
      <c r="E230">
        <f>124.219*$E$202</f>
        <v>0</v>
      </c>
      <c r="F230">
        <f>-8.067*$F$202</f>
        <v>0</v>
      </c>
      <c r="G230">
        <f>14.89*$G$202</f>
        <v>0</v>
      </c>
      <c r="H230">
        <f>0*$H$202</f>
        <v>0</v>
      </c>
      <c r="I230">
        <f>11.865*$I$202</f>
        <v>0</v>
      </c>
      <c r="J230">
        <f>-10.642*$J$202</f>
        <v>0</v>
      </c>
      <c r="K230">
        <f>14.189*$K$202</f>
        <v>0</v>
      </c>
      <c r="L230">
        <f>-1.496*$L$202</f>
        <v>0</v>
      </c>
      <c r="M230">
        <f>0+D230+E230+G230+H230+I230+J230+K230+L230</f>
        <v>0</v>
      </c>
      <c r="N230">
        <f>0+D230+F230+G230+H230+I230+J230+K230+L230</f>
        <v>0</v>
      </c>
    </row>
    <row r="231" spans="3:14">
      <c r="C231" t="s">
        <v>41</v>
      </c>
      <c r="D231">
        <f>87.357*$D$202</f>
        <v>0</v>
      </c>
      <c r="E231">
        <f>124.36*$E$202</f>
        <v>0</v>
      </c>
      <c r="F231">
        <f>-14.47*$F$202</f>
        <v>0</v>
      </c>
      <c r="G231">
        <f>21.047*$G$202</f>
        <v>0</v>
      </c>
      <c r="H231">
        <f>0*$H$202</f>
        <v>0</v>
      </c>
      <c r="I231">
        <f>11.601*$I$202</f>
        <v>0</v>
      </c>
      <c r="J231">
        <f>-86.841*$J$202</f>
        <v>0</v>
      </c>
      <c r="K231">
        <f>115.788*$K$202</f>
        <v>0</v>
      </c>
      <c r="L231">
        <f>-1.823*$L$202</f>
        <v>0</v>
      </c>
      <c r="M231">
        <f>0+D231+E231+G231+H231+I231+J231+K231+L231</f>
        <v>0</v>
      </c>
      <c r="N231">
        <f>0+D231+F231+G231+H231+I231+J231+K231+L231</f>
        <v>0</v>
      </c>
    </row>
    <row r="232" spans="3:14">
      <c r="C232" t="s">
        <v>42</v>
      </c>
      <c r="D232">
        <f>81.655*$D$202</f>
        <v>0</v>
      </c>
      <c r="E232">
        <f>126.185*$E$202</f>
        <v>0</v>
      </c>
      <c r="F232">
        <f>-39.904*$F$202</f>
        <v>0</v>
      </c>
      <c r="G232">
        <f>28.733*$G$202</f>
        <v>0</v>
      </c>
      <c r="H232">
        <f>0*$H$202</f>
        <v>0</v>
      </c>
      <c r="I232">
        <f>10.249*$I$202</f>
        <v>0</v>
      </c>
      <c r="J232">
        <f>-179.801*$J$202</f>
        <v>0</v>
      </c>
      <c r="K232">
        <f>239.735*$K$202</f>
        <v>0</v>
      </c>
      <c r="L232">
        <f>-2.149*$L$202</f>
        <v>0</v>
      </c>
      <c r="M232">
        <f>0+D232+E232+G232+H232+I232+J232+K232+L232</f>
        <v>0</v>
      </c>
      <c r="N232">
        <f>0+D232+F232+G232+H232+I232+J232+K232+L232</f>
        <v>0</v>
      </c>
    </row>
    <row r="233" spans="3:14">
      <c r="C233" t="s">
        <v>43</v>
      </c>
      <c r="D233">
        <f>63.393*$D$202</f>
        <v>0</v>
      </c>
      <c r="E233">
        <f>121.904*$E$202</f>
        <v>0</v>
      </c>
      <c r="F233">
        <f>-24.958*$F$202</f>
        <v>0</v>
      </c>
      <c r="G233">
        <f>-5.191*$G$202</f>
        <v>0</v>
      </c>
      <c r="H233">
        <f>0*$H$202</f>
        <v>0</v>
      </c>
      <c r="I233">
        <f>9.867*$I$202</f>
        <v>0</v>
      </c>
      <c r="J233">
        <f>105.324*$J$202</f>
        <v>0</v>
      </c>
      <c r="K233">
        <f>-140.433*$K$202</f>
        <v>0</v>
      </c>
      <c r="L233">
        <f>-1.76*$L$202</f>
        <v>0</v>
      </c>
      <c r="M233">
        <f>0+D233+E233+G233+H233+I233+J233+K233+L233</f>
        <v>0</v>
      </c>
      <c r="N233">
        <f>0+D233+F233+G233+H233+I233+J233+K233+L233</f>
        <v>0</v>
      </c>
    </row>
    <row r="234" spans="3:14">
      <c r="C234" t="s">
        <v>44</v>
      </c>
      <c r="D234">
        <f>49.601*$D$202</f>
        <v>0</v>
      </c>
      <c r="E234">
        <f>86.927*$E$202</f>
        <v>0</v>
      </c>
      <c r="F234">
        <f>-16.922*$F$202</f>
        <v>0</v>
      </c>
      <c r="G234">
        <f>1.502*$G$202</f>
        <v>0</v>
      </c>
      <c r="H234">
        <f>0*$H$202</f>
        <v>0</v>
      </c>
      <c r="I234">
        <f>7.365*$I$202</f>
        <v>0</v>
      </c>
      <c r="J234">
        <f>32.791*$J$202</f>
        <v>0</v>
      </c>
      <c r="K234">
        <f>-43.722*$K$202</f>
        <v>0</v>
      </c>
      <c r="L234">
        <f>-2.108*$L$202</f>
        <v>0</v>
      </c>
      <c r="M234">
        <f>0+D234+E234+G234+H234+I234+J234+K234+L234</f>
        <v>0</v>
      </c>
      <c r="N234">
        <f>0+D234+F234+G234+H234+I234+J234+K234+L234</f>
        <v>0</v>
      </c>
    </row>
    <row r="235" spans="3:14">
      <c r="C235" t="s">
        <v>45</v>
      </c>
      <c r="D235">
        <f>33.586*$D$202</f>
        <v>0</v>
      </c>
      <c r="E235">
        <f>63.099*$E$202</f>
        <v>0</v>
      </c>
      <c r="F235">
        <f>-15.751*$F$202</f>
        <v>0</v>
      </c>
      <c r="G235">
        <f>6.438*$G$202</f>
        <v>0</v>
      </c>
      <c r="H235">
        <f>0*$H$202</f>
        <v>0</v>
      </c>
      <c r="I235">
        <f>4.593*$I$202</f>
        <v>0</v>
      </c>
      <c r="J235">
        <f>-12.549*$J$202</f>
        <v>0</v>
      </c>
      <c r="K235">
        <f>16.731*$K$202</f>
        <v>0</v>
      </c>
      <c r="L235">
        <f>-2.347*$L$202</f>
        <v>0</v>
      </c>
      <c r="M235">
        <f>0+D235+E235+G235+H235+I235+J235+K235+L235</f>
        <v>0</v>
      </c>
      <c r="N235">
        <f>0+D235+F235+G235+H235+I235+J235+K235+L235</f>
        <v>0</v>
      </c>
    </row>
    <row r="236" spans="3:14">
      <c r="C236" t="s">
        <v>46</v>
      </c>
      <c r="D236">
        <f>14.817*$D$202</f>
        <v>0</v>
      </c>
      <c r="E236">
        <f>54.538*$E$202</f>
        <v>0</v>
      </c>
      <c r="F236">
        <f>-37.785*$F$202</f>
        <v>0</v>
      </c>
      <c r="G236">
        <f>12.536*$G$202</f>
        <v>0</v>
      </c>
      <c r="H236">
        <f>0*$H$202</f>
        <v>0</v>
      </c>
      <c r="I236">
        <f>1.368*$I$202</f>
        <v>0</v>
      </c>
      <c r="J236">
        <f>-62.272*$J$202</f>
        <v>0</v>
      </c>
      <c r="K236">
        <f>83.029*$K$202</f>
        <v>0</v>
      </c>
      <c r="L236">
        <f>-2.406*$L$202</f>
        <v>0</v>
      </c>
      <c r="M236">
        <f>0+D236+E236+G236+H236+I236+J236+K236+L236</f>
        <v>0</v>
      </c>
      <c r="N236">
        <f>0+D236+F236+G236+H236+I236+J236+K236+L236</f>
        <v>0</v>
      </c>
    </row>
    <row r="237" spans="3:14">
      <c r="C237" t="s">
        <v>47</v>
      </c>
      <c r="D237">
        <f>-7.173*$D$202</f>
        <v>0</v>
      </c>
      <c r="E237">
        <f>65.688*$E$202</f>
        <v>0</v>
      </c>
      <c r="F237">
        <f>-86.296*$F$202</f>
        <v>0</v>
      </c>
      <c r="G237">
        <f>21.405*$G$202</f>
        <v>0</v>
      </c>
      <c r="H237">
        <f>0*$H$202</f>
        <v>0</v>
      </c>
      <c r="I237">
        <f>-2.409*$I$202</f>
        <v>0</v>
      </c>
      <c r="J237">
        <f>-139.491*$J$202</f>
        <v>0</v>
      </c>
      <c r="K237">
        <f>185.987*$K$202</f>
        <v>0</v>
      </c>
      <c r="L237">
        <f>-2.17*$L$202</f>
        <v>0</v>
      </c>
      <c r="M237">
        <f>0+D237+E237+G237+H237+I237+J237+K237+L237</f>
        <v>0</v>
      </c>
      <c r="N237">
        <f>0+D237+F237+G237+H237+I237+J237+K237+L237</f>
        <v>0</v>
      </c>
    </row>
    <row r="238" spans="3:14">
      <c r="C238" t="s">
        <v>48</v>
      </c>
      <c r="D238">
        <f>-2.778*$D$202</f>
        <v>0</v>
      </c>
      <c r="E238">
        <f>61.648*$E$202</f>
        <v>0</v>
      </c>
      <c r="F238">
        <f>-58.937*$F$202</f>
        <v>0</v>
      </c>
      <c r="G238">
        <f>-16.039*$G$202</f>
        <v>0</v>
      </c>
      <c r="H238">
        <f>0*$H$202</f>
        <v>0</v>
      </c>
      <c r="I238">
        <f>0.635*$I$202</f>
        <v>0</v>
      </c>
      <c r="J238">
        <f>101.203*$J$202</f>
        <v>0</v>
      </c>
      <c r="K238">
        <f>-134.937*$K$202</f>
        <v>0</v>
      </c>
      <c r="L238">
        <f>-3.144*$L$202</f>
        <v>0</v>
      </c>
      <c r="M238">
        <f>0+D238+E238+G238+H238+I238+J238+K238+L238</f>
        <v>0</v>
      </c>
      <c r="N238">
        <f>0+D238+F238+G238+H238+I238+J238+K238+L238</f>
        <v>0</v>
      </c>
    </row>
    <row r="239" spans="3:14">
      <c r="C239" t="s">
        <v>49</v>
      </c>
      <c r="D239">
        <f>-24.01*$D$202</f>
        <v>0</v>
      </c>
      <c r="E239">
        <f>23.493*$E$202</f>
        <v>0</v>
      </c>
      <c r="F239">
        <f>-56.513*$F$202</f>
        <v>0</v>
      </c>
      <c r="G239">
        <f>-8.642*$G$202</f>
        <v>0</v>
      </c>
      <c r="H239">
        <f>0*$H$202</f>
        <v>0</v>
      </c>
      <c r="I239">
        <f>-2.978*$I$202</f>
        <v>0</v>
      </c>
      <c r="J239">
        <f>39.207*$J$202</f>
        <v>0</v>
      </c>
      <c r="K239">
        <f>-52.276*$K$202</f>
        <v>0</v>
      </c>
      <c r="L239">
        <f>-2.517*$L$202</f>
        <v>0</v>
      </c>
      <c r="M239">
        <f>0+D239+E239+G239+H239+I239+J239+K239+L239</f>
        <v>0</v>
      </c>
      <c r="N239">
        <f>0+D239+F239+G239+H239+I239+J239+K239+L239</f>
        <v>0</v>
      </c>
    </row>
    <row r="240" spans="3:14">
      <c r="C240" t="s">
        <v>50</v>
      </c>
      <c r="D240">
        <f>-42.672*$D$202</f>
        <v>0</v>
      </c>
      <c r="E240">
        <f>18.138*$E$202</f>
        <v>0</v>
      </c>
      <c r="F240">
        <f>-73.942*$F$202</f>
        <v>0</v>
      </c>
      <c r="G240">
        <f>-3.541*$G$202</f>
        <v>0</v>
      </c>
      <c r="H240">
        <f>0*$H$202</f>
        <v>0</v>
      </c>
      <c r="I240">
        <f>-6.143*$I$202</f>
        <v>0</v>
      </c>
      <c r="J240">
        <f>-3.113*$J$202</f>
        <v>0</v>
      </c>
      <c r="K240">
        <f>4.151*$K$202</f>
        <v>0</v>
      </c>
      <c r="L240">
        <f>-1.531*$L$202</f>
        <v>0</v>
      </c>
      <c r="M240">
        <f>0+D240+E240+G240+H240+I240+J240+K240+L240</f>
        <v>0</v>
      </c>
      <c r="N240">
        <f>0+D240+F240+G240+H240+I240+J240+K240+L240</f>
        <v>0</v>
      </c>
    </row>
    <row r="241" spans="3:14">
      <c r="C241" t="s">
        <v>51</v>
      </c>
      <c r="D241">
        <f>-59.634*$D$202</f>
        <v>0</v>
      </c>
      <c r="E241">
        <f>23.107*$E$202</f>
        <v>0</v>
      </c>
      <c r="F241">
        <f>-103.123*$F$202</f>
        <v>0</v>
      </c>
      <c r="G241">
        <f>2.141*$G$202</f>
        <v>0</v>
      </c>
      <c r="H241">
        <f>0*$H$202</f>
        <v>0</v>
      </c>
      <c r="I241">
        <f>-9.091*$I$202</f>
        <v>0</v>
      </c>
      <c r="J241">
        <f>-57.185*$J$202</f>
        <v>0</v>
      </c>
      <c r="K241">
        <f>76.246*$K$202</f>
        <v>0</v>
      </c>
      <c r="L241">
        <f>0.074*$L$202</f>
        <v>0</v>
      </c>
      <c r="M241">
        <f>0+D241+E241+G241+H241+I241+J241+K241+L241</f>
        <v>0</v>
      </c>
      <c r="N241">
        <f>0+D241+F241+G241+H241+I241+J241+K241+L241</f>
        <v>0</v>
      </c>
    </row>
    <row r="242" spans="3:14">
      <c r="C242" t="s">
        <v>52</v>
      </c>
      <c r="D242">
        <f>-75.712*$D$202</f>
        <v>0</v>
      </c>
      <c r="E242">
        <f>33.286*$E$202</f>
        <v>0</v>
      </c>
      <c r="F242">
        <f>-145.028*$F$202</f>
        <v>0</v>
      </c>
      <c r="G242">
        <f>10.079*$G$202</f>
        <v>0</v>
      </c>
      <c r="H242">
        <f>0*$H$202</f>
        <v>0</v>
      </c>
      <c r="I242">
        <f>-11.975*$I$202</f>
        <v>0</v>
      </c>
      <c r="J242">
        <f>-146.072*$J$202</f>
        <v>0</v>
      </c>
      <c r="K242">
        <f>194.763*$K$202</f>
        <v>0</v>
      </c>
      <c r="L242">
        <f>2.297*$L$202</f>
        <v>0</v>
      </c>
      <c r="M242">
        <f>0+D242+E242+G242+H242+I242+J242+K242+L242</f>
        <v>0</v>
      </c>
      <c r="N242">
        <f>0+D242+F242+G242+H242+I242+J242+K242+L242</f>
        <v>0</v>
      </c>
    </row>
    <row r="243" spans="3:14">
      <c r="C243" t="s">
        <v>53</v>
      </c>
      <c r="D243">
        <f>-82.85*$D$202</f>
        <v>0</v>
      </c>
      <c r="E243">
        <f>21.699*$E$202</f>
        <v>0</v>
      </c>
      <c r="F243">
        <f>-121.77*$F$202</f>
        <v>0</v>
      </c>
      <c r="G243">
        <f>-23.949*$G$202</f>
        <v>0</v>
      </c>
      <c r="H243">
        <f>0*$H$202</f>
        <v>0</v>
      </c>
      <c r="I243">
        <f>-10.721*$I$202</f>
        <v>0</v>
      </c>
      <c r="J243">
        <f>135.116*$J$202</f>
        <v>0</v>
      </c>
      <c r="K243">
        <f>-180.155*$K$202</f>
        <v>0</v>
      </c>
      <c r="L243">
        <f>-4.758*$L$202</f>
        <v>0</v>
      </c>
      <c r="M243">
        <f>0+D243+E243+G243+H243+I243+J243+K243+L243</f>
        <v>0</v>
      </c>
      <c r="N243">
        <f>0+D243+F243+G243+H243+I243+J243+K243+L243</f>
        <v>0</v>
      </c>
    </row>
    <row r="244" spans="3:14">
      <c r="C244" t="s">
        <v>54</v>
      </c>
      <c r="D244">
        <f>-88.888*$D$202</f>
        <v>0</v>
      </c>
      <c r="E244">
        <f>7.612*$E$202</f>
        <v>0</v>
      </c>
      <c r="F244">
        <f>-123.466*$F$202</f>
        <v>0</v>
      </c>
      <c r="G244">
        <f>-17.311*$G$202</f>
        <v>0</v>
      </c>
      <c r="H244">
        <f>0*$H$202</f>
        <v>0</v>
      </c>
      <c r="I244">
        <f>-12.089*$I$202</f>
        <v>0</v>
      </c>
      <c r="J244">
        <f>53.265*$J$202</f>
        <v>0</v>
      </c>
      <c r="K244">
        <f>-71.02*$K$202</f>
        <v>0</v>
      </c>
      <c r="L244">
        <f>-0.63*$L$202</f>
        <v>0</v>
      </c>
      <c r="M244">
        <f>0+D244+E244+G244+H244+I244+J244+K244+L244</f>
        <v>0</v>
      </c>
      <c r="N244">
        <f>0+D244+F244+G244+H244+I244+J244+K244+L244</f>
        <v>0</v>
      </c>
    </row>
    <row r="245" spans="3:14">
      <c r="C245" t="s">
        <v>55</v>
      </c>
      <c r="D245">
        <f>-86.11*$D$202</f>
        <v>0</v>
      </c>
      <c r="E245">
        <f>8.412*$E$202</f>
        <v>0</v>
      </c>
      <c r="F245">
        <f>-121.39*$F$202</f>
        <v>0</v>
      </c>
      <c r="G245">
        <f>-11.863*$G$202</f>
        <v>0</v>
      </c>
      <c r="H245">
        <f>0*$H$202</f>
        <v>0</v>
      </c>
      <c r="I245">
        <f>-12.169*$I$202</f>
        <v>0</v>
      </c>
      <c r="J245">
        <f>-20.702*$J$202</f>
        <v>0</v>
      </c>
      <c r="K245">
        <f>27.603*$K$202</f>
        <v>0</v>
      </c>
      <c r="L245">
        <f>4.803*$L$202</f>
        <v>0</v>
      </c>
      <c r="M245">
        <f>0+D245+E245+G245+H245+I245+J245+K245+L245</f>
        <v>0</v>
      </c>
      <c r="N245">
        <f>0+D245+F245+G245+H245+I245+J245+K245+L245</f>
        <v>0</v>
      </c>
    </row>
    <row r="246" spans="3:14">
      <c r="C246" t="s">
        <v>56</v>
      </c>
      <c r="D246">
        <f>-68.598*$D$202</f>
        <v>0</v>
      </c>
      <c r="E246">
        <f>21.234*$E$202</f>
        <v>0</v>
      </c>
      <c r="F246">
        <f>-104.806*$F$202</f>
        <v>0</v>
      </c>
      <c r="G246">
        <f>-4.937*$G$202</f>
        <v>0</v>
      </c>
      <c r="H246">
        <f>0*$H$202</f>
        <v>0</v>
      </c>
      <c r="I246">
        <f>-10.197*$I$202</f>
        <v>0</v>
      </c>
      <c r="J246">
        <f>-124.279*$J$202</f>
        <v>0</v>
      </c>
      <c r="K246">
        <f>165.705*$K$202</f>
        <v>0</v>
      </c>
      <c r="L246">
        <f>10.355*$L$202</f>
        <v>0</v>
      </c>
      <c r="M246">
        <f>0+D246+E246+G246+H246+I246+J246+K246+L246</f>
        <v>0</v>
      </c>
      <c r="N246">
        <f>0+D246+F246+G246+H246+I246+J246+K246+L246</f>
        <v>0</v>
      </c>
    </row>
    <row r="247" spans="3:14">
      <c r="C247" t="s">
        <v>57</v>
      </c>
      <c r="D247">
        <f>-28.421*$D$202</f>
        <v>0</v>
      </c>
      <c r="E247">
        <f>39.745*$E$202</f>
        <v>0</v>
      </c>
      <c r="F247">
        <f>-71.473*$F$202</f>
        <v>0</v>
      </c>
      <c r="G247">
        <f>6.212*$G$202</f>
        <v>0</v>
      </c>
      <c r="H247">
        <f>0*$H$202</f>
        <v>0</v>
      </c>
      <c r="I247">
        <f>-5.131*$I$202</f>
        <v>0</v>
      </c>
      <c r="J247">
        <f>-295.486*$J$202</f>
        <v>0</v>
      </c>
      <c r="K247">
        <f>393.981*$K$202</f>
        <v>0</v>
      </c>
      <c r="L247">
        <f>13.151*$L$202</f>
        <v>0</v>
      </c>
      <c r="M247">
        <f>0+D247+E247+G247+H247+I247+J247+K247+L247</f>
        <v>0</v>
      </c>
      <c r="N247">
        <f>0+D247+F247+G247+H247+I247+J247+K247+L247</f>
        <v>0</v>
      </c>
    </row>
    <row r="248" spans="3:14">
      <c r="C248" t="s">
        <v>58</v>
      </c>
      <c r="D248">
        <f>-32.557*$D$202</f>
        <v>0</v>
      </c>
      <c r="E248">
        <f>10.712*$E$202</f>
        <v>0</v>
      </c>
      <c r="F248">
        <f>-42.968*$F$202</f>
        <v>0</v>
      </c>
      <c r="G248">
        <f>-5.819*$G$202</f>
        <v>0</v>
      </c>
      <c r="H248">
        <f>0*$H$202</f>
        <v>0</v>
      </c>
      <c r="I248">
        <f>-4.453*$I$202</f>
        <v>0</v>
      </c>
      <c r="J248">
        <f>62.636*$J$202</f>
        <v>0</v>
      </c>
      <c r="K248">
        <f>-83.514*$K$202</f>
        <v>0</v>
      </c>
      <c r="L248">
        <f>0.604*$L$202</f>
        <v>0</v>
      </c>
      <c r="M248">
        <f>0+D248+E248+G248+H248+I248+J248+K248+L248</f>
        <v>0</v>
      </c>
      <c r="N248">
        <f>0+D248+F248+G248+H248+I248+J248+K248+L248</f>
        <v>0</v>
      </c>
    </row>
    <row r="249" spans="3:14">
      <c r="C249" t="s">
        <v>58</v>
      </c>
      <c r="D249">
        <f>16.857*$D$202</f>
        <v>0</v>
      </c>
      <c r="E249">
        <f>24.879*$E$202</f>
        <v>0</v>
      </c>
      <c r="F249">
        <f>-6.717*$F$202</f>
        <v>0</v>
      </c>
      <c r="G249">
        <f>4.591*$G$202</f>
        <v>0</v>
      </c>
      <c r="H249">
        <f>0*$H$202</f>
        <v>0</v>
      </c>
      <c r="I249">
        <f>2.19*$I$202</f>
        <v>0</v>
      </c>
      <c r="J249">
        <f>-58.867*$J$202</f>
        <v>0</v>
      </c>
      <c r="K249">
        <f>78.489*$K$202</f>
        <v>0</v>
      </c>
      <c r="L249">
        <f>1.846*$L$202</f>
        <v>0</v>
      </c>
      <c r="M249">
        <f>0+D249+E249+G249+H249+I249+J249+K249+L249</f>
        <v>0</v>
      </c>
      <c r="N249">
        <f>0+D249+F249+G249+H249+I249+J249+K249+L249</f>
        <v>0</v>
      </c>
    </row>
    <row r="250" spans="3:14">
      <c r="C250" t="s">
        <v>59</v>
      </c>
      <c r="D250">
        <f>16.857*$D$202</f>
        <v>0</v>
      </c>
      <c r="E250">
        <f>24.879*$E$202</f>
        <v>0</v>
      </c>
      <c r="F250">
        <f>-6.716*$F$202</f>
        <v>0</v>
      </c>
      <c r="G250">
        <f>4.591*$G$202</f>
        <v>0</v>
      </c>
      <c r="H250">
        <f>0*$H$202</f>
        <v>0</v>
      </c>
      <c r="I250">
        <f>2.19*$I$202</f>
        <v>0</v>
      </c>
      <c r="J250">
        <f>-58.867*$J$202</f>
        <v>0</v>
      </c>
      <c r="K250">
        <f>78.489*$K$202</f>
        <v>0</v>
      </c>
      <c r="L250">
        <f>1.846*$L$202</f>
        <v>0</v>
      </c>
      <c r="M250">
        <f>0+D250+E250+G250+H250+I250+J250+K250+L250</f>
        <v>0</v>
      </c>
      <c r="N250">
        <f>0+D250+F250+G250+H250+I250+J250+K250+L250</f>
        <v>0</v>
      </c>
    </row>
    <row r="251" spans="3:14">
      <c r="C251" t="s">
        <v>60</v>
      </c>
      <c r="D251">
        <f>-2.357*$D$202</f>
        <v>0</v>
      </c>
      <c r="E251">
        <f>42.526*$E$202</f>
        <v>0</v>
      </c>
      <c r="F251">
        <f>-34.313*$F$202</f>
        <v>0</v>
      </c>
      <c r="G251">
        <f>-3.02*$G$202</f>
        <v>0</v>
      </c>
      <c r="H251">
        <f>0*$H$202</f>
        <v>0</v>
      </c>
      <c r="I251">
        <f>0.228*$I$202</f>
        <v>0</v>
      </c>
      <c r="J251">
        <f>231.492*$J$202</f>
        <v>0</v>
      </c>
      <c r="K251">
        <f>-308.655*$K$202</f>
        <v>0</v>
      </c>
      <c r="L251">
        <f>3.574*$L$202</f>
        <v>0</v>
      </c>
      <c r="M251">
        <f>0+D251+E251+G251+H251+I251+J251+K251+L251</f>
        <v>0</v>
      </c>
      <c r="N251">
        <f>0+D251+F251+G251+H251+I251+J251+K251+L251</f>
        <v>0</v>
      </c>
    </row>
    <row r="252" spans="3:14">
      <c r="C252" t="s">
        <v>61</v>
      </c>
      <c r="D252">
        <f>14.109*$D$202</f>
        <v>0</v>
      </c>
      <c r="E252">
        <f>48.401*$E$202</f>
        <v>0</v>
      </c>
      <c r="F252">
        <f>-15.237*$F$202</f>
        <v>0</v>
      </c>
      <c r="G252">
        <f>4.327*$G$202</f>
        <v>0</v>
      </c>
      <c r="H252">
        <f>0*$H$202</f>
        <v>0</v>
      </c>
      <c r="I252">
        <f>2*$I$202</f>
        <v>0</v>
      </c>
      <c r="J252">
        <f>103.786*$J$202</f>
        <v>0</v>
      </c>
      <c r="K252">
        <f>-138.382*$K$202</f>
        <v>0</v>
      </c>
      <c r="L252">
        <f>15.952*$L$202</f>
        <v>0</v>
      </c>
      <c r="M252">
        <f>0+D252+E252+G252+H252+I252+J252+K252+L252</f>
        <v>0</v>
      </c>
      <c r="N252">
        <f>0+D252+F252+G252+H252+I252+J252+K252+L252</f>
        <v>0</v>
      </c>
    </row>
    <row r="253" spans="3:14">
      <c r="C253" t="s">
        <v>62</v>
      </c>
      <c r="D253">
        <f>18.942*$D$202</f>
        <v>0</v>
      </c>
      <c r="E253">
        <f>47.76*$E$202</f>
        <v>0</v>
      </c>
      <c r="F253">
        <f>-13.197*$F$202</f>
        <v>0</v>
      </c>
      <c r="G253">
        <f>8.619*$G$202</f>
        <v>0</v>
      </c>
      <c r="H253">
        <f>0*$H$202</f>
        <v>0</v>
      </c>
      <c r="I253">
        <f>2.254*$I$202</f>
        <v>0</v>
      </c>
      <c r="J253">
        <f>17.604*$J$202</f>
        <v>0</v>
      </c>
      <c r="K253">
        <f>-23.472*$K$202</f>
        <v>0</v>
      </c>
      <c r="L253">
        <f>29.979*$L$202</f>
        <v>0</v>
      </c>
      <c r="M253">
        <f>0+D253+E253+G253+H253+I253+J253+K253+L253</f>
        <v>0</v>
      </c>
      <c r="N253">
        <f>0+D253+F253+G253+H253+I253+J253+K253+L253</f>
        <v>0</v>
      </c>
    </row>
    <row r="254" spans="3:14">
      <c r="C254" t="s">
        <v>63</v>
      </c>
      <c r="D254">
        <f>16.562*$D$202</f>
        <v>0</v>
      </c>
      <c r="E254">
        <f>46.113*$E$202</f>
        <v>0</v>
      </c>
      <c r="F254">
        <f>-28.908*$F$202</f>
        <v>0</v>
      </c>
      <c r="G254">
        <f>12.55*$G$202</f>
        <v>0</v>
      </c>
      <c r="H254">
        <f>0*$H$202</f>
        <v>0</v>
      </c>
      <c r="I254">
        <f>1.517*$I$202</f>
        <v>0</v>
      </c>
      <c r="J254">
        <f>-70.302*$J$202</f>
        <v>0</v>
      </c>
      <c r="K254">
        <f>93.737*$K$202</f>
        <v>0</v>
      </c>
      <c r="L254">
        <f>43.16*$L$202</f>
        <v>0</v>
      </c>
      <c r="M254">
        <f>0+D254+E254+G254+H254+I254+J254+K254+L254</f>
        <v>0</v>
      </c>
      <c r="N254">
        <f>0+D254+F254+G254+H254+I254+J254+K254+L254</f>
        <v>0</v>
      </c>
    </row>
    <row r="255" spans="3:14">
      <c r="C255" t="s">
        <v>64</v>
      </c>
      <c r="D255">
        <f>9.678*$D$202</f>
        <v>0</v>
      </c>
      <c r="E255">
        <f>54.393*$E$202</f>
        <v>0</v>
      </c>
      <c r="F255">
        <f>-60.863*$F$202</f>
        <v>0</v>
      </c>
      <c r="G255">
        <f>17.39*$G$202</f>
        <v>0</v>
      </c>
      <c r="H255">
        <f>0*$H$202</f>
        <v>0</v>
      </c>
      <c r="I255">
        <f>0.152*$I$202</f>
        <v>0</v>
      </c>
      <c r="J255">
        <f>-184.596*$J$202</f>
        <v>0</v>
      </c>
      <c r="K255">
        <f>246.127*$K$202</f>
        <v>0</v>
      </c>
      <c r="L255">
        <f>55.088*$L$202</f>
        <v>0</v>
      </c>
      <c r="M255">
        <f>0+D255+E255+G255+H255+I255+J255+K255+L255</f>
        <v>0</v>
      </c>
      <c r="N255">
        <f>0+D255+F255+G255+H255+I255+J255+K255+L255</f>
        <v>0</v>
      </c>
    </row>
    <row r="256" spans="3:14">
      <c r="C256" t="s">
        <v>65</v>
      </c>
      <c r="D256">
        <f>-1.898*$D$202</f>
        <v>0</v>
      </c>
      <c r="E256">
        <f>40.352*$E$202</f>
        <v>0</v>
      </c>
      <c r="F256">
        <f>-37.039*$F$202</f>
        <v>0</v>
      </c>
      <c r="G256">
        <f>-10.083*$G$202</f>
        <v>0</v>
      </c>
      <c r="H256">
        <f>0*$H$202</f>
        <v>0</v>
      </c>
      <c r="I256">
        <f>0.367*$I$202</f>
        <v>0</v>
      </c>
      <c r="J256">
        <f>168.68*$J$202</f>
        <v>0</v>
      </c>
      <c r="K256">
        <f>-224.907*$K$202</f>
        <v>0</v>
      </c>
      <c r="L256">
        <f>-36.215*$L$202</f>
        <v>0</v>
      </c>
      <c r="M256">
        <f>0+D256+E256+G256+H256+I256+J256+K256+L256</f>
        <v>0</v>
      </c>
      <c r="N256">
        <f>0+D256+F256+G256+H256+I256+J256+K256+L256</f>
        <v>0</v>
      </c>
    </row>
    <row r="257" spans="3:14">
      <c r="C257" t="s">
        <v>66</v>
      </c>
      <c r="D257">
        <f>-11.678*$D$202</f>
        <v>0</v>
      </c>
      <c r="E257">
        <f>17.602*$E$202</f>
        <v>0</v>
      </c>
      <c r="F257">
        <f>-38.001*$F$202</f>
        <v>0</v>
      </c>
      <c r="G257">
        <f>-6.891*$G$202</f>
        <v>0</v>
      </c>
      <c r="H257">
        <f>0*$H$202</f>
        <v>0</v>
      </c>
      <c r="I257">
        <f>-1.33*$I$202</f>
        <v>0</v>
      </c>
      <c r="J257">
        <f>59.757*$J$202</f>
        <v>0</v>
      </c>
      <c r="K257">
        <f>-79.676*$K$202</f>
        <v>0</v>
      </c>
      <c r="L257">
        <f>-26.426*$L$202</f>
        <v>0</v>
      </c>
      <c r="M257">
        <f>0+D257+E257+G257+H257+I257+J257+K257+L257</f>
        <v>0</v>
      </c>
      <c r="N257">
        <f>0+D257+F257+G257+H257+I257+J257+K257+L257</f>
        <v>0</v>
      </c>
    </row>
    <row r="258" spans="3:14">
      <c r="C258" t="s">
        <v>67</v>
      </c>
      <c r="D258">
        <f>-20.266*$D$202</f>
        <v>0</v>
      </c>
      <c r="E258">
        <f>9.293*$E$202</f>
        <v>0</v>
      </c>
      <c r="F258">
        <f>-48.615*$F$202</f>
        <v>0</v>
      </c>
      <c r="G258">
        <f>-5.493*$G$202</f>
        <v>0</v>
      </c>
      <c r="H258">
        <f>0*$H$202</f>
        <v>0</v>
      </c>
      <c r="I258">
        <f>-2.772*$I$202</f>
        <v>0</v>
      </c>
      <c r="J258">
        <f>-37.142*$J$202</f>
        <v>0</v>
      </c>
      <c r="K258">
        <f>49.522*$K$202</f>
        <v>0</v>
      </c>
      <c r="L258">
        <f>-18.5*$L$202</f>
        <v>0</v>
      </c>
      <c r="M258">
        <f>0+D258+E258+G258+H258+I258+J258+K258+L258</f>
        <v>0</v>
      </c>
      <c r="N258">
        <f>0+D258+F258+G258+H258+I258+J258+K258+L258</f>
        <v>0</v>
      </c>
    </row>
    <row r="259" spans="3:14">
      <c r="C259" t="s">
        <v>68</v>
      </c>
      <c r="D259">
        <f>-27.917*$D$202</f>
        <v>0</v>
      </c>
      <c r="E259">
        <f>6.399*$E$202</f>
        <v>0</v>
      </c>
      <c r="F259">
        <f>-60.41*$F$202</f>
        <v>0</v>
      </c>
      <c r="G259">
        <f>-3.557*$G$202</f>
        <v>0</v>
      </c>
      <c r="H259">
        <f>0*$H$202</f>
        <v>0</v>
      </c>
      <c r="I259">
        <f>-4.037*$I$202</f>
        <v>0</v>
      </c>
      <c r="J259">
        <f>-184.244*$J$202</f>
        <v>0</v>
      </c>
      <c r="K259">
        <f>245.659*$K$202</f>
        <v>0</v>
      </c>
      <c r="L259">
        <f>-11.047*$L$202</f>
        <v>0</v>
      </c>
      <c r="M259">
        <f>0+D259+E259+G259+H259+I259+J259+K259+L259</f>
        <v>0</v>
      </c>
      <c r="N259">
        <f>0+D259+F259+G259+H259+I259+J259+K259+L259</f>
        <v>0</v>
      </c>
    </row>
    <row r="260" spans="3:14">
      <c r="C260" t="s">
        <v>69</v>
      </c>
      <c r="D260">
        <f>-20.879*$D$202</f>
        <v>0</v>
      </c>
      <c r="E260">
        <f>9.168*$E$202</f>
        <v>0</v>
      </c>
      <c r="F260">
        <f>-59.373*$F$202</f>
        <v>0</v>
      </c>
      <c r="G260">
        <f>2.494*$G$202</f>
        <v>0</v>
      </c>
      <c r="H260">
        <f>0*$H$202</f>
        <v>0</v>
      </c>
      <c r="I260">
        <f>-3.137*$I$202</f>
        <v>0</v>
      </c>
      <c r="J260">
        <f>-455.266*$J$202</f>
        <v>0</v>
      </c>
      <c r="K260">
        <f>607.021*$K$202</f>
        <v>0</v>
      </c>
      <c r="L260">
        <f>-4.617*$L$202</f>
        <v>0</v>
      </c>
      <c r="M260">
        <f>0+D260+E260+G260+H260+I260+J260+K260+L260</f>
        <v>0</v>
      </c>
      <c r="N260">
        <f>0+D260+F260+G260+H260+I260+J260+K260+L260</f>
        <v>0</v>
      </c>
    </row>
    <row r="265" spans="3:14">
      <c r="C265" t="s">
        <v>73</v>
      </c>
    </row>
    <row r="267" spans="3:14">
      <c r="C267" t="s">
        <v>2</v>
      </c>
    </row>
    <row r="268" spans="3:14">
      <c r="C268" t="s">
        <v>3</v>
      </c>
      <c r="D268" t="s">
        <v>4</v>
      </c>
      <c r="E268" t="s">
        <v>5</v>
      </c>
      <c r="F268" t="s">
        <v>6</v>
      </c>
      <c r="G268" t="s">
        <v>7</v>
      </c>
      <c r="H268" t="s">
        <v>8</v>
      </c>
      <c r="I268" t="s">
        <v>9</v>
      </c>
      <c r="J268" t="s">
        <v>10</v>
      </c>
      <c r="K268" t="s">
        <v>11</v>
      </c>
      <c r="L268" t="s">
        <v>12</v>
      </c>
      <c r="M268" t="s">
        <v>13</v>
      </c>
      <c r="N268" t="s">
        <v>14</v>
      </c>
    </row>
    <row r="269" spans="3:14">
      <c r="C269" t="s">
        <v>80</v>
      </c>
      <c r="D269">
        <f>0.095*$D$267</f>
        <v>0</v>
      </c>
      <c r="E269">
        <f>450.008*$E$267</f>
        <v>0</v>
      </c>
      <c r="F269">
        <f>-436.405*$F$267</f>
        <v>0</v>
      </c>
      <c r="G269">
        <f>-25.864*$G$267</f>
        <v>0</v>
      </c>
      <c r="H269">
        <f>0*$H$267</f>
        <v>0</v>
      </c>
      <c r="I269">
        <f>1.709*$I$267</f>
        <v>0</v>
      </c>
      <c r="J269">
        <f>-352.003*$J$267</f>
        <v>0</v>
      </c>
      <c r="K269">
        <f>469.337*$K$267</f>
        <v>0</v>
      </c>
      <c r="L269">
        <f>0.18*$L$267</f>
        <v>0</v>
      </c>
      <c r="M269">
        <f>0+D269+E269+G269+H269+I269+J269+K269+L269</f>
        <v>0</v>
      </c>
      <c r="N269">
        <f>0+D269+F269+G269+H269+I269+J269+K269+L269</f>
        <v>0</v>
      </c>
    </row>
    <row r="270" spans="3:14">
      <c r="C270" t="s">
        <v>16</v>
      </c>
      <c r="D270">
        <f>2.03*$D$267</f>
        <v>0</v>
      </c>
      <c r="E270">
        <f>439.432*$E$267</f>
        <v>0</v>
      </c>
      <c r="F270">
        <f>-423.229*$F$267</f>
        <v>0</v>
      </c>
      <c r="G270">
        <f>-24.781*$G$267</f>
        <v>0</v>
      </c>
      <c r="H270">
        <f>0*$H$267</f>
        <v>0</v>
      </c>
      <c r="I270">
        <f>1.918*$I$267</f>
        <v>0</v>
      </c>
      <c r="J270">
        <f>-299.406*$J$267</f>
        <v>0</v>
      </c>
      <c r="K270">
        <f>399.208*$K$267</f>
        <v>0</v>
      </c>
      <c r="L270">
        <f>0.174*$L$267</f>
        <v>0</v>
      </c>
      <c r="M270">
        <f>0+D270+E270+G270+H270+I270+J270+K270+L270</f>
        <v>0</v>
      </c>
      <c r="N270">
        <f>0+D270+F270+G270+H270+I270+J270+K270+L270</f>
        <v>0</v>
      </c>
    </row>
    <row r="271" spans="3:14">
      <c r="C271" t="s">
        <v>17</v>
      </c>
      <c r="D271">
        <f>-11.708*$D$267</f>
        <v>0</v>
      </c>
      <c r="E271">
        <f>403.822*$E$267</f>
        <v>0</v>
      </c>
      <c r="F271">
        <f>-412.342*$F$267</f>
        <v>0</v>
      </c>
      <c r="G271">
        <f>-23.124*$G$267</f>
        <v>0</v>
      </c>
      <c r="H271">
        <f>0*$H$267</f>
        <v>0</v>
      </c>
      <c r="I271">
        <f>-0.3*$I$267</f>
        <v>0</v>
      </c>
      <c r="J271">
        <f>-148.729*$J$267</f>
        <v>0</v>
      </c>
      <c r="K271">
        <f>198.306*$K$267</f>
        <v>0</v>
      </c>
      <c r="L271">
        <f>0.163*$L$267</f>
        <v>0</v>
      </c>
      <c r="M271">
        <f>0+D271+E271+G271+H271+I271+J271+K271+L271</f>
        <v>0</v>
      </c>
      <c r="N271">
        <f>0+D271+F271+G271+H271+I271+J271+K271+L271</f>
        <v>0</v>
      </c>
    </row>
    <row r="272" spans="3:14">
      <c r="C272" t="s">
        <v>18</v>
      </c>
      <c r="D272">
        <f>-23.616*$D$267</f>
        <v>0</v>
      </c>
      <c r="E272">
        <f>374.831*$E$267</f>
        <v>0</v>
      </c>
      <c r="F272">
        <f>-406.151*$F$267</f>
        <v>0</v>
      </c>
      <c r="G272">
        <f>-19.112*$G$267</f>
        <v>0</v>
      </c>
      <c r="H272">
        <f>0*$H$267</f>
        <v>0</v>
      </c>
      <c r="I272">
        <f>-2.361*$I$267</f>
        <v>0</v>
      </c>
      <c r="J272">
        <f>-78.423*$J$267</f>
        <v>0</v>
      </c>
      <c r="K272">
        <f>104.564*$K$267</f>
        <v>0</v>
      </c>
      <c r="L272">
        <f>0.154*$L$267</f>
        <v>0</v>
      </c>
      <c r="M272">
        <f>0+D272+E272+G272+H272+I272+J272+K272+L272</f>
        <v>0</v>
      </c>
      <c r="N272">
        <f>0+D272+F272+G272+H272+I272+J272+K272+L272</f>
        <v>0</v>
      </c>
    </row>
    <row r="273" spans="3:14">
      <c r="C273" t="s">
        <v>19</v>
      </c>
      <c r="D273">
        <f>-43.787*$D$267</f>
        <v>0</v>
      </c>
      <c r="E273">
        <f>353.354*$E$267</f>
        <v>0</v>
      </c>
      <c r="F273">
        <f>-416.817*$F$267</f>
        <v>0</v>
      </c>
      <c r="G273">
        <f>-13.856*$G$267</f>
        <v>0</v>
      </c>
      <c r="H273">
        <f>0*$H$267</f>
        <v>0</v>
      </c>
      <c r="I273">
        <f>-5.695*$I$267</f>
        <v>0</v>
      </c>
      <c r="J273">
        <f>-77.656*$J$267</f>
        <v>0</v>
      </c>
      <c r="K273">
        <f>103.541*$K$267</f>
        <v>0</v>
      </c>
      <c r="L273">
        <f>0.146*$L$267</f>
        <v>0</v>
      </c>
      <c r="M273">
        <f>0+D273+E273+G273+H273+I273+J273+K273+L273</f>
        <v>0</v>
      </c>
      <c r="N273">
        <f>0+D273+F273+G273+H273+I273+J273+K273+L273</f>
        <v>0</v>
      </c>
    </row>
    <row r="274" spans="3:14">
      <c r="C274" t="s">
        <v>20</v>
      </c>
      <c r="D274">
        <f>-65.164*$D$267</f>
        <v>0</v>
      </c>
      <c r="E274">
        <f>330.409*$E$267</f>
        <v>0</v>
      </c>
      <c r="F274">
        <f>-425.21*$F$267</f>
        <v>0</v>
      </c>
      <c r="G274">
        <f>-8.95*$G$267</f>
        <v>0</v>
      </c>
      <c r="H274">
        <f>0*$H$267</f>
        <v>0</v>
      </c>
      <c r="I274">
        <f>-9.139*$I$267</f>
        <v>0</v>
      </c>
      <c r="J274">
        <f>-94.157*$J$267</f>
        <v>0</v>
      </c>
      <c r="K274">
        <f>125.543*$K$267</f>
        <v>0</v>
      </c>
      <c r="L274">
        <f>0.133*$L$267</f>
        <v>0</v>
      </c>
      <c r="M274">
        <f>0+D274+E274+G274+H274+I274+J274+K274+L274</f>
        <v>0</v>
      </c>
      <c r="N274">
        <f>0+D274+F274+G274+H274+I274+J274+K274+L274</f>
        <v>0</v>
      </c>
    </row>
    <row r="275" spans="3:14">
      <c r="C275" t="s">
        <v>21</v>
      </c>
      <c r="D275">
        <f>-64.31*$D$267</f>
        <v>0</v>
      </c>
      <c r="E275">
        <f>320.684*$E$267</f>
        <v>0</v>
      </c>
      <c r="F275">
        <f>-414.988*$F$267</f>
        <v>0</v>
      </c>
      <c r="G275">
        <f>-6.916*$G$267</f>
        <v>0</v>
      </c>
      <c r="H275">
        <f>0*$H$267</f>
        <v>0</v>
      </c>
      <c r="I275">
        <f>-9.119*$I$267</f>
        <v>0</v>
      </c>
      <c r="J275">
        <f>-77.267*$J$267</f>
        <v>0</v>
      </c>
      <c r="K275">
        <f>103.023*$K$267</f>
        <v>0</v>
      </c>
      <c r="L275">
        <f>0.129*$L$267</f>
        <v>0</v>
      </c>
      <c r="M275">
        <f>0+D275+E275+G275+H275+I275+J275+K275+L275</f>
        <v>0</v>
      </c>
      <c r="N275">
        <f>0+D275+F275+G275+H275+I275+J275+K275+L275</f>
        <v>0</v>
      </c>
    </row>
    <row r="276" spans="3:14">
      <c r="C276" t="s">
        <v>22</v>
      </c>
      <c r="D276">
        <f>-66.495*$D$267</f>
        <v>0</v>
      </c>
      <c r="E276">
        <f>301.362*$E$267</f>
        <v>0</v>
      </c>
      <c r="F276">
        <f>-397.205*$F$267</f>
        <v>0</v>
      </c>
      <c r="G276">
        <f>-7.74*$G$267</f>
        <v>0</v>
      </c>
      <c r="H276">
        <f>0*$H$267</f>
        <v>0</v>
      </c>
      <c r="I276">
        <f>-9.397*$I$267</f>
        <v>0</v>
      </c>
      <c r="J276">
        <f>-29.734*$J$267</f>
        <v>0</v>
      </c>
      <c r="K276">
        <f>39.646*$K$267</f>
        <v>0</v>
      </c>
      <c r="L276">
        <f>0.119*$L$267</f>
        <v>0</v>
      </c>
      <c r="M276">
        <f>0+D276+E276+G276+H276+I276+J276+K276+L276</f>
        <v>0</v>
      </c>
      <c r="N276">
        <f>0+D276+F276+G276+H276+I276+J276+K276+L276</f>
        <v>0</v>
      </c>
    </row>
    <row r="277" spans="3:14">
      <c r="C277" t="s">
        <v>23</v>
      </c>
      <c r="D277">
        <f>-76.581*$D$267</f>
        <v>0</v>
      </c>
      <c r="E277">
        <f>285.172*$E$267</f>
        <v>0</v>
      </c>
      <c r="F277">
        <f>-390.611*$F$267</f>
        <v>0</v>
      </c>
      <c r="G277">
        <f>-7.211*$G$267</f>
        <v>0</v>
      </c>
      <c r="H277">
        <f>0*$H$267</f>
        <v>0</v>
      </c>
      <c r="I277">
        <f>-10.935*$I$267</f>
        <v>0</v>
      </c>
      <c r="J277">
        <f>-10.779*$J$267</f>
        <v>0</v>
      </c>
      <c r="K277">
        <f>14.372*$K$267</f>
        <v>0</v>
      </c>
      <c r="L277">
        <f>0.113*$L$267</f>
        <v>0</v>
      </c>
      <c r="M277">
        <f>0+D277+E277+G277+H277+I277+J277+K277+L277</f>
        <v>0</v>
      </c>
      <c r="N277">
        <f>0+D277+F277+G277+H277+I277+J277+K277+L277</f>
        <v>0</v>
      </c>
    </row>
    <row r="278" spans="3:14">
      <c r="C278" t="s">
        <v>24</v>
      </c>
      <c r="D278">
        <f>-81.534*$D$267</f>
        <v>0</v>
      </c>
      <c r="E278">
        <f>266.484*$E$267</f>
        <v>0</v>
      </c>
      <c r="F278">
        <f>-380.833*$F$267</f>
        <v>0</v>
      </c>
      <c r="G278">
        <f>-2.409*$G$267</f>
        <v>0</v>
      </c>
      <c r="H278">
        <f>0*$H$267</f>
        <v>0</v>
      </c>
      <c r="I278">
        <f>-11.94*$I$267</f>
        <v>0</v>
      </c>
      <c r="J278">
        <f>-23.45*$J$267</f>
        <v>0</v>
      </c>
      <c r="K278">
        <f>31.266*$K$267</f>
        <v>0</v>
      </c>
      <c r="L278">
        <f>0.105*$L$267</f>
        <v>0</v>
      </c>
      <c r="M278">
        <f>0+D278+E278+G278+H278+I278+J278+K278+L278</f>
        <v>0</v>
      </c>
      <c r="N278">
        <f>0+D278+F278+G278+H278+I278+J278+K278+L278</f>
        <v>0</v>
      </c>
    </row>
    <row r="279" spans="3:14">
      <c r="C279" t="s">
        <v>25</v>
      </c>
      <c r="D279">
        <f>-90.872*$D$267</f>
        <v>0</v>
      </c>
      <c r="E279">
        <f>245.742*$E$267</f>
        <v>0</v>
      </c>
      <c r="F279">
        <f>-375.343*$F$267</f>
        <v>0</v>
      </c>
      <c r="G279">
        <f>1.45*$G$267</f>
        <v>0</v>
      </c>
      <c r="H279">
        <f>0*$H$267</f>
        <v>0</v>
      </c>
      <c r="I279">
        <f>-13.52*$I$267</f>
        <v>0</v>
      </c>
      <c r="J279">
        <f>-40.403*$J$267</f>
        <v>0</v>
      </c>
      <c r="K279">
        <f>53.87*$K$267</f>
        <v>0</v>
      </c>
      <c r="L279">
        <f>0.092*$L$267</f>
        <v>0</v>
      </c>
      <c r="M279">
        <f>0+D279+E279+G279+H279+I279+J279+K279+L279</f>
        <v>0</v>
      </c>
      <c r="N279">
        <f>0+D279+F279+G279+H279+I279+J279+K279+L279</f>
        <v>0</v>
      </c>
    </row>
    <row r="280" spans="3:14">
      <c r="C280" t="s">
        <v>26</v>
      </c>
      <c r="D280">
        <f>-94.848*$D$267</f>
        <v>0</v>
      </c>
      <c r="E280">
        <f>224.691*$E$267</f>
        <v>0</v>
      </c>
      <c r="F280">
        <f>-354.062*$F$267</f>
        <v>0</v>
      </c>
      <c r="G280">
        <f>0.095*$G$267</f>
        <v>0</v>
      </c>
      <c r="H280">
        <f>0*$H$267</f>
        <v>0</v>
      </c>
      <c r="I280">
        <f>-13.981*$I$267</f>
        <v>0</v>
      </c>
      <c r="J280">
        <f>-30.947*$J$267</f>
        <v>0</v>
      </c>
      <c r="K280">
        <f>41.263*$K$267</f>
        <v>0</v>
      </c>
      <c r="L280">
        <f>0.088*$L$267</f>
        <v>0</v>
      </c>
      <c r="M280">
        <f>0+D280+E280+G280+H280+I280+J280+K280+L280</f>
        <v>0</v>
      </c>
      <c r="N280">
        <f>0+D280+F280+G280+H280+I280+J280+K280+L280</f>
        <v>0</v>
      </c>
    </row>
    <row r="281" spans="3:14">
      <c r="C281" t="s">
        <v>27</v>
      </c>
      <c r="D281">
        <f>-96.199*$D$267</f>
        <v>0</v>
      </c>
      <c r="E281">
        <f>197.864*$E$267</f>
        <v>0</v>
      </c>
      <c r="F281">
        <f>-321.472*$F$267</f>
        <v>0</v>
      </c>
      <c r="G281">
        <f>-4.815*$G$267</f>
        <v>0</v>
      </c>
      <c r="H281">
        <f>0*$H$267</f>
        <v>0</v>
      </c>
      <c r="I281">
        <f>-13.864*$I$267</f>
        <v>0</v>
      </c>
      <c r="J281">
        <f>-1.85*$J$267</f>
        <v>0</v>
      </c>
      <c r="K281">
        <f>2.467*$K$267</f>
        <v>0</v>
      </c>
      <c r="L281">
        <f>0.078*$L$267</f>
        <v>0</v>
      </c>
      <c r="M281">
        <f>0+D281+E281+G281+H281+I281+J281+K281+L281</f>
        <v>0</v>
      </c>
      <c r="N281">
        <f>0+D281+F281+G281+H281+I281+J281+K281+L281</f>
        <v>0</v>
      </c>
    </row>
    <row r="282" spans="3:14">
      <c r="C282" t="s">
        <v>28</v>
      </c>
      <c r="D282">
        <f>-102.977*$D$267</f>
        <v>0</v>
      </c>
      <c r="E282">
        <f>170.549*$E$267</f>
        <v>0</v>
      </c>
      <c r="F282">
        <f>-302.423*$F$267</f>
        <v>0</v>
      </c>
      <c r="G282">
        <f>-7.187*$G$267</f>
        <v>0</v>
      </c>
      <c r="H282">
        <f>0*$H$267</f>
        <v>0</v>
      </c>
      <c r="I282">
        <f>-14.723*$I$267</f>
        <v>0</v>
      </c>
      <c r="J282">
        <f>6.903*$J$267</f>
        <v>0</v>
      </c>
      <c r="K282">
        <f>-9.204*$K$267</f>
        <v>0</v>
      </c>
      <c r="L282">
        <f>0.069*$L$267</f>
        <v>0</v>
      </c>
      <c r="M282">
        <f>0+D282+E282+G282+H282+I282+J282+K282+L282</f>
        <v>0</v>
      </c>
      <c r="N282">
        <f>0+D282+F282+G282+H282+I282+J282+K282+L282</f>
        <v>0</v>
      </c>
    </row>
    <row r="283" spans="3:14">
      <c r="C283" t="s">
        <v>29</v>
      </c>
      <c r="D283">
        <f>-99.845*$D$267</f>
        <v>0</v>
      </c>
      <c r="E283">
        <f>148.653*$E$267</f>
        <v>0</v>
      </c>
      <c r="F283">
        <f>-279.913*$F$267</f>
        <v>0</v>
      </c>
      <c r="G283">
        <f>-4.388*$G$267</f>
        <v>0</v>
      </c>
      <c r="H283">
        <f>0*$H$267</f>
        <v>0</v>
      </c>
      <c r="I283">
        <f>-14.421*$I$267</f>
        <v>0</v>
      </c>
      <c r="J283">
        <f>-10.999*$J$267</f>
        <v>0</v>
      </c>
      <c r="K283">
        <f>14.665*$K$267</f>
        <v>0</v>
      </c>
      <c r="L283">
        <f>0.061*$L$267</f>
        <v>0</v>
      </c>
      <c r="M283">
        <f>0+D283+E283+G283+H283+I283+J283+K283+L283</f>
        <v>0</v>
      </c>
      <c r="N283">
        <f>0+D283+F283+G283+H283+I283+J283+K283+L283</f>
        <v>0</v>
      </c>
    </row>
    <row r="284" spans="3:14">
      <c r="C284" t="s">
        <v>30</v>
      </c>
      <c r="D284">
        <f>-103.166*$D$267</f>
        <v>0</v>
      </c>
      <c r="E284">
        <f>129.894*$E$267</f>
        <v>0</v>
      </c>
      <c r="F284">
        <f>-266.507*$F$267</f>
        <v>0</v>
      </c>
      <c r="G284">
        <f>-2.455*$G$267</f>
        <v>0</v>
      </c>
      <c r="H284">
        <f>0*$H$267</f>
        <v>0</v>
      </c>
      <c r="I284">
        <f>-15.018*$I$267</f>
        <v>0</v>
      </c>
      <c r="J284">
        <f>-31.289*$J$267</f>
        <v>0</v>
      </c>
      <c r="K284">
        <f>41.718*$K$267</f>
        <v>0</v>
      </c>
      <c r="L284">
        <f>0.044*$L$267</f>
        <v>0</v>
      </c>
      <c r="M284">
        <f>0+D284+E284+G284+H284+I284+J284+K284+L284</f>
        <v>0</v>
      </c>
      <c r="N284">
        <f>0+D284+F284+G284+H284+I284+J284+K284+L284</f>
        <v>0</v>
      </c>
    </row>
    <row r="285" spans="3:14">
      <c r="C285" t="s">
        <v>31</v>
      </c>
      <c r="D285">
        <f>-111.791*$D$267</f>
        <v>0</v>
      </c>
      <c r="E285">
        <f>98.445*$E$267</f>
        <v>0</v>
      </c>
      <c r="F285">
        <f>-243.206*$F$267</f>
        <v>0</v>
      </c>
      <c r="G285">
        <f>-4.754*$G$267</f>
        <v>0</v>
      </c>
      <c r="H285">
        <f>0*$H$267</f>
        <v>0</v>
      </c>
      <c r="I285">
        <f>-16.102*$I$267</f>
        <v>0</v>
      </c>
      <c r="J285">
        <f>-19.971*$J$267</f>
        <v>0</v>
      </c>
      <c r="K285">
        <f>26.628*$K$267</f>
        <v>0</v>
      </c>
      <c r="L285">
        <f>0.042*$L$267</f>
        <v>0</v>
      </c>
      <c r="M285">
        <f>0+D285+E285+G285+H285+I285+J285+K285+L285</f>
        <v>0</v>
      </c>
      <c r="N285">
        <f>0+D285+F285+G285+H285+I285+J285+K285+L285</f>
        <v>0</v>
      </c>
    </row>
    <row r="286" spans="3:14">
      <c r="C286" t="s">
        <v>32</v>
      </c>
      <c r="D286">
        <f>-96.347*$D$267</f>
        <v>0</v>
      </c>
      <c r="E286">
        <f>74.65*$E$267</f>
        <v>0</v>
      </c>
      <c r="F286">
        <f>-190.964*$F$267</f>
        <v>0</v>
      </c>
      <c r="G286">
        <f>-8.447*$G$267</f>
        <v>0</v>
      </c>
      <c r="H286">
        <f>0*$H$267</f>
        <v>0</v>
      </c>
      <c r="I286">
        <f>-13.571*$I$267</f>
        <v>0</v>
      </c>
      <c r="J286">
        <f>8.511*$J$267</f>
        <v>0</v>
      </c>
      <c r="K286">
        <f>-11.348*$K$267</f>
        <v>0</v>
      </c>
      <c r="L286">
        <f>0.034*$L$267</f>
        <v>0</v>
      </c>
      <c r="M286">
        <f>0+D286+E286+G286+H286+I286+J286+K286+L286</f>
        <v>0</v>
      </c>
      <c r="N286">
        <f>0+D286+F286+G286+H286+I286+J286+K286+L286</f>
        <v>0</v>
      </c>
    </row>
    <row r="287" spans="3:14">
      <c r="C287" t="s">
        <v>33</v>
      </c>
      <c r="D287">
        <f>-85.542*$D$267</f>
        <v>0</v>
      </c>
      <c r="E287">
        <f>48.107*$E$267</f>
        <v>0</v>
      </c>
      <c r="F287">
        <f>-146.415*$F$267</f>
        <v>0</v>
      </c>
      <c r="G287">
        <f>-10.383*$G$267</f>
        <v>0</v>
      </c>
      <c r="H287">
        <f>0*$H$267</f>
        <v>0</v>
      </c>
      <c r="I287">
        <f>-11.863*$I$267</f>
        <v>0</v>
      </c>
      <c r="J287">
        <f>5.11*$J$267</f>
        <v>0</v>
      </c>
      <c r="K287">
        <f>-6.814*$K$267</f>
        <v>0</v>
      </c>
      <c r="L287">
        <f>0.026*$L$267</f>
        <v>0</v>
      </c>
      <c r="M287">
        <f>0+D287+E287+G287+H287+I287+J287+K287+L287</f>
        <v>0</v>
      </c>
      <c r="N287">
        <f>0+D287+F287+G287+H287+I287+J287+K287+L287</f>
        <v>0</v>
      </c>
    </row>
    <row r="288" spans="3:14">
      <c r="C288" t="s">
        <v>34</v>
      </c>
      <c r="D288">
        <f>-68.167*$D$267</f>
        <v>0</v>
      </c>
      <c r="E288">
        <f>23.348*$E$267</f>
        <v>0</v>
      </c>
      <c r="F288">
        <f>-103.893*$F$267</f>
        <v>0</v>
      </c>
      <c r="G288">
        <f>-9.215*$G$267</f>
        <v>0</v>
      </c>
      <c r="H288">
        <f>0*$H$267</f>
        <v>0</v>
      </c>
      <c r="I288">
        <f>-9.45*$I$267</f>
        <v>0</v>
      </c>
      <c r="J288">
        <f>-42.509*$J$267</f>
        <v>0</v>
      </c>
      <c r="K288">
        <f>56.678*$K$267</f>
        <v>0</v>
      </c>
      <c r="L288">
        <f>0.016*$L$267</f>
        <v>0</v>
      </c>
      <c r="M288">
        <f>0+D288+E288+G288+H288+I288+J288+K288+L288</f>
        <v>0</v>
      </c>
      <c r="N288">
        <f>0+D288+F288+G288+H288+I288+J288+K288+L288</f>
        <v>0</v>
      </c>
    </row>
    <row r="289" spans="3:14">
      <c r="C289" t="s">
        <v>35</v>
      </c>
      <c r="D289">
        <f>-19.908*$D$267</f>
        <v>0</v>
      </c>
      <c r="E289">
        <f>12.605*$E$267</f>
        <v>0</v>
      </c>
      <c r="F289">
        <f>-33.311*$F$267</f>
        <v>0</v>
      </c>
      <c r="G289">
        <f>-3.335*$G$267</f>
        <v>0</v>
      </c>
      <c r="H289">
        <f>0*$H$267</f>
        <v>0</v>
      </c>
      <c r="I289">
        <f>-2.713*$I$267</f>
        <v>0</v>
      </c>
      <c r="J289">
        <f>-108.088*$J$267</f>
        <v>0</v>
      </c>
      <c r="K289">
        <f>144.118*$K$267</f>
        <v>0</v>
      </c>
      <c r="L289">
        <f>0.002315*$L$267</f>
        <v>0</v>
      </c>
      <c r="M289">
        <f>0+D289+E289+G289+H289+I289+J289+K289+L289</f>
        <v>0</v>
      </c>
      <c r="N289">
        <f>0+D289+F289+G289+H289+I289+J289+K289+L289</f>
        <v>0</v>
      </c>
    </row>
    <row r="290" spans="3:14">
      <c r="C290" t="s">
        <v>36</v>
      </c>
      <c r="D290">
        <f>-17.981*$D$267</f>
        <v>0</v>
      </c>
      <c r="E290">
        <f>5.432*$E$267</f>
        <v>0</v>
      </c>
      <c r="F290">
        <f>-25.387*$F$267</f>
        <v>0</v>
      </c>
      <c r="G290">
        <f>-2.14*$G$267</f>
        <v>0</v>
      </c>
      <c r="H290">
        <f>0*$H$267</f>
        <v>0</v>
      </c>
      <c r="I290">
        <f>-2.544*$I$267</f>
        <v>0</v>
      </c>
      <c r="J290">
        <f>-131.116*$J$267</f>
        <v>0</v>
      </c>
      <c r="K290">
        <f>174.821*$K$267</f>
        <v>0</v>
      </c>
      <c r="L290">
        <f>0.005506*$L$267</f>
        <v>0</v>
      </c>
      <c r="M290">
        <f>0+D290+E290+G290+H290+I290+J290+K290+L290</f>
        <v>0</v>
      </c>
      <c r="N290">
        <f>0+D290+F290+G290+H290+I290+J290+K290+L290</f>
        <v>0</v>
      </c>
    </row>
    <row r="291" spans="3:14">
      <c r="C291" t="s">
        <v>36</v>
      </c>
      <c r="D291">
        <f>-19.75*$D$267</f>
        <v>0</v>
      </c>
      <c r="E291">
        <f>1.884*$E$267</f>
        <v>0</v>
      </c>
      <c r="F291">
        <f>-29.258*$F$267</f>
        <v>0</v>
      </c>
      <c r="G291">
        <f>-1.849*$G$267</f>
        <v>0</v>
      </c>
      <c r="H291">
        <f>0*$H$267</f>
        <v>0</v>
      </c>
      <c r="I291">
        <f>-2.814*$I$267</f>
        <v>0</v>
      </c>
      <c r="J291">
        <f>-127.97*$J$267</f>
        <v>0</v>
      </c>
      <c r="K291">
        <f>170.627*$K$267</f>
        <v>0</v>
      </c>
      <c r="L291">
        <f>-0.587*$L$267</f>
        <v>0</v>
      </c>
      <c r="M291">
        <f>0+D291+E291+G291+H291+I291+J291+K291+L291</f>
        <v>0</v>
      </c>
      <c r="N291">
        <f>0+D291+F291+G291+H291+I291+J291+K291+L291</f>
        <v>0</v>
      </c>
    </row>
    <row r="292" spans="3:14">
      <c r="C292" t="s">
        <v>37</v>
      </c>
      <c r="D292">
        <f>-19.75*$D$267</f>
        <v>0</v>
      </c>
      <c r="E292">
        <f>1.884*$E$267</f>
        <v>0</v>
      </c>
      <c r="F292">
        <f>-29.258*$F$267</f>
        <v>0</v>
      </c>
      <c r="G292">
        <f>-1.849*$G$267</f>
        <v>0</v>
      </c>
      <c r="H292">
        <f>0*$H$267</f>
        <v>0</v>
      </c>
      <c r="I292">
        <f>-2.814*$I$267</f>
        <v>0</v>
      </c>
      <c r="J292">
        <f>-127.97*$J$267</f>
        <v>0</v>
      </c>
      <c r="K292">
        <f>170.627*$K$267</f>
        <v>0</v>
      </c>
      <c r="L292">
        <f>-0.587*$L$267</f>
        <v>0</v>
      </c>
      <c r="M292">
        <f>0+D292+E292+G292+H292+I292+J292+K292+L292</f>
        <v>0</v>
      </c>
      <c r="N292">
        <f>0+D292+F292+G292+H292+I292+J292+K292+L292</f>
        <v>0</v>
      </c>
    </row>
    <row r="293" spans="3:14">
      <c r="C293" t="s">
        <v>38</v>
      </c>
      <c r="D293">
        <f>-5.775*$D$267</f>
        <v>0</v>
      </c>
      <c r="E293">
        <f>45.531*$E$267</f>
        <v>0</v>
      </c>
      <c r="F293">
        <f>-49.755*$F$267</f>
        <v>0</v>
      </c>
      <c r="G293">
        <f>-6.337*$G$267</f>
        <v>0</v>
      </c>
      <c r="H293">
        <f>0*$H$267</f>
        <v>0</v>
      </c>
      <c r="I293">
        <f>-0.442*$I$267</f>
        <v>0</v>
      </c>
      <c r="J293">
        <f>-108.574*$J$267</f>
        <v>0</v>
      </c>
      <c r="K293">
        <f>144.765*$K$267</f>
        <v>0</v>
      </c>
      <c r="L293">
        <f>3.658*$L$267</f>
        <v>0</v>
      </c>
      <c r="M293">
        <f>0+D293+E293+G293+H293+I293+J293+K293+L293</f>
        <v>0</v>
      </c>
      <c r="N293">
        <f>0+D293+F293+G293+H293+I293+J293+K293+L293</f>
        <v>0</v>
      </c>
    </row>
    <row r="294" spans="3:14">
      <c r="C294" t="s">
        <v>39</v>
      </c>
      <c r="D294">
        <f>-52.764*$D$267</f>
        <v>0</v>
      </c>
      <c r="E294">
        <f>27.853*$E$267</f>
        <v>0</v>
      </c>
      <c r="F294">
        <f>-97.709*$F$267</f>
        <v>0</v>
      </c>
      <c r="G294">
        <f>-11.494*$G$267</f>
        <v>0</v>
      </c>
      <c r="H294">
        <f>0*$H$267</f>
        <v>0</v>
      </c>
      <c r="I294">
        <f>-7.011*$I$267</f>
        <v>0</v>
      </c>
      <c r="J294">
        <f>-40.294*$J$267</f>
        <v>0</v>
      </c>
      <c r="K294">
        <f>53.726*$K$267</f>
        <v>0</v>
      </c>
      <c r="L294">
        <f>2.942*$L$267</f>
        <v>0</v>
      </c>
      <c r="M294">
        <f>0+D294+E294+G294+H294+I294+J294+K294+L294</f>
        <v>0</v>
      </c>
      <c r="N294">
        <f>0+D294+F294+G294+H294+I294+J294+K294+L294</f>
        <v>0</v>
      </c>
    </row>
    <row r="295" spans="3:14">
      <c r="C295" t="s">
        <v>40</v>
      </c>
      <c r="D295">
        <f>-67.316*$D$267</f>
        <v>0</v>
      </c>
      <c r="E295">
        <f>32.819*$E$267</f>
        <v>0</v>
      </c>
      <c r="F295">
        <f>-121.768*$F$267</f>
        <v>0</v>
      </c>
      <c r="G295">
        <f>-10.713*$G$267</f>
        <v>0</v>
      </c>
      <c r="H295">
        <f>0*$H$267</f>
        <v>0</v>
      </c>
      <c r="I295">
        <f>-9.153*$I$267</f>
        <v>0</v>
      </c>
      <c r="J295">
        <f>-15.864*$J$267</f>
        <v>0</v>
      </c>
      <c r="K295">
        <f>21.151*$K$267</f>
        <v>0</v>
      </c>
      <c r="L295">
        <f>2.267*$L$267</f>
        <v>0</v>
      </c>
      <c r="M295">
        <f>0+D295+E295+G295+H295+I295+J295+K295+L295</f>
        <v>0</v>
      </c>
      <c r="N295">
        <f>0+D295+F295+G295+H295+I295+J295+K295+L295</f>
        <v>0</v>
      </c>
    </row>
    <row r="296" spans="3:14">
      <c r="C296" t="s">
        <v>41</v>
      </c>
      <c r="D296">
        <f>-78.037*$D$267</f>
        <v>0</v>
      </c>
      <c r="E296">
        <f>44.166*$E$267</f>
        <v>0</v>
      </c>
      <c r="F296">
        <f>-152.328*$F$267</f>
        <v>0</v>
      </c>
      <c r="G296">
        <f>-7.14*$G$267</f>
        <v>0</v>
      </c>
      <c r="H296">
        <f>0*$H$267</f>
        <v>0</v>
      </c>
      <c r="I296">
        <f>-10.967*$I$267</f>
        <v>0</v>
      </c>
      <c r="J296">
        <f>-31.426*$J$267</f>
        <v>0</v>
      </c>
      <c r="K296">
        <f>41.901*$K$267</f>
        <v>0</v>
      </c>
      <c r="L296">
        <f>1.436*$L$267</f>
        <v>0</v>
      </c>
      <c r="M296">
        <f>0+D296+E296+G296+H296+I296+J296+K296+L296</f>
        <v>0</v>
      </c>
      <c r="N296">
        <f>0+D296+F296+G296+H296+I296+J296+K296+L296</f>
        <v>0</v>
      </c>
    </row>
    <row r="297" spans="3:14">
      <c r="C297" t="s">
        <v>42</v>
      </c>
      <c r="D297">
        <f>-96.15*$D$267</f>
        <v>0</v>
      </c>
      <c r="E297">
        <f>48.138*$E$267</f>
        <v>0</v>
      </c>
      <c r="F297">
        <f>-183.589*$F$267</f>
        <v>0</v>
      </c>
      <c r="G297">
        <f>-4.624*$G$267</f>
        <v>0</v>
      </c>
      <c r="H297">
        <f>0*$H$267</f>
        <v>0</v>
      </c>
      <c r="I297">
        <f>-13.791*$I$267</f>
        <v>0</v>
      </c>
      <c r="J297">
        <f>-53.977*$J$267</f>
        <v>0</v>
      </c>
      <c r="K297">
        <f>71.969*$K$267</f>
        <v>0</v>
      </c>
      <c r="L297">
        <f>0.361*$L$267</f>
        <v>0</v>
      </c>
      <c r="M297">
        <f>0+D297+E297+G297+H297+I297+J297+K297+L297</f>
        <v>0</v>
      </c>
      <c r="N297">
        <f>0+D297+F297+G297+H297+I297+J297+K297+L297</f>
        <v>0</v>
      </c>
    </row>
    <row r="298" spans="3:14">
      <c r="C298" t="s">
        <v>43</v>
      </c>
      <c r="D298">
        <f>-91.926*$D$267</f>
        <v>0</v>
      </c>
      <c r="E298">
        <f>57.352*$E$267</f>
        <v>0</v>
      </c>
      <c r="F298">
        <f>-186.257*$F$267</f>
        <v>0</v>
      </c>
      <c r="G298">
        <f>-4.614*$G$267</f>
        <v>0</v>
      </c>
      <c r="H298">
        <f>0*$H$267</f>
        <v>0</v>
      </c>
      <c r="I298">
        <f>-13.152*$I$267</f>
        <v>0</v>
      </c>
      <c r="J298">
        <f>-51.377*$J$267</f>
        <v>0</v>
      </c>
      <c r="K298">
        <f>68.502*$K$267</f>
        <v>0</v>
      </c>
      <c r="L298">
        <f>-0.492*$L$267</f>
        <v>0</v>
      </c>
      <c r="M298">
        <f>0+D298+E298+G298+H298+I298+J298+K298+L298</f>
        <v>0</v>
      </c>
      <c r="N298">
        <f>0+D298+F298+G298+H298+I298+J298+K298+L298</f>
        <v>0</v>
      </c>
    </row>
    <row r="299" spans="3:14">
      <c r="C299" t="s">
        <v>44</v>
      </c>
      <c r="D299">
        <f>-94.59*$D$267</f>
        <v>0</v>
      </c>
      <c r="E299">
        <f>53.871*$E$267</f>
        <v>0</v>
      </c>
      <c r="F299">
        <f>-180.933*$F$267</f>
        <v>0</v>
      </c>
      <c r="G299">
        <f>-7.771*$G$267</f>
        <v>0</v>
      </c>
      <c r="H299">
        <f>0*$H$267</f>
        <v>0</v>
      </c>
      <c r="I299">
        <f>-13.332*$I$267</f>
        <v>0</v>
      </c>
      <c r="J299">
        <f>-23.767*$J$267</f>
        <v>0</v>
      </c>
      <c r="K299">
        <f>31.69*$K$267</f>
        <v>0</v>
      </c>
      <c r="L299">
        <f>-1.679*$L$267</f>
        <v>0</v>
      </c>
      <c r="M299">
        <f>0+D299+E299+G299+H299+I299+J299+K299+L299</f>
        <v>0</v>
      </c>
      <c r="N299">
        <f>0+D299+F299+G299+H299+I299+J299+K299+L299</f>
        <v>0</v>
      </c>
    </row>
    <row r="300" spans="3:14">
      <c r="C300" t="s">
        <v>45</v>
      </c>
      <c r="D300">
        <f>-103.556*$D$267</f>
        <v>0</v>
      </c>
      <c r="E300">
        <f>54.901*$E$267</f>
        <v>0</v>
      </c>
      <c r="F300">
        <f>-190.095*$F$267</f>
        <v>0</v>
      </c>
      <c r="G300">
        <f>-8.64*$G$267</f>
        <v>0</v>
      </c>
      <c r="H300">
        <f>0*$H$267</f>
        <v>0</v>
      </c>
      <c r="I300">
        <f>-14.616*$I$267</f>
        <v>0</v>
      </c>
      <c r="J300">
        <f>-17.491*$J$267</f>
        <v>0</v>
      </c>
      <c r="K300">
        <f>23.322*$K$267</f>
        <v>0</v>
      </c>
      <c r="L300">
        <f>-2.769*$L$267</f>
        <v>0</v>
      </c>
      <c r="M300">
        <f>0+D300+E300+G300+H300+I300+J300+K300+L300</f>
        <v>0</v>
      </c>
      <c r="N300">
        <f>0+D300+F300+G300+H300+I300+J300+K300+L300</f>
        <v>0</v>
      </c>
    </row>
    <row r="301" spans="3:14">
      <c r="C301" t="s">
        <v>46</v>
      </c>
      <c r="D301">
        <f>-104.297*$D$267</f>
        <v>0</v>
      </c>
      <c r="E301">
        <f>59.817*$E$267</f>
        <v>0</v>
      </c>
      <c r="F301">
        <f>-196.759*$F$267</f>
        <v>0</v>
      </c>
      <c r="G301">
        <f>-4.306*$G$267</f>
        <v>0</v>
      </c>
      <c r="H301">
        <f>0*$H$267</f>
        <v>0</v>
      </c>
      <c r="I301">
        <f>-14.986*$I$267</f>
        <v>0</v>
      </c>
      <c r="J301">
        <f>-36.194*$J$267</f>
        <v>0</v>
      </c>
      <c r="K301">
        <f>48.259*$K$267</f>
        <v>0</v>
      </c>
      <c r="L301">
        <f>-4.136*$L$267</f>
        <v>0</v>
      </c>
      <c r="M301">
        <f>0+D301+E301+G301+H301+I301+J301+K301+L301</f>
        <v>0</v>
      </c>
      <c r="N301">
        <f>0+D301+F301+G301+H301+I301+J301+K301+L301</f>
        <v>0</v>
      </c>
    </row>
    <row r="302" spans="3:14">
      <c r="C302" t="s">
        <v>47</v>
      </c>
      <c r="D302">
        <f>-108.837*$D$267</f>
        <v>0</v>
      </c>
      <c r="E302">
        <f>63.694*$E$267</f>
        <v>0</v>
      </c>
      <c r="F302">
        <f>-211.75*$F$267</f>
        <v>0</v>
      </c>
      <c r="G302">
        <f>-0.475*$G$267</f>
        <v>0</v>
      </c>
      <c r="H302">
        <f>0*$H$267</f>
        <v>0</v>
      </c>
      <c r="I302">
        <f>-15.879*$I$267</f>
        <v>0</v>
      </c>
      <c r="J302">
        <f>-55.595*$J$267</f>
        <v>0</v>
      </c>
      <c r="K302">
        <f>74.127*$K$267</f>
        <v>0</v>
      </c>
      <c r="L302">
        <f>-5.738*$L$267</f>
        <v>0</v>
      </c>
      <c r="M302">
        <f>0+D302+E302+G302+H302+I302+J302+K302+L302</f>
        <v>0</v>
      </c>
      <c r="N302">
        <f>0+D302+F302+G302+H302+I302+J302+K302+L302</f>
        <v>0</v>
      </c>
    </row>
    <row r="303" spans="3:14">
      <c r="C303" t="s">
        <v>48</v>
      </c>
      <c r="D303">
        <f>-109.008*$D$267</f>
        <v>0</v>
      </c>
      <c r="E303">
        <f>61.552*$E$267</f>
        <v>0</v>
      </c>
      <c r="F303">
        <f>-206.808*$F$267</f>
        <v>0</v>
      </c>
      <c r="G303">
        <f>-1.813*$G$267</f>
        <v>0</v>
      </c>
      <c r="H303">
        <f>0*$H$267</f>
        <v>0</v>
      </c>
      <c r="I303">
        <f>-15.803*$I$267</f>
        <v>0</v>
      </c>
      <c r="J303">
        <f>-47.567*$J$267</f>
        <v>0</v>
      </c>
      <c r="K303">
        <f>63.423*$K$267</f>
        <v>0</v>
      </c>
      <c r="L303">
        <f>-7.113*$L$267</f>
        <v>0</v>
      </c>
      <c r="M303">
        <f>0+D303+E303+G303+H303+I303+J303+K303+L303</f>
        <v>0</v>
      </c>
      <c r="N303">
        <f>0+D303+F303+G303+H303+I303+J303+K303+L303</f>
        <v>0</v>
      </c>
    </row>
    <row r="304" spans="3:14">
      <c r="C304" t="s">
        <v>49</v>
      </c>
      <c r="D304">
        <f>-105.643*$D$267</f>
        <v>0</v>
      </c>
      <c r="E304">
        <f>53.736*$E$267</f>
        <v>0</v>
      </c>
      <c r="F304">
        <f>-189.506*$F$267</f>
        <v>0</v>
      </c>
      <c r="G304">
        <f>-6.604*$G$267</f>
        <v>0</v>
      </c>
      <c r="H304">
        <f>0*$H$267</f>
        <v>0</v>
      </c>
      <c r="I304">
        <f>-15.015*$I$267</f>
        <v>0</v>
      </c>
      <c r="J304">
        <f>-19.915*$J$267</f>
        <v>0</v>
      </c>
      <c r="K304">
        <f>26.554*$K$267</f>
        <v>0</v>
      </c>
      <c r="L304">
        <f>-8.678*$L$267</f>
        <v>0</v>
      </c>
      <c r="M304">
        <f>0+D304+E304+G304+H304+I304+J304+K304+L304</f>
        <v>0</v>
      </c>
      <c r="N304">
        <f>0+D304+F304+G304+H304+I304+J304+K304+L304</f>
        <v>0</v>
      </c>
    </row>
    <row r="305" spans="3:14">
      <c r="C305" t="s">
        <v>50</v>
      </c>
      <c r="D305">
        <f>-108.234*$D$267</f>
        <v>0</v>
      </c>
      <c r="E305">
        <f>48.595*$E$267</f>
        <v>0</v>
      </c>
      <c r="F305">
        <f>-189.314*$F$267</f>
        <v>0</v>
      </c>
      <c r="G305">
        <f>-8.681*$G$267</f>
        <v>0</v>
      </c>
      <c r="H305">
        <f>0*$H$267</f>
        <v>0</v>
      </c>
      <c r="I305">
        <f>-15.294*$I$267</f>
        <v>0</v>
      </c>
      <c r="J305">
        <f>-10.563*$J$267</f>
        <v>0</v>
      </c>
      <c r="K305">
        <f>14.084*$K$267</f>
        <v>0</v>
      </c>
      <c r="L305">
        <f>-9.724*$L$267</f>
        <v>0</v>
      </c>
      <c r="M305">
        <f>0+D305+E305+G305+H305+I305+J305+K305+L305</f>
        <v>0</v>
      </c>
      <c r="N305">
        <f>0+D305+F305+G305+H305+I305+J305+K305+L305</f>
        <v>0</v>
      </c>
    </row>
    <row r="306" spans="3:14">
      <c r="C306" t="s">
        <v>51</v>
      </c>
      <c r="D306">
        <f>-102.95*$D$267</f>
        <v>0</v>
      </c>
      <c r="E306">
        <f>48.981*$E$267</f>
        <v>0</v>
      </c>
      <c r="F306">
        <f>-187.526*$F$267</f>
        <v>0</v>
      </c>
      <c r="G306">
        <f>-5.636*$G$267</f>
        <v>0</v>
      </c>
      <c r="H306">
        <f>0*$H$267</f>
        <v>0</v>
      </c>
      <c r="I306">
        <f>-14.708*$I$267</f>
        <v>0</v>
      </c>
      <c r="J306">
        <f>-26.749*$J$267</f>
        <v>0</v>
      </c>
      <c r="K306">
        <f>35.665*$K$267</f>
        <v>0</v>
      </c>
      <c r="L306">
        <f>-9.718*$L$267</f>
        <v>0</v>
      </c>
      <c r="M306">
        <f>0+D306+E306+G306+H306+I306+J306+K306+L306</f>
        <v>0</v>
      </c>
      <c r="N306">
        <f>0+D306+F306+G306+H306+I306+J306+K306+L306</f>
        <v>0</v>
      </c>
    </row>
    <row r="307" spans="3:14">
      <c r="C307" t="s">
        <v>52</v>
      </c>
      <c r="D307">
        <f>-103.572*$D$267</f>
        <v>0</v>
      </c>
      <c r="E307">
        <f>54.32*$E$267</f>
        <v>0</v>
      </c>
      <c r="F307">
        <f>-194.964*$F$267</f>
        <v>0</v>
      </c>
      <c r="G307">
        <f>-3.3*$G$267</f>
        <v>0</v>
      </c>
      <c r="H307">
        <f>0*$H$267</f>
        <v>0</v>
      </c>
      <c r="I307">
        <f>-14.95*$I$267</f>
        <v>0</v>
      </c>
      <c r="J307">
        <f>-44.279*$J$267</f>
        <v>0</v>
      </c>
      <c r="K307">
        <f>59.039*$K$267</f>
        <v>0</v>
      </c>
      <c r="L307">
        <f>-9.868*$L$267</f>
        <v>0</v>
      </c>
      <c r="M307">
        <f>0+D307+E307+G307+H307+I307+J307+K307+L307</f>
        <v>0</v>
      </c>
      <c r="N307">
        <f>0+D307+F307+G307+H307+I307+J307+K307+L307</f>
        <v>0</v>
      </c>
    </row>
    <row r="308" spans="3:14">
      <c r="C308" t="s">
        <v>53</v>
      </c>
      <c r="D308">
        <f>-108.749*$D$267</f>
        <v>0</v>
      </c>
      <c r="E308">
        <f>42.741*$E$267</f>
        <v>0</v>
      </c>
      <c r="F308">
        <f>-187.136*$F$267</f>
        <v>0</v>
      </c>
      <c r="G308">
        <f>-5.097*$G$267</f>
        <v>0</v>
      </c>
      <c r="H308">
        <f>0*$H$267</f>
        <v>0</v>
      </c>
      <c r="I308">
        <f>-15.57*$I$267</f>
        <v>0</v>
      </c>
      <c r="J308">
        <f>-30.133*$J$267</f>
        <v>0</v>
      </c>
      <c r="K308">
        <f>40.177*$K$267</f>
        <v>0</v>
      </c>
      <c r="L308">
        <f>-11.392*$L$267</f>
        <v>0</v>
      </c>
      <c r="M308">
        <f>0+D308+E308+G308+H308+I308+J308+K308+L308</f>
        <v>0</v>
      </c>
      <c r="N308">
        <f>0+D308+F308+G308+H308+I308+J308+K308+L308</f>
        <v>0</v>
      </c>
    </row>
    <row r="309" spans="3:14">
      <c r="C309" t="s">
        <v>54</v>
      </c>
      <c r="D309">
        <f>-90.782*$D$267</f>
        <v>0</v>
      </c>
      <c r="E309">
        <f>32.148*$E$267</f>
        <v>0</v>
      </c>
      <c r="F309">
        <f>-149.967*$F$267</f>
        <v>0</v>
      </c>
      <c r="G309">
        <f>-8.407*$G$267</f>
        <v>0</v>
      </c>
      <c r="H309">
        <f>0*$H$267</f>
        <v>0</v>
      </c>
      <c r="I309">
        <f>-12.705*$I$267</f>
        <v>0</v>
      </c>
      <c r="J309">
        <f>0.836*$J$267</f>
        <v>0</v>
      </c>
      <c r="K309">
        <f>-1.115*$K$267</f>
        <v>0</v>
      </c>
      <c r="L309">
        <f>-13.526*$L$267</f>
        <v>0</v>
      </c>
      <c r="M309">
        <f>0+D309+E309+G309+H309+I309+J309+K309+L309</f>
        <v>0</v>
      </c>
      <c r="N309">
        <f>0+D309+F309+G309+H309+I309+J309+K309+L309</f>
        <v>0</v>
      </c>
    </row>
    <row r="310" spans="3:14">
      <c r="C310" t="s">
        <v>55</v>
      </c>
      <c r="D310">
        <f>-78.77*$D$267</f>
        <v>0</v>
      </c>
      <c r="E310">
        <f>21.044*$E$267</f>
        <v>0</v>
      </c>
      <c r="F310">
        <f>-118.844*$F$267</f>
        <v>0</v>
      </c>
      <c r="G310">
        <f>-10.061*$G$267</f>
        <v>0</v>
      </c>
      <c r="H310">
        <f>0*$H$267</f>
        <v>0</v>
      </c>
      <c r="I310">
        <f>-10.85*$I$267</f>
        <v>0</v>
      </c>
      <c r="J310">
        <f>0.066*$J$267</f>
        <v>0</v>
      </c>
      <c r="K310">
        <f>-0.087*$K$267</f>
        <v>0</v>
      </c>
      <c r="L310">
        <f>-13.139*$L$267</f>
        <v>0</v>
      </c>
      <c r="M310">
        <f>0+D310+E310+G310+H310+I310+J310+K310+L310</f>
        <v>0</v>
      </c>
      <c r="N310">
        <f>0+D310+F310+G310+H310+I310+J310+K310+L310</f>
        <v>0</v>
      </c>
    </row>
    <row r="311" spans="3:14">
      <c r="C311" t="s">
        <v>56</v>
      </c>
      <c r="D311">
        <f>-62.818*$D$267</f>
        <v>0</v>
      </c>
      <c r="E311">
        <f>12.31*$E$267</f>
        <v>0</v>
      </c>
      <c r="F311">
        <f>-91.104*$F$267</f>
        <v>0</v>
      </c>
      <c r="G311">
        <f>-8.861*$G$267</f>
        <v>0</v>
      </c>
      <c r="H311">
        <f>0*$H$267</f>
        <v>0</v>
      </c>
      <c r="I311">
        <f>-8.663*$I$267</f>
        <v>0</v>
      </c>
      <c r="J311">
        <f>-45.001*$J$267</f>
        <v>0</v>
      </c>
      <c r="K311">
        <f>60.001*$K$267</f>
        <v>0</v>
      </c>
      <c r="L311">
        <f>-8.833*$L$267</f>
        <v>0</v>
      </c>
      <c r="M311">
        <f>0+D311+E311+G311+H311+I311+J311+K311+L311</f>
        <v>0</v>
      </c>
      <c r="N311">
        <f>0+D311+F311+G311+H311+I311+J311+K311+L311</f>
        <v>0</v>
      </c>
    </row>
    <row r="312" spans="3:14">
      <c r="C312" t="s">
        <v>57</v>
      </c>
      <c r="D312">
        <f>-18.053*$D$267</f>
        <v>0</v>
      </c>
      <c r="E312">
        <f>8.341*$E$267</f>
        <v>0</v>
      </c>
      <c r="F312">
        <f>-29.3*$F$267</f>
        <v>0</v>
      </c>
      <c r="G312">
        <f>-3.198*$G$267</f>
        <v>0</v>
      </c>
      <c r="H312">
        <f>0*$H$267</f>
        <v>0</v>
      </c>
      <c r="I312">
        <f>-2.443*$I$267</f>
        <v>0</v>
      </c>
      <c r="J312">
        <f>-108.719*$J$267</f>
        <v>0</v>
      </c>
      <c r="K312">
        <f>144.959*$K$267</f>
        <v>0</v>
      </c>
      <c r="L312">
        <f>-3.343*$L$267</f>
        <v>0</v>
      </c>
      <c r="M312">
        <f>0+D312+E312+G312+H312+I312+J312+K312+L312</f>
        <v>0</v>
      </c>
      <c r="N312">
        <f>0+D312+F312+G312+H312+I312+J312+K312+L312</f>
        <v>0</v>
      </c>
    </row>
    <row r="313" spans="3:14">
      <c r="C313" t="s">
        <v>58</v>
      </c>
      <c r="D313">
        <f>-17.004*$D$267</f>
        <v>0</v>
      </c>
      <c r="E313">
        <f>5.526*$E$267</f>
        <v>0</v>
      </c>
      <c r="F313">
        <f>-25.158*$F$267</f>
        <v>0</v>
      </c>
      <c r="G313">
        <f>-2.05*$G$267</f>
        <v>0</v>
      </c>
      <c r="H313">
        <f>0*$H$267</f>
        <v>0</v>
      </c>
      <c r="I313">
        <f>-2.404*$I$267</f>
        <v>0</v>
      </c>
      <c r="J313">
        <f>-131.237*$J$267</f>
        <v>0</v>
      </c>
      <c r="K313">
        <f>174.982*$K$267</f>
        <v>0</v>
      </c>
      <c r="L313">
        <f>-1.124*$L$267</f>
        <v>0</v>
      </c>
      <c r="M313">
        <f>0+D313+E313+G313+H313+I313+J313+K313+L313</f>
        <v>0</v>
      </c>
      <c r="N313">
        <f>0+D313+F313+G313+H313+I313+J313+K313+L313</f>
        <v>0</v>
      </c>
    </row>
    <row r="314" spans="3:14">
      <c r="C314" t="s">
        <v>58</v>
      </c>
      <c r="D314">
        <f>-11.137*$D$267</f>
        <v>0</v>
      </c>
      <c r="E314">
        <f>1.207*$E$267</f>
        <v>0</v>
      </c>
      <c r="F314">
        <f>-20.791*$F$267</f>
        <v>0</v>
      </c>
      <c r="G314">
        <f>-1.388*$G$267</f>
        <v>0</v>
      </c>
      <c r="H314">
        <f>0*$H$267</f>
        <v>0</v>
      </c>
      <c r="I314">
        <f>-1.568*$I$267</f>
        <v>0</v>
      </c>
      <c r="J314">
        <f>-123.807*$J$267</f>
        <v>0</v>
      </c>
      <c r="K314">
        <f>165.076*$K$267</f>
        <v>0</v>
      </c>
      <c r="L314">
        <f>0.051*$L$267</f>
        <v>0</v>
      </c>
      <c r="M314">
        <f>0+D314+E314+G314+H314+I314+J314+K314+L314</f>
        <v>0</v>
      </c>
      <c r="N314">
        <f>0+D314+F314+G314+H314+I314+J314+K314+L314</f>
        <v>0</v>
      </c>
    </row>
    <row r="315" spans="3:14">
      <c r="C315" t="s">
        <v>59</v>
      </c>
      <c r="D315">
        <f>-11.137*$D$267</f>
        <v>0</v>
      </c>
      <c r="E315">
        <f>1.207*$E$267</f>
        <v>0</v>
      </c>
      <c r="F315">
        <f>-20.791*$F$267</f>
        <v>0</v>
      </c>
      <c r="G315">
        <f>-1.388*$G$267</f>
        <v>0</v>
      </c>
      <c r="H315">
        <f>0*$H$267</f>
        <v>0</v>
      </c>
      <c r="I315">
        <f>-1.568*$I$267</f>
        <v>0</v>
      </c>
      <c r="J315">
        <f>-123.807*$J$267</f>
        <v>0</v>
      </c>
      <c r="K315">
        <f>165.076*$K$267</f>
        <v>0</v>
      </c>
      <c r="L315">
        <f>0.051*$L$267</f>
        <v>0</v>
      </c>
      <c r="M315">
        <f>0+D315+E315+G315+H315+I315+J315+K315+L315</f>
        <v>0</v>
      </c>
      <c r="N315">
        <f>0+D315+F315+G315+H315+I315+J315+K315+L315</f>
        <v>0</v>
      </c>
    </row>
    <row r="316" spans="3:14">
      <c r="C316" t="s">
        <v>60</v>
      </c>
      <c r="D316">
        <f>-4.507*$D$267</f>
        <v>0</v>
      </c>
      <c r="E316">
        <f>24.412*$E$267</f>
        <v>0</v>
      </c>
      <c r="F316">
        <f>-35.541*$F$267</f>
        <v>0</v>
      </c>
      <c r="G316">
        <f>-4.708*$G$267</f>
        <v>0</v>
      </c>
      <c r="H316">
        <f>0*$H$267</f>
        <v>0</v>
      </c>
      <c r="I316">
        <f>-0.372*$I$267</f>
        <v>0</v>
      </c>
      <c r="J316">
        <f>-78.232*$J$267</f>
        <v>0</v>
      </c>
      <c r="K316">
        <f>104.309*$K$267</f>
        <v>0</v>
      </c>
      <c r="L316">
        <f>-4.861*$L$267</f>
        <v>0</v>
      </c>
      <c r="M316">
        <f>0+D316+E316+G316+H316+I316+J316+K316+L316</f>
        <v>0</v>
      </c>
      <c r="N316">
        <f>0+D316+F316+G316+H316+I316+J316+K316+L316</f>
        <v>0</v>
      </c>
    </row>
    <row r="317" spans="3:14">
      <c r="C317" t="s">
        <v>61</v>
      </c>
      <c r="D317">
        <f>-30.938*$D$267</f>
        <v>0</v>
      </c>
      <c r="E317">
        <f>15.091*$E$267</f>
        <v>0</v>
      </c>
      <c r="F317">
        <f>-68.532*$F$267</f>
        <v>0</v>
      </c>
      <c r="G317">
        <f>-7.357*$G$267</f>
        <v>0</v>
      </c>
      <c r="H317">
        <f>0*$H$267</f>
        <v>0</v>
      </c>
      <c r="I317">
        <f>-4.067*$I$267</f>
        <v>0</v>
      </c>
      <c r="J317">
        <f>2.236*$J$267</f>
        <v>0</v>
      </c>
      <c r="K317">
        <f>-2.982*$K$267</f>
        <v>0</v>
      </c>
      <c r="L317">
        <f>3.274*$L$267</f>
        <v>0</v>
      </c>
      <c r="M317">
        <f>0+D317+E317+G317+H317+I317+J317+K317+L317</f>
        <v>0</v>
      </c>
      <c r="N317">
        <f>0+D317+F317+G317+H317+I317+J317+K317+L317</f>
        <v>0</v>
      </c>
    </row>
    <row r="318" spans="3:14">
      <c r="C318" t="s">
        <v>62</v>
      </c>
      <c r="D318">
        <f>-42.282*$D$267</f>
        <v>0</v>
      </c>
      <c r="E318">
        <f>16.307*$E$267</f>
        <v>0</v>
      </c>
      <c r="F318">
        <f>-89.029*$F$267</f>
        <v>0</v>
      </c>
      <c r="G318">
        <f>-6.018*$G$267</f>
        <v>0</v>
      </c>
      <c r="H318">
        <f>0*$H$267</f>
        <v>0</v>
      </c>
      <c r="I318">
        <f>-5.81*$I$267</f>
        <v>0</v>
      </c>
      <c r="J318">
        <f>37.101*$J$267</f>
        <v>0</v>
      </c>
      <c r="K318">
        <f>-49.469*$K$267</f>
        <v>0</v>
      </c>
      <c r="L318">
        <f>20.94*$L$267</f>
        <v>0</v>
      </c>
      <c r="M318">
        <f>0+D318+E318+G318+H318+I318+J318+K318+L318</f>
        <v>0</v>
      </c>
      <c r="N318">
        <f>0+D318+F318+G318+H318+I318+J318+K318+L318</f>
        <v>0</v>
      </c>
    </row>
    <row r="319" spans="3:14">
      <c r="C319" t="s">
        <v>63</v>
      </c>
      <c r="D319">
        <f>-49.528*$D$267</f>
        <v>0</v>
      </c>
      <c r="E319">
        <f>23.131*$E$267</f>
        <v>0</v>
      </c>
      <c r="F319">
        <f>-111.968*$F$267</f>
        <v>0</v>
      </c>
      <c r="G319">
        <f>-2.56*$G$267</f>
        <v>0</v>
      </c>
      <c r="H319">
        <f>0*$H$267</f>
        <v>0</v>
      </c>
      <c r="I319">
        <f>-7.138*$I$267</f>
        <v>0</v>
      </c>
      <c r="J319">
        <f>29.398*$J$267</f>
        <v>0</v>
      </c>
      <c r="K319">
        <f>-39.198*$K$267</f>
        <v>0</v>
      </c>
      <c r="L319">
        <f>47.126*$L$267</f>
        <v>0</v>
      </c>
      <c r="M319">
        <f>0+D319+E319+G319+H319+I319+J319+K319+L319</f>
        <v>0</v>
      </c>
      <c r="N319">
        <f>0+D319+F319+G319+H319+I319+J319+K319+L319</f>
        <v>0</v>
      </c>
    </row>
    <row r="320" spans="3:14">
      <c r="C320" t="s">
        <v>64</v>
      </c>
      <c r="D320">
        <f>-52.258*$D$267</f>
        <v>0</v>
      </c>
      <c r="E320">
        <f>27.532*$E$267</f>
        <v>0</v>
      </c>
      <c r="F320">
        <f>-125.468*$F$267</f>
        <v>0</v>
      </c>
      <c r="G320">
        <f>0.489*$G$267</f>
        <v>0</v>
      </c>
      <c r="H320">
        <f>0*$H$267</f>
        <v>0</v>
      </c>
      <c r="I320">
        <f>-7.764*$I$267</f>
        <v>0</v>
      </c>
      <c r="J320">
        <f>17.105*$J$267</f>
        <v>0</v>
      </c>
      <c r="K320">
        <f>-22.806*$K$267</f>
        <v>0</v>
      </c>
      <c r="L320">
        <f>66.486*$L$267</f>
        <v>0</v>
      </c>
      <c r="M320">
        <f>0+D320+E320+G320+H320+I320+J320+K320+L320</f>
        <v>0</v>
      </c>
      <c r="N320">
        <f>0+D320+F320+G320+H320+I320+J320+K320+L320</f>
        <v>0</v>
      </c>
    </row>
    <row r="321" spans="3:14">
      <c r="C321" t="s">
        <v>65</v>
      </c>
      <c r="D321">
        <f>-50.338*$D$267</f>
        <v>0</v>
      </c>
      <c r="E321">
        <f>26.663*$E$267</f>
        <v>0</v>
      </c>
      <c r="F321">
        <f>-123.046*$F$267</f>
        <v>0</v>
      </c>
      <c r="G321">
        <f>0.359*$G$267</f>
        <v>0</v>
      </c>
      <c r="H321">
        <f>0*$H$267</f>
        <v>0</v>
      </c>
      <c r="I321">
        <f>-7.508*$I$267</f>
        <v>0</v>
      </c>
      <c r="J321">
        <f>42.626*$J$267</f>
        <v>0</v>
      </c>
      <c r="K321">
        <f>-56.834*$K$267</f>
        <v>0</v>
      </c>
      <c r="L321">
        <f>64.889*$L$267</f>
        <v>0</v>
      </c>
      <c r="M321">
        <f>0+D321+E321+G321+H321+I321+J321+K321+L321</f>
        <v>0</v>
      </c>
      <c r="N321">
        <f>0+D321+F321+G321+H321+I321+J321+K321+L321</f>
        <v>0</v>
      </c>
    </row>
    <row r="322" spans="3:14">
      <c r="C322" t="s">
        <v>66</v>
      </c>
      <c r="D322">
        <f>-46.357*$D$267</f>
        <v>0</v>
      </c>
      <c r="E322">
        <f>20.035*$E$267</f>
        <v>0</v>
      </c>
      <c r="F322">
        <f>-106.582*$F$267</f>
        <v>0</v>
      </c>
      <c r="G322">
        <f>-2.718*$G$267</f>
        <v>0</v>
      </c>
      <c r="H322">
        <f>0*$H$267</f>
        <v>0</v>
      </c>
      <c r="I322">
        <f>-6.759*$I$267</f>
        <v>0</v>
      </c>
      <c r="J322">
        <f>87.689*$J$267</f>
        <v>0</v>
      </c>
      <c r="K322">
        <f>-116.919*$K$267</f>
        <v>0</v>
      </c>
      <c r="L322">
        <f>43.842*$L$267</f>
        <v>0</v>
      </c>
      <c r="M322">
        <f>0+D322+E322+G322+H322+I322+J322+K322+L322</f>
        <v>0</v>
      </c>
      <c r="N322">
        <f>0+D322+F322+G322+H322+I322+J322+K322+L322</f>
        <v>0</v>
      </c>
    </row>
    <row r="323" spans="3:14">
      <c r="C323" t="s">
        <v>67</v>
      </c>
      <c r="D323">
        <f>-38.149*$D$267</f>
        <v>0</v>
      </c>
      <c r="E323">
        <f>13.039*$E$267</f>
        <v>0</v>
      </c>
      <c r="F323">
        <f>-85.114*$F$267</f>
        <v>0</v>
      </c>
      <c r="G323">
        <f>-4.505*$G$267</f>
        <v>0</v>
      </c>
      <c r="H323">
        <f>0*$H$267</f>
        <v>0</v>
      </c>
      <c r="I323">
        <f>-5.466*$I$267</f>
        <v>0</v>
      </c>
      <c r="J323">
        <f>77.173*$J$267</f>
        <v>0</v>
      </c>
      <c r="K323">
        <f>-102.897*$K$267</f>
        <v>0</v>
      </c>
      <c r="L323">
        <f>24.48*$L$267</f>
        <v>0</v>
      </c>
      <c r="M323">
        <f>0+D323+E323+G323+H323+I323+J323+K323+L323</f>
        <v>0</v>
      </c>
      <c r="N323">
        <f>0+D323+F323+G323+H323+I323+J323+K323+L323</f>
        <v>0</v>
      </c>
    </row>
    <row r="324" spans="3:14">
      <c r="C324" t="s">
        <v>68</v>
      </c>
      <c r="D324">
        <f>-25.977*$D$267</f>
        <v>0</v>
      </c>
      <c r="E324">
        <f>6.275*$E$267</f>
        <v>0</v>
      </c>
      <c r="F324">
        <f>-57.341*$F$267</f>
        <v>0</v>
      </c>
      <c r="G324">
        <f>-4.347*$G$267</f>
        <v>0</v>
      </c>
      <c r="H324">
        <f>0*$H$267</f>
        <v>0</v>
      </c>
      <c r="I324">
        <f>-3.665*$I$267</f>
        <v>0</v>
      </c>
      <c r="J324">
        <f>-14.807*$J$267</f>
        <v>0</v>
      </c>
      <c r="K324">
        <f>19.742*$K$267</f>
        <v>0</v>
      </c>
      <c r="L324">
        <f>10.42*$L$267</f>
        <v>0</v>
      </c>
      <c r="M324">
        <f>0+D324+E324+G324+H324+I324+J324+K324+L324</f>
        <v>0</v>
      </c>
      <c r="N324">
        <f>0+D324+F324+G324+H324+I324+J324+K324+L324</f>
        <v>0</v>
      </c>
    </row>
    <row r="325" spans="3:14">
      <c r="C325" t="s">
        <v>69</v>
      </c>
      <c r="D325">
        <f>-13.778*$D$267</f>
        <v>0</v>
      </c>
      <c r="E325">
        <f>2.307*$E$267</f>
        <v>0</v>
      </c>
      <c r="F325">
        <f>-29.626*$F$267</f>
        <v>0</v>
      </c>
      <c r="G325">
        <f>-3.321*$G$267</f>
        <v>0</v>
      </c>
      <c r="H325">
        <f>0*$H$267</f>
        <v>0</v>
      </c>
      <c r="I325">
        <f>-1.867*$I$267</f>
        <v>0</v>
      </c>
      <c r="J325">
        <f>-138.451*$J$267</f>
        <v>0</v>
      </c>
      <c r="K325">
        <f>184.601*$K$267</f>
        <v>0</v>
      </c>
      <c r="L325">
        <f>4.498*$L$267</f>
        <v>0</v>
      </c>
      <c r="M325">
        <f>0+D325+E325+G325+H325+I325+J325+K325+L325</f>
        <v>0</v>
      </c>
      <c r="N325">
        <f>0+D325+F325+G325+H325+I325+J325+K325+L325</f>
        <v>0</v>
      </c>
    </row>
    <row r="330" spans="3:14">
      <c r="C330" t="s">
        <v>74</v>
      </c>
    </row>
    <row r="332" spans="3:14">
      <c r="C332" t="s">
        <v>2</v>
      </c>
    </row>
    <row r="333" spans="3:14">
      <c r="C333" t="s">
        <v>3</v>
      </c>
      <c r="D333" t="s">
        <v>4</v>
      </c>
      <c r="E333" t="s">
        <v>5</v>
      </c>
      <c r="F333" t="s">
        <v>6</v>
      </c>
      <c r="G333" t="s">
        <v>7</v>
      </c>
      <c r="H333" t="s">
        <v>8</v>
      </c>
      <c r="I333" t="s">
        <v>9</v>
      </c>
      <c r="J333" t="s">
        <v>10</v>
      </c>
      <c r="K333" t="s">
        <v>11</v>
      </c>
      <c r="L333" t="s">
        <v>12</v>
      </c>
      <c r="M333" t="s">
        <v>13</v>
      </c>
      <c r="N333" t="s">
        <v>14</v>
      </c>
    </row>
    <row r="334" spans="3:14">
      <c r="C334" t="s">
        <v>80</v>
      </c>
      <c r="D334">
        <f>-0.1682*$D$332</f>
        <v>0</v>
      </c>
      <c r="E334">
        <f>68.2863*$E$332</f>
        <v>0</v>
      </c>
      <c r="F334">
        <f>-77.8898*$F$332</f>
        <v>0</v>
      </c>
      <c r="G334">
        <f>7.9308*$G$332</f>
        <v>0</v>
      </c>
      <c r="H334">
        <f>0*$H$332</f>
        <v>0</v>
      </c>
      <c r="I334">
        <f>-0.4893*$I$332</f>
        <v>0</v>
      </c>
      <c r="J334">
        <f>21.5006*$J$332</f>
        <v>0</v>
      </c>
      <c r="K334">
        <f>-28.6674*$K$332</f>
        <v>0</v>
      </c>
      <c r="L334">
        <f>-0.018*$L$332</f>
        <v>0</v>
      </c>
      <c r="M334">
        <f>0+D334+E334+G334+H334+I334+J334+K334+L334</f>
        <v>0</v>
      </c>
      <c r="N334">
        <f>0+D334+F334+G334+H334+I334+J334+K334+L334</f>
        <v>0</v>
      </c>
    </row>
    <row r="335" spans="3:14">
      <c r="C335" t="s">
        <v>16</v>
      </c>
      <c r="D335">
        <f>6.7747*$D$332</f>
        <v>0</v>
      </c>
      <c r="E335">
        <f>69.9815*$E$332</f>
        <v>0</v>
      </c>
      <c r="F335">
        <f>-78.6798*$F$332</f>
        <v>0</v>
      </c>
      <c r="G335">
        <f>7.3964*$G$332</f>
        <v>0</v>
      </c>
      <c r="H335">
        <f>0*$H$332</f>
        <v>0</v>
      </c>
      <c r="I335">
        <f>0.1764*$I$332</f>
        <v>0</v>
      </c>
      <c r="J335">
        <f>22.1006*$J$332</f>
        <v>0</v>
      </c>
      <c r="K335">
        <f>-29.4675*$K$332</f>
        <v>0</v>
      </c>
      <c r="L335">
        <f>-0.0192*$L$332</f>
        <v>0</v>
      </c>
      <c r="M335">
        <f>0+D335+E335+G335+H335+I335+J335+K335+L335</f>
        <v>0</v>
      </c>
      <c r="N335">
        <f>0+D335+F335+G335+H335+I335+J335+K335+L335</f>
        <v>0</v>
      </c>
    </row>
    <row r="336" spans="3:14">
      <c r="C336" t="s">
        <v>17</v>
      </c>
      <c r="D336">
        <f>7.6331*$D$332</f>
        <v>0</v>
      </c>
      <c r="E336">
        <f>76.5835*$E$332</f>
        <v>0</v>
      </c>
      <c r="F336">
        <f>-82.6844*$F$332</f>
        <v>0</v>
      </c>
      <c r="G336">
        <f>6.7968*$G$332</f>
        <v>0</v>
      </c>
      <c r="H336">
        <f>0*$H$332</f>
        <v>0</v>
      </c>
      <c r="I336">
        <f>0.4256*$I$332</f>
        <v>0</v>
      </c>
      <c r="J336">
        <f>35.3368*$J$332</f>
        <v>0</v>
      </c>
      <c r="K336">
        <f>-47.1157*$K$332</f>
        <v>0</v>
      </c>
      <c r="L336">
        <f>-0.0244*$L$332</f>
        <v>0</v>
      </c>
      <c r="M336">
        <f>0+D336+E336+G336+H336+I336+J336+K336+L336</f>
        <v>0</v>
      </c>
      <c r="N336">
        <f>0+D336+F336+G336+H336+I336+J336+K336+L336</f>
        <v>0</v>
      </c>
    </row>
    <row r="337" spans="3:14">
      <c r="C337" t="s">
        <v>18</v>
      </c>
      <c r="D337">
        <f>7.6592*$D$332</f>
        <v>0</v>
      </c>
      <c r="E337">
        <f>82.696*$E$332</f>
        <v>0</v>
      </c>
      <c r="F337">
        <f>-75.0125*$F$332</f>
        <v>0</v>
      </c>
      <c r="G337">
        <f>5.4083*$G$332</f>
        <v>0</v>
      </c>
      <c r="H337">
        <f>0*$H$332</f>
        <v>0</v>
      </c>
      <c r="I337">
        <f>0.5885*$I$332</f>
        <v>0</v>
      </c>
      <c r="J337">
        <f>47.0428*$J$332</f>
        <v>0</v>
      </c>
      <c r="K337">
        <f>-62.7237*$K$332</f>
        <v>0</v>
      </c>
      <c r="L337">
        <f>-0.0282*$L$332</f>
        <v>0</v>
      </c>
      <c r="M337">
        <f>0+D337+E337+G337+H337+I337+J337+K337+L337</f>
        <v>0</v>
      </c>
      <c r="N337">
        <f>0+D337+F337+G337+H337+I337+J337+K337+L337</f>
        <v>0</v>
      </c>
    </row>
    <row r="338" spans="3:14">
      <c r="C338" t="s">
        <v>19</v>
      </c>
      <c r="D338">
        <f>6.8213*$D$332</f>
        <v>0</v>
      </c>
      <c r="E338">
        <f>88.0649*$E$332</f>
        <v>0</v>
      </c>
      <c r="F338">
        <f>-78.0302*$F$332</f>
        <v>0</v>
      </c>
      <c r="G338">
        <f>3.2003*$G$332</f>
        <v>0</v>
      </c>
      <c r="H338">
        <f>0*$H$332</f>
        <v>0</v>
      </c>
      <c r="I338">
        <f>0.6785*$I$332</f>
        <v>0</v>
      </c>
      <c r="J338">
        <f>55.9725*$J$332</f>
        <v>0</v>
      </c>
      <c r="K338">
        <f>-74.63*$K$332</f>
        <v>0</v>
      </c>
      <c r="L338">
        <f>-0.0318*$L$332</f>
        <v>0</v>
      </c>
      <c r="M338">
        <f>0+D338+E338+G338+H338+I338+J338+K338+L338</f>
        <v>0</v>
      </c>
      <c r="N338">
        <f>0+D338+F338+G338+H338+I338+J338+K338+L338</f>
        <v>0</v>
      </c>
    </row>
    <row r="339" spans="3:14">
      <c r="C339" t="s">
        <v>20</v>
      </c>
      <c r="D339">
        <f>5.2991*$D$332</f>
        <v>0</v>
      </c>
      <c r="E339">
        <f>92.9063*$E$332</f>
        <v>0</v>
      </c>
      <c r="F339">
        <f>-72.2854*$F$332</f>
        <v>0</v>
      </c>
      <c r="G339">
        <f>0.268*$G$332</f>
        <v>0</v>
      </c>
      <c r="H339">
        <f>0*$H$332</f>
        <v>0</v>
      </c>
      <c r="I339">
        <f>0.6976*$I$332</f>
        <v>0</v>
      </c>
      <c r="J339">
        <f>62.538*$J$332</f>
        <v>0</v>
      </c>
      <c r="K339">
        <f>-83.384*$K$332</f>
        <v>0</v>
      </c>
      <c r="L339">
        <f>-0.0349*$L$332</f>
        <v>0</v>
      </c>
      <c r="M339">
        <f>0+D339+E339+G339+H339+I339+J339+K339+L339</f>
        <v>0</v>
      </c>
      <c r="N339">
        <f>0+D339+F339+G339+H339+I339+J339+K339+L339</f>
        <v>0</v>
      </c>
    </row>
    <row r="340" spans="3:14">
      <c r="C340" t="s">
        <v>21</v>
      </c>
      <c r="D340">
        <f>6.503*$D$332</f>
        <v>0</v>
      </c>
      <c r="E340">
        <f>68.6836*$E$332</f>
        <v>0</v>
      </c>
      <c r="F340">
        <f>-78.3781*$F$332</f>
        <v>0</v>
      </c>
      <c r="G340">
        <f>7.1452*$G$332</f>
        <v>0</v>
      </c>
      <c r="H340">
        <f>0*$H$332</f>
        <v>0</v>
      </c>
      <c r="I340">
        <f>0.1551*$I$332</f>
        <v>0</v>
      </c>
      <c r="J340">
        <f>12.9908*$J$332</f>
        <v>0</v>
      </c>
      <c r="K340">
        <f>-17.321*$K$332</f>
        <v>0</v>
      </c>
      <c r="L340">
        <f>-0.0373*$L$332</f>
        <v>0</v>
      </c>
      <c r="M340">
        <f>0+D340+E340+G340+H340+I340+J340+K340+L340</f>
        <v>0</v>
      </c>
      <c r="N340">
        <f>0+D340+F340+G340+H340+I340+J340+K340+L340</f>
        <v>0</v>
      </c>
    </row>
    <row r="341" spans="3:14">
      <c r="C341" t="s">
        <v>22</v>
      </c>
      <c r="D341">
        <f>4.7974*$D$332</f>
        <v>0</v>
      </c>
      <c r="E341">
        <f>69.3638*$E$332</f>
        <v>0</v>
      </c>
      <c r="F341">
        <f>-71.7*$F$332</f>
        <v>0</v>
      </c>
      <c r="G341">
        <f>4.1962*$G$332</f>
        <v>0</v>
      </c>
      <c r="H341">
        <f>0*$H$332</f>
        <v>0</v>
      </c>
      <c r="I341">
        <f>0.1629*$I$332</f>
        <v>0</v>
      </c>
      <c r="J341">
        <f>15.9328*$J$332</f>
        <v>0</v>
      </c>
      <c r="K341">
        <f>-21.2438*$K$332</f>
        <v>0</v>
      </c>
      <c r="L341">
        <f>-0.0388*$L$332</f>
        <v>0</v>
      </c>
      <c r="M341">
        <f>0+D341+E341+G341+H341+I341+J341+K341+L341</f>
        <v>0</v>
      </c>
      <c r="N341">
        <f>0+D341+F341+G341+H341+I341+J341+K341+L341</f>
        <v>0</v>
      </c>
    </row>
    <row r="342" spans="3:14">
      <c r="C342" t="s">
        <v>23</v>
      </c>
      <c r="D342">
        <f>3.1378*$D$332</f>
        <v>0</v>
      </c>
      <c r="E342">
        <f>69.5528*$E$332</f>
        <v>0</v>
      </c>
      <c r="F342">
        <f>-68.1144*$F$332</f>
        <v>0</v>
      </c>
      <c r="G342">
        <f>1.4601*$G$332</f>
        <v>0</v>
      </c>
      <c r="H342">
        <f>0*$H$332</f>
        <v>0</v>
      </c>
      <c r="I342">
        <f>0.1637*$I$332</f>
        <v>0</v>
      </c>
      <c r="J342">
        <f>18.6937*$J$332</f>
        <v>0</v>
      </c>
      <c r="K342">
        <f>-24.925*$K$332</f>
        <v>0</v>
      </c>
      <c r="L342">
        <f>-0.0405*$L$332</f>
        <v>0</v>
      </c>
      <c r="M342">
        <f>0+D342+E342+G342+H342+I342+J342+K342+L342</f>
        <v>0</v>
      </c>
      <c r="N342">
        <f>0+D342+F342+G342+H342+I342+J342+K342+L342</f>
        <v>0</v>
      </c>
    </row>
    <row r="343" spans="3:14">
      <c r="C343" t="s">
        <v>24</v>
      </c>
      <c r="D343">
        <f>1.4092*$D$332</f>
        <v>0</v>
      </c>
      <c r="E343">
        <f>70.4163*$E$332</f>
        <v>0</v>
      </c>
      <c r="F343">
        <f>-62.7111*$F$332</f>
        <v>0</v>
      </c>
      <c r="G343">
        <f>-1.4162*$G$332</f>
        <v>0</v>
      </c>
      <c r="H343">
        <f>0*$H$332</f>
        <v>0</v>
      </c>
      <c r="I343">
        <f>0.1645*$I$332</f>
        <v>0</v>
      </c>
      <c r="J343">
        <f>22.0251*$J$332</f>
        <v>0</v>
      </c>
      <c r="K343">
        <f>-29.3668*$K$332</f>
        <v>0</v>
      </c>
      <c r="L343">
        <f>-0.0428*$L$332</f>
        <v>0</v>
      </c>
      <c r="M343">
        <f>0+D343+E343+G343+H343+I343+J343+K343+L343</f>
        <v>0</v>
      </c>
      <c r="N343">
        <f>0+D343+F343+G343+H343+I343+J343+K343+L343</f>
        <v>0</v>
      </c>
    </row>
    <row r="344" spans="3:14">
      <c r="C344" t="s">
        <v>25</v>
      </c>
      <c r="D344">
        <f>-0.6185*$D$332</f>
        <v>0</v>
      </c>
      <c r="E344">
        <f>70.8793*$E$332</f>
        <v>0</v>
      </c>
      <c r="F344">
        <f>-55.9313*$F$332</f>
        <v>0</v>
      </c>
      <c r="G344">
        <f>-4.5923*$G$332</f>
        <v>0</v>
      </c>
      <c r="H344">
        <f>0*$H$332</f>
        <v>0</v>
      </c>
      <c r="I344">
        <f>0.1217*$I$332</f>
        <v>0</v>
      </c>
      <c r="J344">
        <f>26.1104*$J$332</f>
        <v>0</v>
      </c>
      <c r="K344">
        <f>-34.8139*$K$332</f>
        <v>0</v>
      </c>
      <c r="L344">
        <f>-0.0449*$L$332</f>
        <v>0</v>
      </c>
      <c r="M344">
        <f>0+D344+E344+G344+H344+I344+J344+K344+L344</f>
        <v>0</v>
      </c>
      <c r="N344">
        <f>0+D344+F344+G344+H344+I344+J344+K344+L344</f>
        <v>0</v>
      </c>
    </row>
    <row r="345" spans="3:14">
      <c r="C345" t="s">
        <v>26</v>
      </c>
      <c r="D345">
        <f>2.6236*$D$332</f>
        <v>0</v>
      </c>
      <c r="E345">
        <f>50.9835*$E$332</f>
        <v>0</v>
      </c>
      <c r="F345">
        <f>-64.5235*$F$332</f>
        <v>0</v>
      </c>
      <c r="G345">
        <f>3.7494*$G$332</f>
        <v>0</v>
      </c>
      <c r="H345">
        <f>0*$H$332</f>
        <v>0</v>
      </c>
      <c r="I345">
        <f>-0.2215*$I$332</f>
        <v>0</v>
      </c>
      <c r="J345">
        <f>-11.3269*$J$332</f>
        <v>0</v>
      </c>
      <c r="K345">
        <f>15.1025*$K$332</f>
        <v>0</v>
      </c>
      <c r="L345">
        <f>-0.0463*$L$332</f>
        <v>0</v>
      </c>
      <c r="M345">
        <f>0+D345+E345+G345+H345+I345+J345+K345+L345</f>
        <v>0</v>
      </c>
      <c r="N345">
        <f>0+D345+F345+G345+H345+I345+J345+K345+L345</f>
        <v>0</v>
      </c>
    </row>
    <row r="346" spans="3:14">
      <c r="C346" t="s">
        <v>27</v>
      </c>
      <c r="D346">
        <f>1.2714*$D$332</f>
        <v>0</v>
      </c>
      <c r="E346">
        <f>58.0605*$E$332</f>
        <v>0</v>
      </c>
      <c r="F346">
        <f>-61.5037*$F$332</f>
        <v>0</v>
      </c>
      <c r="G346">
        <f>0.9094*$G$332</f>
        <v>0</v>
      </c>
      <c r="H346">
        <f>0*$H$332</f>
        <v>0</v>
      </c>
      <c r="I346">
        <f>-0.174*$I$332</f>
        <v>0</v>
      </c>
      <c r="J346">
        <f>-7.8267*$J$332</f>
        <v>0</v>
      </c>
      <c r="K346">
        <f>10.4356*$K$332</f>
        <v>0</v>
      </c>
      <c r="L346">
        <f>-0.0465*$L$332</f>
        <v>0</v>
      </c>
      <c r="M346">
        <f>0+D346+E346+G346+H346+I346+J346+K346+L346</f>
        <v>0</v>
      </c>
      <c r="N346">
        <f>0+D346+F346+G346+H346+I346+J346+K346+L346</f>
        <v>0</v>
      </c>
    </row>
    <row r="347" spans="3:14">
      <c r="C347" t="s">
        <v>28</v>
      </c>
      <c r="D347">
        <f>0.5566*$D$332</f>
        <v>0</v>
      </c>
      <c r="E347">
        <f>62.6499*$E$332</f>
        <v>0</v>
      </c>
      <c r="F347">
        <f>-61.0947*$F$332</f>
        <v>0</v>
      </c>
      <c r="G347">
        <f>-1.6809*$G$332</f>
        <v>0</v>
      </c>
      <c r="H347">
        <f>0*$H$332</f>
        <v>0</v>
      </c>
      <c r="I347">
        <f>-0.0492*$I$332</f>
        <v>0</v>
      </c>
      <c r="J347">
        <f>-4.2364*$J$332</f>
        <v>0</v>
      </c>
      <c r="K347">
        <f>5.6485*$K$332</f>
        <v>0</v>
      </c>
      <c r="L347">
        <f>-0.0471*$L$332</f>
        <v>0</v>
      </c>
      <c r="M347">
        <f>0+D347+E347+G347+H347+I347+J347+K347+L347</f>
        <v>0</v>
      </c>
      <c r="N347">
        <f>0+D347+F347+G347+H347+I347+J347+K347+L347</f>
        <v>0</v>
      </c>
    </row>
    <row r="348" spans="3:14">
      <c r="C348" t="s">
        <v>29</v>
      </c>
      <c r="D348">
        <f>0.2899*$D$332</f>
        <v>0</v>
      </c>
      <c r="E348">
        <f>68.74*$E$332</f>
        <v>0</v>
      </c>
      <c r="F348">
        <f>-60.5323*$F$332</f>
        <v>0</v>
      </c>
      <c r="G348">
        <f>-4.4157*$G$332</f>
        <v>0</v>
      </c>
      <c r="H348">
        <f>0*$H$332</f>
        <v>0</v>
      </c>
      <c r="I348">
        <f>0.1526*$I$332</f>
        <v>0</v>
      </c>
      <c r="J348">
        <f>-0.1767*$J$332</f>
        <v>0</v>
      </c>
      <c r="K348">
        <f>0.2356*$K$332</f>
        <v>0</v>
      </c>
      <c r="L348">
        <f>-0.0482*$L$332</f>
        <v>0</v>
      </c>
      <c r="M348">
        <f>0+D348+E348+G348+H348+I348+J348+K348+L348</f>
        <v>0</v>
      </c>
      <c r="N348">
        <f>0+D348+F348+G348+H348+I348+J348+K348+L348</f>
        <v>0</v>
      </c>
    </row>
    <row r="349" spans="3:14">
      <c r="C349" t="s">
        <v>30</v>
      </c>
      <c r="D349">
        <f>0.2494*$D$332</f>
        <v>0</v>
      </c>
      <c r="E349">
        <f>78.7675*$E$332</f>
        <v>0</v>
      </c>
      <c r="F349">
        <f>-60.9808*$F$332</f>
        <v>0</v>
      </c>
      <c r="G349">
        <f>-7.4524*$G$332</f>
        <v>0</v>
      </c>
      <c r="H349">
        <f>0*$H$332</f>
        <v>0</v>
      </c>
      <c r="I349">
        <f>0.39*$I$332</f>
        <v>0</v>
      </c>
      <c r="J349">
        <f>4.3211*$J$332</f>
        <v>0</v>
      </c>
      <c r="K349">
        <f>-5.7615*$K$332</f>
        <v>0</v>
      </c>
      <c r="L349">
        <f>-0.0484*$L$332</f>
        <v>0</v>
      </c>
      <c r="M349">
        <f>0+D349+E349+G349+H349+I349+J349+K349+L349</f>
        <v>0</v>
      </c>
      <c r="N349">
        <f>0+D349+F349+G349+H349+I349+J349+K349+L349</f>
        <v>0</v>
      </c>
    </row>
    <row r="350" spans="3:14">
      <c r="C350" t="s">
        <v>31</v>
      </c>
      <c r="D350">
        <f>6.5491*$D$332</f>
        <v>0</v>
      </c>
      <c r="E350">
        <f>79.9605*$E$332</f>
        <v>0</v>
      </c>
      <c r="F350">
        <f>-86.3774*$F$332</f>
        <v>0</v>
      </c>
      <c r="G350">
        <f>0.5647*$G$332</f>
        <v>0</v>
      </c>
      <c r="H350">
        <f>0*$H$332</f>
        <v>0</v>
      </c>
      <c r="I350">
        <f>0.5081*$I$332</f>
        <v>0</v>
      </c>
      <c r="J350">
        <f>-36.3063*$J$332</f>
        <v>0</v>
      </c>
      <c r="K350">
        <f>48.4083*$K$332</f>
        <v>0</v>
      </c>
      <c r="L350">
        <f>-0.0457*$L$332</f>
        <v>0</v>
      </c>
      <c r="M350">
        <f>0+D350+E350+G350+H350+I350+J350+K350+L350</f>
        <v>0</v>
      </c>
      <c r="N350">
        <f>0+D350+F350+G350+H350+I350+J350+K350+L350</f>
        <v>0</v>
      </c>
    </row>
    <row r="351" spans="3:14">
      <c r="C351" t="s">
        <v>32</v>
      </c>
      <c r="D351">
        <f>7.4731*$D$332</f>
        <v>0</v>
      </c>
      <c r="E351">
        <f>88.3756*$E$332</f>
        <v>0</v>
      </c>
      <c r="F351">
        <f>-82.7071*$F$332</f>
        <v>0</v>
      </c>
      <c r="G351">
        <f>-1.9295*$G$332</f>
        <v>0</v>
      </c>
      <c r="H351">
        <f>0*$H$332</f>
        <v>0</v>
      </c>
      <c r="I351">
        <f>0.8646*$I$332</f>
        <v>0</v>
      </c>
      <c r="J351">
        <f>-32.2553*$J$332</f>
        <v>0</v>
      </c>
      <c r="K351">
        <f>43.0071*$K$332</f>
        <v>0</v>
      </c>
      <c r="L351">
        <f>-0.0445*$L$332</f>
        <v>0</v>
      </c>
      <c r="M351">
        <f>0+D351+E351+G351+H351+I351+J351+K351+L351</f>
        <v>0</v>
      </c>
      <c r="N351">
        <f>0+D351+F351+G351+H351+I351+J351+K351+L351</f>
        <v>0</v>
      </c>
    </row>
    <row r="352" spans="3:14">
      <c r="C352" t="s">
        <v>33</v>
      </c>
      <c r="D352">
        <f>9.4034*$D$332</f>
        <v>0</v>
      </c>
      <c r="E352">
        <f>98.3011*$E$332</f>
        <v>0</v>
      </c>
      <c r="F352">
        <f>-79.0906*$F$332</f>
        <v>0</v>
      </c>
      <c r="G352">
        <f>-4.0908*$G$332</f>
        <v>0</v>
      </c>
      <c r="H352">
        <f>0*$H$332</f>
        <v>0</v>
      </c>
      <c r="I352">
        <f>1.355*$I$332</f>
        <v>0</v>
      </c>
      <c r="J352">
        <f>-28.1124*$J$332</f>
        <v>0</v>
      </c>
      <c r="K352">
        <f>37.4832*$K$332</f>
        <v>0</v>
      </c>
      <c r="L352">
        <f>-0.0445*$L$332</f>
        <v>0</v>
      </c>
      <c r="M352">
        <f>0+D352+E352+G352+H352+I352+J352+K352+L352</f>
        <v>0</v>
      </c>
      <c r="N352">
        <f>0+D352+F352+G352+H352+I352+J352+K352+L352</f>
        <v>0</v>
      </c>
    </row>
    <row r="353" spans="3:14">
      <c r="C353" t="s">
        <v>34</v>
      </c>
      <c r="D353">
        <f>11.9304*$D$332</f>
        <v>0</v>
      </c>
      <c r="E353">
        <f>110.8209*$E$332</f>
        <v>0</v>
      </c>
      <c r="F353">
        <f>-75.1015*$F$332</f>
        <v>0</v>
      </c>
      <c r="G353">
        <f>-6.0796*$G$332</f>
        <v>0</v>
      </c>
      <c r="H353">
        <f>0*$H$332</f>
        <v>0</v>
      </c>
      <c r="I353">
        <f>1.9372*$I$332</f>
        <v>0</v>
      </c>
      <c r="J353">
        <f>-22.8091*$J$332</f>
        <v>0</v>
      </c>
      <c r="K353">
        <f>30.4121*$K$332</f>
        <v>0</v>
      </c>
      <c r="L353">
        <f>-0.0456*$L$332</f>
        <v>0</v>
      </c>
      <c r="M353">
        <f>0+D353+E353+G353+H353+I353+J353+K353+L353</f>
        <v>0</v>
      </c>
      <c r="N353">
        <f>0+D353+F353+G353+H353+I353+J353+K353+L353</f>
        <v>0</v>
      </c>
    </row>
    <row r="354" spans="3:14">
      <c r="C354" t="s">
        <v>35</v>
      </c>
      <c r="D354">
        <f>12.5731*$D$332</f>
        <v>0</v>
      </c>
      <c r="E354">
        <f>117.7325*$E$332</f>
        <v>0</v>
      </c>
      <c r="F354">
        <f>-73.1469*$F$332</f>
        <v>0</v>
      </c>
      <c r="G354">
        <f>-7.7891*$G$332</f>
        <v>0</v>
      </c>
      <c r="H354">
        <f>0*$H$332</f>
        <v>0</v>
      </c>
      <c r="I354">
        <f>2.2548*$I$332</f>
        <v>0</v>
      </c>
      <c r="J354">
        <f>-11.8609*$J$332</f>
        <v>0</v>
      </c>
      <c r="K354">
        <f>15.8145*$K$332</f>
        <v>0</v>
      </c>
      <c r="L354">
        <f>-0.045*$L$332</f>
        <v>0</v>
      </c>
      <c r="M354">
        <f>0+D354+E354+G354+H354+I354+J354+K354+L354</f>
        <v>0</v>
      </c>
      <c r="N354">
        <f>0+D354+F354+G354+H354+I354+J354+K354+L354</f>
        <v>0</v>
      </c>
    </row>
    <row r="355" spans="3:14">
      <c r="C355" t="s">
        <v>36</v>
      </c>
      <c r="D355">
        <f>13.0802*$D$332</f>
        <v>0</v>
      </c>
      <c r="E355">
        <f>67.5776*$E$332</f>
        <v>0</v>
      </c>
      <c r="F355">
        <f>-94.9699*$F$332</f>
        <v>0</v>
      </c>
      <c r="G355">
        <f>-1.2417*$G$332</f>
        <v>0</v>
      </c>
      <c r="H355">
        <f>0*$H$332</f>
        <v>0</v>
      </c>
      <c r="I355">
        <f>1.6805*$I$332</f>
        <v>0</v>
      </c>
      <c r="J355">
        <f>-32.6748*$J$332</f>
        <v>0</v>
      </c>
      <c r="K355">
        <f>43.5664*$K$332</f>
        <v>0</v>
      </c>
      <c r="L355">
        <f>-0.03*$L$332</f>
        <v>0</v>
      </c>
      <c r="M355">
        <f>0+D355+E355+G355+H355+I355+J355+K355+L355</f>
        <v>0</v>
      </c>
      <c r="N355">
        <f>0+D355+F355+G355+H355+I355+J355+K355+L355</f>
        <v>0</v>
      </c>
    </row>
    <row r="356" spans="3:14">
      <c r="C356" t="s">
        <v>36</v>
      </c>
      <c r="D356">
        <f>-12.5759*$D$332</f>
        <v>0</v>
      </c>
      <c r="E356">
        <f>51.6769*$E$332</f>
        <v>0</v>
      </c>
      <c r="F356">
        <f>-69.7771*$F$332</f>
        <v>0</v>
      </c>
      <c r="G356">
        <f>0.9606*$G$332</f>
        <v>0</v>
      </c>
      <c r="H356">
        <f>0*$H$332</f>
        <v>0</v>
      </c>
      <c r="I356">
        <f>-1.5901*$I$332</f>
        <v>0</v>
      </c>
      <c r="J356">
        <f>29.8741*$J$332</f>
        <v>0</v>
      </c>
      <c r="K356">
        <f>-39.8321*$K$332</f>
        <v>0</v>
      </c>
      <c r="L356">
        <f>-0.9045*$L$332</f>
        <v>0</v>
      </c>
      <c r="M356">
        <f>0+D356+E356+G356+H356+I356+J356+K356+L356</f>
        <v>0</v>
      </c>
      <c r="N356">
        <f>0+D356+F356+G356+H356+I356+J356+K356+L356</f>
        <v>0</v>
      </c>
    </row>
    <row r="357" spans="3:14">
      <c r="C357" t="s">
        <v>37</v>
      </c>
      <c r="D357">
        <f>-9.7926*$D$332</f>
        <v>0</v>
      </c>
      <c r="E357">
        <f>51.6769*$E$332</f>
        <v>0</v>
      </c>
      <c r="F357">
        <f>-69.7771*$F$332</f>
        <v>0</v>
      </c>
      <c r="G357">
        <f>0.9606*$G$332</f>
        <v>0</v>
      </c>
      <c r="H357">
        <f>0*$H$332</f>
        <v>0</v>
      </c>
      <c r="I357">
        <f>-1.5901*$I$332</f>
        <v>0</v>
      </c>
      <c r="J357">
        <f>29.8741*$J$332</f>
        <v>0</v>
      </c>
      <c r="K357">
        <f>-39.8321*$K$332</f>
        <v>0</v>
      </c>
      <c r="L357">
        <f>-0.9045*$L$332</f>
        <v>0</v>
      </c>
      <c r="M357">
        <f>0+D357+E357+G357+H357+I357+J357+K357+L357</f>
        <v>0</v>
      </c>
      <c r="N357">
        <f>0+D357+F357+G357+H357+I357+J357+K357+L357</f>
        <v>0</v>
      </c>
    </row>
    <row r="358" spans="3:14">
      <c r="C358" t="s">
        <v>38</v>
      </c>
      <c r="D358">
        <f>-9.8771*$D$332</f>
        <v>0</v>
      </c>
      <c r="E358">
        <f>81.8207*$E$332</f>
        <v>0</v>
      </c>
      <c r="F358">
        <f>-125.2801*$F$332</f>
        <v>0</v>
      </c>
      <c r="G358">
        <f>6.3958*$G$332</f>
        <v>0</v>
      </c>
      <c r="H358">
        <f>0*$H$332</f>
        <v>0</v>
      </c>
      <c r="I358">
        <f>-2.1137*$I$332</f>
        <v>0</v>
      </c>
      <c r="J358">
        <f>17.2107*$J$332</f>
        <v>0</v>
      </c>
      <c r="K358">
        <f>-22.9476*$K$332</f>
        <v>0</v>
      </c>
      <c r="L358">
        <f>-1.4193*$L$332</f>
        <v>0</v>
      </c>
      <c r="M358">
        <f>0+D358+E358+G358+H358+I358+J358+K358+L358</f>
        <v>0</v>
      </c>
      <c r="N358">
        <f>0+D358+F358+G358+H358+I358+J358+K358+L358</f>
        <v>0</v>
      </c>
    </row>
    <row r="359" spans="3:14">
      <c r="C359" t="s">
        <v>39</v>
      </c>
      <c r="D359">
        <f>-8.9373*$D$332</f>
        <v>0</v>
      </c>
      <c r="E359">
        <f>86.0001*$E$332</f>
        <v>0</v>
      </c>
      <c r="F359">
        <f>-114.9645*$F$332</f>
        <v>0</v>
      </c>
      <c r="G359">
        <f>4.6707*$G$332</f>
        <v>0</v>
      </c>
      <c r="H359">
        <f>0*$H$332</f>
        <v>0</v>
      </c>
      <c r="I359">
        <f>-1.767*$I$332</f>
        <v>0</v>
      </c>
      <c r="J359">
        <f>24.7397*$J$332</f>
        <v>0</v>
      </c>
      <c r="K359">
        <f>-32.9863*$K$332</f>
        <v>0</v>
      </c>
      <c r="L359">
        <f>-1.5219*$L$332</f>
        <v>0</v>
      </c>
      <c r="M359">
        <f>0+D359+E359+G359+H359+I359+J359+K359+L359</f>
        <v>0</v>
      </c>
      <c r="N359">
        <f>0+D359+F359+G359+H359+I359+J359+K359+L359</f>
        <v>0</v>
      </c>
    </row>
    <row r="360" spans="3:14">
      <c r="C360" t="s">
        <v>40</v>
      </c>
      <c r="D360">
        <f>-7.3088*$D$332</f>
        <v>0</v>
      </c>
      <c r="E360">
        <f>89.7513*$E$332</f>
        <v>0</v>
      </c>
      <c r="F360">
        <f>-104.9694*$F$332</f>
        <v>0</v>
      </c>
      <c r="G360">
        <f>2.7254*$G$332</f>
        <v>0</v>
      </c>
      <c r="H360">
        <f>0*$H$332</f>
        <v>0</v>
      </c>
      <c r="I360">
        <f>-1.328*$I$332</f>
        <v>0</v>
      </c>
      <c r="J360">
        <f>30.174*$J$332</f>
        <v>0</v>
      </c>
      <c r="K360">
        <f>-40.232*$K$332</f>
        <v>0</v>
      </c>
      <c r="L360">
        <f>-1.593*$L$332</f>
        <v>0</v>
      </c>
      <c r="M360">
        <f>0+D360+E360+G360+H360+I360+J360+K360+L360</f>
        <v>0</v>
      </c>
      <c r="N360">
        <f>0+D360+F360+G360+H360+I360+J360+K360+L360</f>
        <v>0</v>
      </c>
    </row>
    <row r="361" spans="3:14">
      <c r="C361" t="s">
        <v>41</v>
      </c>
      <c r="D361">
        <f>-6.3981*$D$332</f>
        <v>0</v>
      </c>
      <c r="E361">
        <f>93.423*$E$332</f>
        <v>0</v>
      </c>
      <c r="F361">
        <f>-95.8058*$F$332</f>
        <v>0</v>
      </c>
      <c r="G361">
        <f>0.4053*$G$332</f>
        <v>0</v>
      </c>
      <c r="H361">
        <f>0*$H$332</f>
        <v>0</v>
      </c>
      <c r="I361">
        <f>-0.9765*$I$332</f>
        <v>0</v>
      </c>
      <c r="J361">
        <f>35.7358*$J$332</f>
        <v>0</v>
      </c>
      <c r="K361">
        <f>-47.6477*$K$332</f>
        <v>0</v>
      </c>
      <c r="L361">
        <f>-1.6716*$L$332</f>
        <v>0</v>
      </c>
      <c r="M361">
        <f>0+D361+E361+G361+H361+I361+J361+K361+L361</f>
        <v>0</v>
      </c>
      <c r="N361">
        <f>0+D361+F361+G361+H361+I361+J361+K361+L361</f>
        <v>0</v>
      </c>
    </row>
    <row r="362" spans="3:14">
      <c r="C362" t="s">
        <v>42</v>
      </c>
      <c r="D362">
        <f>-6.1282*$D$332</f>
        <v>0</v>
      </c>
      <c r="E362">
        <f>96.6176*$E$332</f>
        <v>0</v>
      </c>
      <c r="F362">
        <f>-86.0299*$F$332</f>
        <v>0</v>
      </c>
      <c r="G362">
        <f>-2.2935*$G$332</f>
        <v>0</v>
      </c>
      <c r="H362">
        <f>0*$H$332</f>
        <v>0</v>
      </c>
      <c r="I362">
        <f>-0.7176*$I$332</f>
        <v>0</v>
      </c>
      <c r="J362">
        <f>41.3243*$J$332</f>
        <v>0</v>
      </c>
      <c r="K362">
        <f>-55.0991*$K$332</f>
        <v>0</v>
      </c>
      <c r="L362">
        <f>-1.7318*$L$332</f>
        <v>0</v>
      </c>
      <c r="M362">
        <f>0+D362+E362+G362+H362+I362+J362+K362+L362</f>
        <v>0</v>
      </c>
      <c r="N362">
        <f>0+D362+F362+G362+H362+I362+J362+K362+L362</f>
        <v>0</v>
      </c>
    </row>
    <row r="363" spans="3:14">
      <c r="C363" t="s">
        <v>43</v>
      </c>
      <c r="D363">
        <f>0.4822*$D$332</f>
        <v>0</v>
      </c>
      <c r="E363">
        <f>70.5224*$E$332</f>
        <v>0</v>
      </c>
      <c r="F363">
        <f>-85.2557*$F$332</f>
        <v>0</v>
      </c>
      <c r="G363">
        <f>5.6079*$G$332</f>
        <v>0</v>
      </c>
      <c r="H363">
        <f>0*$H$332</f>
        <v>0</v>
      </c>
      <c r="I363">
        <f>-0.5883*$I$332</f>
        <v>0</v>
      </c>
      <c r="J363">
        <f>0.5902*$J$332</f>
        <v>0</v>
      </c>
      <c r="K363">
        <f>-0.7869*$K$332</f>
        <v>0</v>
      </c>
      <c r="L363">
        <f>-1.7875*$L$332</f>
        <v>0</v>
      </c>
      <c r="M363">
        <f>0+D363+E363+G363+H363+I363+J363+K363+L363</f>
        <v>0</v>
      </c>
      <c r="N363">
        <f>0+D363+F363+G363+H363+I363+J363+K363+L363</f>
        <v>0</v>
      </c>
    </row>
    <row r="364" spans="3:14">
      <c r="C364" t="s">
        <v>44</v>
      </c>
      <c r="D364">
        <f>0.5122*$D$332</f>
        <v>0</v>
      </c>
      <c r="E364">
        <f>69.6252*$E$332</f>
        <v>0</v>
      </c>
      <c r="F364">
        <f>-75.4641*$F$332</f>
        <v>0</v>
      </c>
      <c r="G364">
        <f>2.9073*$G$332</f>
        <v>0</v>
      </c>
      <c r="H364">
        <f>0*$H$332</f>
        <v>0</v>
      </c>
      <c r="I364">
        <f>-0.3491*$I$332</f>
        <v>0</v>
      </c>
      <c r="J364">
        <f>4.9352*$J$332</f>
        <v>0</v>
      </c>
      <c r="K364">
        <f>-6.5802*$K$332</f>
        <v>0</v>
      </c>
      <c r="L364">
        <f>-1.7344*$L$332</f>
        <v>0</v>
      </c>
      <c r="M364">
        <f>0+D364+E364+G364+H364+I364+J364+K364+L364</f>
        <v>0</v>
      </c>
      <c r="N364">
        <f>0+D364+F364+G364+H364+I364+J364+K364+L364</f>
        <v>0</v>
      </c>
    </row>
    <row r="365" spans="3:14">
      <c r="C365" t="s">
        <v>45</v>
      </c>
      <c r="D365">
        <f>0.3387*$D$332</f>
        <v>0</v>
      </c>
      <c r="E365">
        <f>68.5847*$E$332</f>
        <v>0</v>
      </c>
      <c r="F365">
        <f>-69.3115*$F$332</f>
        <v>0</v>
      </c>
      <c r="G365">
        <f>0.424*$G$332</f>
        <v>0</v>
      </c>
      <c r="H365">
        <f>0*$H$332</f>
        <v>0</v>
      </c>
      <c r="I365">
        <f>-0.1541*$I$332</f>
        <v>0</v>
      </c>
      <c r="J365">
        <f>9.3864*$J$332</f>
        <v>0</v>
      </c>
      <c r="K365">
        <f>-12.5153*$K$332</f>
        <v>0</v>
      </c>
      <c r="L365">
        <f>-1.6598*$L$332</f>
        <v>0</v>
      </c>
      <c r="M365">
        <f>0+D365+E365+G365+H365+I365+J365+K365+L365</f>
        <v>0</v>
      </c>
      <c r="N365">
        <f>0+D365+F365+G365+H365+I365+J365+K365+L365</f>
        <v>0</v>
      </c>
    </row>
    <row r="366" spans="3:14">
      <c r="C366" t="s">
        <v>46</v>
      </c>
      <c r="D366">
        <f>-0.2304*$D$332</f>
        <v>0</v>
      </c>
      <c r="E366">
        <f>68.9612*$E$332</f>
        <v>0</v>
      </c>
      <c r="F366">
        <f>-61.1371*$F$332</f>
        <v>0</v>
      </c>
      <c r="G366">
        <f>-2.231*$G$332</f>
        <v>0</v>
      </c>
      <c r="H366">
        <f>0*$H$332</f>
        <v>0</v>
      </c>
      <c r="I366">
        <f>-0.0038*$I$332</f>
        <v>0</v>
      </c>
      <c r="J366">
        <f>14.3334*$J$332</f>
        <v>0</v>
      </c>
      <c r="K366">
        <f>-19.1112*$K$332</f>
        <v>0</v>
      </c>
      <c r="L366">
        <f>-1.5661*$L$332</f>
        <v>0</v>
      </c>
      <c r="M366">
        <f>0+D366+E366+G366+H366+I366+J366+K366+L366</f>
        <v>0</v>
      </c>
      <c r="N366">
        <f>0+D366+F366+G366+H366+I366+J366+K366+L366</f>
        <v>0</v>
      </c>
    </row>
    <row r="367" spans="3:14">
      <c r="C367" t="s">
        <v>47</v>
      </c>
      <c r="D367">
        <f>-1.4039*$D$332</f>
        <v>0</v>
      </c>
      <c r="E367">
        <f>69.7463*$E$332</f>
        <v>0</v>
      </c>
      <c r="F367">
        <f>-53.9214*$F$332</f>
        <v>0</v>
      </c>
      <c r="G367">
        <f>-5.2213*$G$332</f>
        <v>0</v>
      </c>
      <c r="H367">
        <f>0*$H$332</f>
        <v>0</v>
      </c>
      <c r="I367">
        <f>0.0619*$I$332</f>
        <v>0</v>
      </c>
      <c r="J367">
        <f>19.8597*$J$332</f>
        <v>0</v>
      </c>
      <c r="K367">
        <f>-26.4797*$K$332</f>
        <v>0</v>
      </c>
      <c r="L367">
        <f>-1.3994*$L$332</f>
        <v>0</v>
      </c>
      <c r="M367">
        <f>0+D367+E367+G367+H367+I367+J367+K367+L367</f>
        <v>0</v>
      </c>
      <c r="N367">
        <f>0+D367+F367+G367+H367+I367+J367+K367+L367</f>
        <v>0</v>
      </c>
    </row>
    <row r="368" spans="3:14">
      <c r="C368" t="s">
        <v>48</v>
      </c>
      <c r="D368">
        <f>2.3571*$D$332</f>
        <v>0</v>
      </c>
      <c r="E368">
        <f>57.5913*$E$332</f>
        <v>0</v>
      </c>
      <c r="F368">
        <f>-67.7867*$F$332</f>
        <v>0</v>
      </c>
      <c r="G368">
        <f>3.4529*$G$332</f>
        <v>0</v>
      </c>
      <c r="H368">
        <f>0*$H$332</f>
        <v>0</v>
      </c>
      <c r="I368">
        <f>-0.2375*$I$332</f>
        <v>0</v>
      </c>
      <c r="J368">
        <f>-14.1038*$J$332</f>
        <v>0</v>
      </c>
      <c r="K368">
        <f>18.805*$K$332</f>
        <v>0</v>
      </c>
      <c r="L368">
        <f>-0.8532*$L$332</f>
        <v>0</v>
      </c>
      <c r="M368">
        <f>0+D368+E368+G368+H368+I368+J368+K368+L368</f>
        <v>0</v>
      </c>
      <c r="N368">
        <f>0+D368+F368+G368+H368+I368+J368+K368+L368</f>
        <v>0</v>
      </c>
    </row>
    <row r="369" spans="3:14">
      <c r="C369" t="s">
        <v>49</v>
      </c>
      <c r="D369">
        <f>1.3977*$D$332</f>
        <v>0</v>
      </c>
      <c r="E369">
        <f>64.7429*$E$332</f>
        <v>0</v>
      </c>
      <c r="F369">
        <f>-68.6476*$F$332</f>
        <v>0</v>
      </c>
      <c r="G369">
        <f>0.7333*$G$332</f>
        <v>0</v>
      </c>
      <c r="H369">
        <f>0*$H$332</f>
        <v>0</v>
      </c>
      <c r="I369">
        <f>-0.1435*$I$332</f>
        <v>0</v>
      </c>
      <c r="J369">
        <f>-9.512*$J$332</f>
        <v>0</v>
      </c>
      <c r="K369">
        <f>12.6827*$K$332</f>
        <v>0</v>
      </c>
      <c r="L369">
        <f>-0.5604*$L$332</f>
        <v>0</v>
      </c>
      <c r="M369">
        <f>0+D369+E369+G369+H369+I369+J369+K369+L369</f>
        <v>0</v>
      </c>
      <c r="N369">
        <f>0+D369+F369+G369+H369+I369+J369+K369+L369</f>
        <v>0</v>
      </c>
    </row>
    <row r="370" spans="3:14">
      <c r="C370" t="s">
        <v>50</v>
      </c>
      <c r="D370">
        <f>0.8633*$D$332</f>
        <v>0</v>
      </c>
      <c r="E370">
        <f>70.3638*$E$332</f>
        <v>0</v>
      </c>
      <c r="F370">
        <f>-68.1303*$F$332</f>
        <v>0</v>
      </c>
      <c r="G370">
        <f>-1.7698*$G$332</f>
        <v>0</v>
      </c>
      <c r="H370">
        <f>0*$H$332</f>
        <v>0</v>
      </c>
      <c r="I370">
        <f>-0.0006187*$I$332</f>
        <v>0</v>
      </c>
      <c r="J370">
        <f>-5.0202*$J$332</f>
        <v>0</v>
      </c>
      <c r="K370">
        <f>6.6936*$K$332</f>
        <v>0</v>
      </c>
      <c r="L370">
        <f>-0.2562*$L$332</f>
        <v>0</v>
      </c>
      <c r="M370">
        <f>0+D370+E370+G370+H370+I370+J370+K370+L370</f>
        <v>0</v>
      </c>
      <c r="N370">
        <f>0+D370+F370+G370+H370+I370+J370+K370+L370</f>
        <v>0</v>
      </c>
    </row>
    <row r="371" spans="3:14">
      <c r="C371" t="s">
        <v>51</v>
      </c>
      <c r="D371">
        <f>0.6261*$D$332</f>
        <v>0</v>
      </c>
      <c r="E371">
        <f>78.4643*$E$332</f>
        <v>0</v>
      </c>
      <c r="F371">
        <f>-69.4716*$F$332</f>
        <v>0</v>
      </c>
      <c r="G371">
        <f>-4.4467*$G$332</f>
        <v>0</v>
      </c>
      <c r="H371">
        <f>0*$H$332</f>
        <v>0</v>
      </c>
      <c r="I371">
        <f>0.1995*$I$332</f>
        <v>0</v>
      </c>
      <c r="J371">
        <f>-0.26*$J$332</f>
        <v>0</v>
      </c>
      <c r="K371">
        <f>0.3466*$K$332</f>
        <v>0</v>
      </c>
      <c r="L371">
        <f>-0.0166*$L$332</f>
        <v>0</v>
      </c>
      <c r="M371">
        <f>0+D371+E371+G371+H371+I371+J371+K371+L371</f>
        <v>0</v>
      </c>
      <c r="N371">
        <f>0+D371+F371+G371+H371+I371+J371+K371+L371</f>
        <v>0</v>
      </c>
    </row>
    <row r="372" spans="3:14">
      <c r="C372" t="s">
        <v>52</v>
      </c>
      <c r="D372">
        <f>0.4764*$D$332</f>
        <v>0</v>
      </c>
      <c r="E372">
        <f>90.2557*$E$332</f>
        <v>0</v>
      </c>
      <c r="F372">
        <f>-71.4599*$F$332</f>
        <v>0</v>
      </c>
      <c r="G372">
        <f>-7.4537*$G$332</f>
        <v>0</v>
      </c>
      <c r="H372">
        <f>0*$H$332</f>
        <v>0</v>
      </c>
      <c r="I372">
        <f>0.4175*$I$332</f>
        <v>0</v>
      </c>
      <c r="J372">
        <f>4.729*$J$332</f>
        <v>0</v>
      </c>
      <c r="K372">
        <f>-6.3053*$K$332</f>
        <v>0</v>
      </c>
      <c r="L372">
        <f>0.0304*$L$332</f>
        <v>0</v>
      </c>
      <c r="M372">
        <f>0+D372+E372+G372+H372+I372+J372+K372+L372</f>
        <v>0</v>
      </c>
      <c r="N372">
        <f>0+D372+F372+G372+H372+I372+J372+K372+L372</f>
        <v>0</v>
      </c>
    </row>
    <row r="373" spans="3:14">
      <c r="C373" t="s">
        <v>53</v>
      </c>
      <c r="D373">
        <f>5.2457*$D$332</f>
        <v>0</v>
      </c>
      <c r="E373">
        <f>90.8285*$E$332</f>
        <v>0</v>
      </c>
      <c r="F373">
        <f>-96.297*$F$332</f>
        <v>0</v>
      </c>
      <c r="G373">
        <f>0.4753*$G$332</f>
        <v>0</v>
      </c>
      <c r="H373">
        <f>0*$H$332</f>
        <v>0</v>
      </c>
      <c r="I373">
        <f>0.3129*$I$332</f>
        <v>0</v>
      </c>
      <c r="J373">
        <f>-35.3152*$J$332</f>
        <v>0</v>
      </c>
      <c r="K373">
        <f>47.0869*$K$332</f>
        <v>0</v>
      </c>
      <c r="L373">
        <f>0.6829*$L$332</f>
        <v>0</v>
      </c>
      <c r="M373">
        <f>0+D373+E373+G373+H373+I373+J373+K373+L373</f>
        <v>0</v>
      </c>
      <c r="N373">
        <f>0+D373+F373+G373+H373+I373+J373+K373+L373</f>
        <v>0</v>
      </c>
    </row>
    <row r="374" spans="3:14">
      <c r="C374" t="s">
        <v>54</v>
      </c>
      <c r="D374">
        <f>5.9385*$D$332</f>
        <v>0</v>
      </c>
      <c r="E374">
        <f>99.499*$E$332</f>
        <v>0</v>
      </c>
      <c r="F374">
        <f>-92.6459*$F$332</f>
        <v>0</v>
      </c>
      <c r="G374">
        <f>-2.0226*$G$332</f>
        <v>0</v>
      </c>
      <c r="H374">
        <f>0*$H$332</f>
        <v>0</v>
      </c>
      <c r="I374">
        <f>0.6348*$I$332</f>
        <v>0</v>
      </c>
      <c r="J374">
        <f>-31.056*$J$332</f>
        <v>0</v>
      </c>
      <c r="K374">
        <f>41.408*$K$332</f>
        <v>0</v>
      </c>
      <c r="L374">
        <f>0.9191*$L$332</f>
        <v>0</v>
      </c>
      <c r="M374">
        <f>0+D374+E374+G374+H374+I374+J374+K374+L374</f>
        <v>0</v>
      </c>
      <c r="N374">
        <f>0+D374+F374+G374+H374+I374+J374+K374+L374</f>
        <v>0</v>
      </c>
    </row>
    <row r="375" spans="3:14">
      <c r="C375" t="s">
        <v>55</v>
      </c>
      <c r="D375">
        <f>7.5972*$D$332</f>
        <v>0</v>
      </c>
      <c r="E375">
        <f>109.737*$E$332</f>
        <v>0</v>
      </c>
      <c r="F375">
        <f>-88.954*$F$332</f>
        <v>0</v>
      </c>
      <c r="G375">
        <f>-4.1979*$G$332</f>
        <v>0</v>
      </c>
      <c r="H375">
        <f>0*$H$332</f>
        <v>0</v>
      </c>
      <c r="I375">
        <f>1.0855*$I$332</f>
        <v>0</v>
      </c>
      <c r="J375">
        <f>-26.7807*$J$332</f>
        <v>0</v>
      </c>
      <c r="K375">
        <f>35.7076*$K$332</f>
        <v>0</v>
      </c>
      <c r="L375">
        <f>1.4052*$L$332</f>
        <v>0</v>
      </c>
      <c r="M375">
        <f>0+D375+E375+G375+H375+I375+J375+K375+L375</f>
        <v>0</v>
      </c>
      <c r="N375">
        <f>0+D375+F375+G375+H375+I375+J375+K375+L375</f>
        <v>0</v>
      </c>
    </row>
    <row r="376" spans="3:14">
      <c r="C376" t="s">
        <v>56</v>
      </c>
      <c r="D376">
        <f>9.954*$D$332</f>
        <v>0</v>
      </c>
      <c r="E376">
        <f>122.303*$E$332</f>
        <v>0</v>
      </c>
      <c r="F376">
        <f>-84.7832*$F$332</f>
        <v>0</v>
      </c>
      <c r="G376">
        <f>-6.1998*$G$332</f>
        <v>0</v>
      </c>
      <c r="H376">
        <f>0*$H$332</f>
        <v>0</v>
      </c>
      <c r="I376">
        <f>1.6433*$I$332</f>
        <v>0</v>
      </c>
      <c r="J376">
        <f>-21.4602*$J$332</f>
        <v>0</v>
      </c>
      <c r="K376">
        <f>28.6135*$K$332</f>
        <v>0</v>
      </c>
      <c r="L376">
        <f>1.8692*$L$332</f>
        <v>0</v>
      </c>
      <c r="M376">
        <f>0+D376+E376+G376+H376+I376+J376+K376+L376</f>
        <v>0</v>
      </c>
      <c r="N376">
        <f>0+D376+F376+G376+H376+I376+J376+K376+L376</f>
        <v>0</v>
      </c>
    </row>
    <row r="377" spans="3:14">
      <c r="C377" t="s">
        <v>57</v>
      </c>
      <c r="D377">
        <f>10.927*$D$332</f>
        <v>0</v>
      </c>
      <c r="E377">
        <f>129.1561*$E$332</f>
        <v>0</v>
      </c>
      <c r="F377">
        <f>-81.1694*$F$332</f>
        <v>0</v>
      </c>
      <c r="G377">
        <f>-7.8923*$G$332</f>
        <v>0</v>
      </c>
      <c r="H377">
        <f>0*$H$332</f>
        <v>0</v>
      </c>
      <c r="I377">
        <f>2.0103*$I$332</f>
        <v>0</v>
      </c>
      <c r="J377">
        <f>-10.7533*$J$332</f>
        <v>0</v>
      </c>
      <c r="K377">
        <f>14.3377*$K$332</f>
        <v>0</v>
      </c>
      <c r="L377">
        <f>1.8092*$L$332</f>
        <v>0</v>
      </c>
      <c r="M377">
        <f>0+D377+E377+G377+H377+I377+J377+K377+L377</f>
        <v>0</v>
      </c>
      <c r="N377">
        <f>0+D377+F377+G377+H377+I377+J377+K377+L377</f>
        <v>0</v>
      </c>
    </row>
    <row r="378" spans="3:14">
      <c r="C378" t="s">
        <v>58</v>
      </c>
      <c r="D378">
        <f>10.5717*$D$332</f>
        <v>0</v>
      </c>
      <c r="E378">
        <f>75.1195*$E$332</f>
        <v>0</v>
      </c>
      <c r="F378">
        <f>-101.1291*$F$332</f>
        <v>0</v>
      </c>
      <c r="G378">
        <f>-1.4425*$G$332</f>
        <v>0</v>
      </c>
      <c r="H378">
        <f>0*$H$332</f>
        <v>0</v>
      </c>
      <c r="I378">
        <f>1.3155*$I$332</f>
        <v>0</v>
      </c>
      <c r="J378">
        <f>-31.8542*$J$332</f>
        <v>0</v>
      </c>
      <c r="K378">
        <f>42.4722*$K$332</f>
        <v>0</v>
      </c>
      <c r="L378">
        <f>1.7216*$L$332</f>
        <v>0</v>
      </c>
      <c r="M378">
        <f>0+D378+E378+G378+H378+I378+J378+K378+L378</f>
        <v>0</v>
      </c>
      <c r="N378">
        <f>0+D378+F378+G378+H378+I378+J378+K378+L378</f>
        <v>0</v>
      </c>
    </row>
    <row r="379" spans="3:14">
      <c r="C379" t="s">
        <v>58</v>
      </c>
      <c r="D379">
        <f>-11.2619*$D$332</f>
        <v>0</v>
      </c>
      <c r="E379">
        <f>13.9476*$E$332</f>
        <v>0</v>
      </c>
      <c r="F379">
        <f>-30.7036*$F$332</f>
        <v>0</v>
      </c>
      <c r="G379">
        <f>0.503*$G$332</f>
        <v>0</v>
      </c>
      <c r="H379">
        <f>0*$H$332</f>
        <v>0</v>
      </c>
      <c r="I379">
        <f>-1.3698*$I$332</f>
        <v>0</v>
      </c>
      <c r="J379">
        <f>23.7984*$J$332</f>
        <v>0</v>
      </c>
      <c r="K379">
        <f>-31.7312*$K$332</f>
        <v>0</v>
      </c>
      <c r="L379">
        <f>-12.6889*$L$332</f>
        <v>0</v>
      </c>
      <c r="M379">
        <f>0+D379+E379+G379+H379+I379+J379+K379+L379</f>
        <v>0</v>
      </c>
      <c r="N379">
        <f>0+D379+F379+G379+H379+I379+J379+K379+L379</f>
        <v>0</v>
      </c>
    </row>
    <row r="380" spans="3:14">
      <c r="C380" t="s">
        <v>59</v>
      </c>
      <c r="D380">
        <f>-8.4786*$D$332</f>
        <v>0</v>
      </c>
      <c r="E380">
        <f>13.8927*$E$332</f>
        <v>0</v>
      </c>
      <c r="F380">
        <f>-30.7036*$F$332</f>
        <v>0</v>
      </c>
      <c r="G380">
        <f>0.503*$G$332</f>
        <v>0</v>
      </c>
      <c r="H380">
        <f>0*$H$332</f>
        <v>0</v>
      </c>
      <c r="I380">
        <f>-1.3698*$I$332</f>
        <v>0</v>
      </c>
      <c r="J380">
        <f>23.7984*$J$332</f>
        <v>0</v>
      </c>
      <c r="K380">
        <f>-31.7312*$K$332</f>
        <v>0</v>
      </c>
      <c r="L380">
        <f>-12.6889*$L$332</f>
        <v>0</v>
      </c>
      <c r="M380">
        <f>0+D380+E380+G380+H380+I380+J380+K380+L380</f>
        <v>0</v>
      </c>
      <c r="N380">
        <f>0+D380+F380+G380+H380+I380+J380+K380+L380</f>
        <v>0</v>
      </c>
    </row>
    <row r="381" spans="3:14">
      <c r="C381" t="s">
        <v>60</v>
      </c>
      <c r="D381">
        <f>-10.8031*$D$332</f>
        <v>0</v>
      </c>
      <c r="E381">
        <f>40.6054*$E$332</f>
        <v>0</v>
      </c>
      <c r="F381">
        <f>-63.7045*$F$332</f>
        <v>0</v>
      </c>
      <c r="G381">
        <f>5.3797*$G$332</f>
        <v>0</v>
      </c>
      <c r="H381">
        <f>0*$H$332</f>
        <v>0</v>
      </c>
      <c r="I381">
        <f>-2.1965*$I$332</f>
        <v>0</v>
      </c>
      <c r="J381">
        <f>8.2399*$J$332</f>
        <v>0</v>
      </c>
      <c r="K381">
        <f>-10.9865*$K$332</f>
        <v>0</v>
      </c>
      <c r="L381">
        <f>-14.473*$L$332</f>
        <v>0</v>
      </c>
      <c r="M381">
        <f>0+D381+E381+G381+H381+I381+J381+K381+L381</f>
        <v>0</v>
      </c>
      <c r="N381">
        <f>0+D381+F381+G381+H381+I381+J381+K381+L381</f>
        <v>0</v>
      </c>
    </row>
    <row r="382" spans="3:14">
      <c r="C382" t="s">
        <v>61</v>
      </c>
      <c r="D382">
        <f>-10.5626*$D$332</f>
        <v>0</v>
      </c>
      <c r="E382">
        <f>42.7298*$E$332</f>
        <v>0</v>
      </c>
      <c r="F382">
        <f>-67.5445*$F$332</f>
        <v>0</v>
      </c>
      <c r="G382">
        <f>3.412*$G$332</f>
        <v>0</v>
      </c>
      <c r="H382">
        <f>0*$H$332</f>
        <v>0</v>
      </c>
      <c r="I382">
        <f>-1.9411*$I$332</f>
        <v>0</v>
      </c>
      <c r="J382">
        <f>14.9833*$J$332</f>
        <v>0</v>
      </c>
      <c r="K382">
        <f>-19.9777*$K$332</f>
        <v>0</v>
      </c>
      <c r="L382">
        <f>-10.8215*$L$332</f>
        <v>0</v>
      </c>
      <c r="M382">
        <f>0+D382+E382+G382+H382+I382+J382+K382+L382</f>
        <v>0</v>
      </c>
      <c r="N382">
        <f>0+D382+F382+G382+H382+I382+J382+K382+L382</f>
        <v>0</v>
      </c>
    </row>
    <row r="383" spans="3:14">
      <c r="C383" t="s">
        <v>62</v>
      </c>
      <c r="D383">
        <f>-9.2116*$D$332</f>
        <v>0</v>
      </c>
      <c r="E383">
        <f>45.7319*$E$332</f>
        <v>0</v>
      </c>
      <c r="F383">
        <f>-60.2894*$F$332</f>
        <v>0</v>
      </c>
      <c r="G383">
        <f>1.145*$G$332</f>
        <v>0</v>
      </c>
      <c r="H383">
        <f>0*$H$332</f>
        <v>0</v>
      </c>
      <c r="I383">
        <f>-1.5237*$I$332</f>
        <v>0</v>
      </c>
      <c r="J383">
        <f>18.434*$J$332</f>
        <v>0</v>
      </c>
      <c r="K383">
        <f>-24.5787*$K$332</f>
        <v>0</v>
      </c>
      <c r="L383">
        <f>-7.2179*$L$332</f>
        <v>0</v>
      </c>
      <c r="M383">
        <f>0+D383+E383+G383+H383+I383+J383+K383+L383</f>
        <v>0</v>
      </c>
      <c r="N383">
        <f>0+D383+F383+G383+H383+I383+J383+K383+L383</f>
        <v>0</v>
      </c>
    </row>
    <row r="384" spans="3:14">
      <c r="C384" t="s">
        <v>63</v>
      </c>
      <c r="D384">
        <f>-7.8328*$D$332</f>
        <v>0</v>
      </c>
      <c r="E384">
        <f>49.0677*$E$332</f>
        <v>0</v>
      </c>
      <c r="F384">
        <f>-50.7016*$F$332</f>
        <v>0</v>
      </c>
      <c r="G384">
        <f>-1.5143*$G$332</f>
        <v>0</v>
      </c>
      <c r="H384">
        <f>0*$H$332</f>
        <v>0</v>
      </c>
      <c r="I384">
        <f>-1.0807*$I$332</f>
        <v>0</v>
      </c>
      <c r="J384">
        <f>21.2892*$J$332</f>
        <v>0</v>
      </c>
      <c r="K384">
        <f>-28.3855*$K$332</f>
        <v>0</v>
      </c>
      <c r="L384">
        <f>-4.871*$L$332</f>
        <v>0</v>
      </c>
      <c r="M384">
        <f>0+D384+E384+G384+H384+I384+J384+K384+L384</f>
        <v>0</v>
      </c>
      <c r="N384">
        <f>0+D384+F384+G384+H384+I384+J384+K384+L384</f>
        <v>0</v>
      </c>
    </row>
    <row r="385" spans="3:14">
      <c r="C385" t="s">
        <v>64</v>
      </c>
      <c r="D385">
        <f>-6.323*$D$332</f>
        <v>0</v>
      </c>
      <c r="E385">
        <f>55.9153*$E$332</f>
        <v>0</v>
      </c>
      <c r="F385">
        <f>-39.9108*$F$332</f>
        <v>0</v>
      </c>
      <c r="G385">
        <f>-4.5594*$G$332</f>
        <v>0</v>
      </c>
      <c r="H385">
        <f>0*$H$332</f>
        <v>0</v>
      </c>
      <c r="I385">
        <f>-0.6143*$I$332</f>
        <v>0</v>
      </c>
      <c r="J385">
        <f>23.5434*$J$332</f>
        <v>0</v>
      </c>
      <c r="K385">
        <f>-31.3911*$K$332</f>
        <v>0</v>
      </c>
      <c r="L385">
        <f>-3.9656*$L$332</f>
        <v>0</v>
      </c>
      <c r="M385">
        <f>0+D385+E385+G385+H385+I385+J385+K385+L385</f>
        <v>0</v>
      </c>
      <c r="N385">
        <f>0+D385+F385+G385+H385+I385+J385+K385+L385</f>
        <v>0</v>
      </c>
    </row>
    <row r="386" spans="3:14">
      <c r="C386" t="s">
        <v>65</v>
      </c>
      <c r="D386">
        <f>-3.1287*$D$332</f>
        <v>0</v>
      </c>
      <c r="E386">
        <f>39.0596*$E$332</f>
        <v>0</v>
      </c>
      <c r="F386">
        <f>-56.0476*$F$332</f>
        <v>0</v>
      </c>
      <c r="G386">
        <f>1.2458*$G$332</f>
        <v>0</v>
      </c>
      <c r="H386">
        <f>0*$H$332</f>
        <v>0</v>
      </c>
      <c r="I386">
        <f>-0.8605*$I$332</f>
        <v>0</v>
      </c>
      <c r="J386">
        <f>-33.2736*$J$332</f>
        <v>0</v>
      </c>
      <c r="K386">
        <f>44.3648*$K$332</f>
        <v>0</v>
      </c>
      <c r="L386">
        <f>6.8489*$L$332</f>
        <v>0</v>
      </c>
      <c r="M386">
        <f>0+D386+E386+G386+H386+I386+J386+K386+L386</f>
        <v>0</v>
      </c>
      <c r="N386">
        <f>0+D386+F386+G386+H386+I386+J386+K386+L386</f>
        <v>0</v>
      </c>
    </row>
    <row r="387" spans="3:14">
      <c r="C387" t="s">
        <v>66</v>
      </c>
      <c r="D387">
        <f>-1.4866*$D$332</f>
        <v>0</v>
      </c>
      <c r="E387">
        <f>47.5203*$E$332</f>
        <v>0</v>
      </c>
      <c r="F387">
        <f>-49.668*$F$332</f>
        <v>0</v>
      </c>
      <c r="G387">
        <f>-1.8249*$G$332</f>
        <v>0</v>
      </c>
      <c r="H387">
        <f>0*$H$332</f>
        <v>0</v>
      </c>
      <c r="I387">
        <f>-0.3545*$I$332</f>
        <v>0</v>
      </c>
      <c r="J387">
        <f>-32.4977*$J$332</f>
        <v>0</v>
      </c>
      <c r="K387">
        <f>43.3303*$K$332</f>
        <v>0</v>
      </c>
      <c r="L387">
        <f>8.638*$L$332</f>
        <v>0</v>
      </c>
      <c r="M387">
        <f>0+D387+E387+G387+H387+I387+J387+K387+L387</f>
        <v>0</v>
      </c>
      <c r="N387">
        <f>0+D387+F387+G387+H387+I387+J387+K387+L387</f>
        <v>0</v>
      </c>
    </row>
    <row r="388" spans="3:14">
      <c r="C388" t="s">
        <v>67</v>
      </c>
      <c r="D388">
        <f>0.1391*$D$332</f>
        <v>0</v>
      </c>
      <c r="E388">
        <f>54.9877*$E$332</f>
        <v>0</v>
      </c>
      <c r="F388">
        <f>-47.4891*$F$332</f>
        <v>0</v>
      </c>
      <c r="G388">
        <f>-4.5203*$G$332</f>
        <v>0</v>
      </c>
      <c r="H388">
        <f>0*$H$332</f>
        <v>0</v>
      </c>
      <c r="I388">
        <f>0.1265*$I$332</f>
        <v>0</v>
      </c>
      <c r="J388">
        <f>-31.2014*$J$332</f>
        <v>0</v>
      </c>
      <c r="K388">
        <f>41.6019*$K$332</f>
        <v>0</v>
      </c>
      <c r="L388">
        <f>11.0379*$L$332</f>
        <v>0</v>
      </c>
      <c r="M388">
        <f>0+D388+E388+G388+H388+I388+J388+K388+L388</f>
        <v>0</v>
      </c>
      <c r="N388">
        <f>0+D388+F388+G388+H388+I388+J388+K388+L388</f>
        <v>0</v>
      </c>
    </row>
    <row r="389" spans="3:14">
      <c r="C389" t="s">
        <v>68</v>
      </c>
      <c r="D389">
        <f>1.675*$D$332</f>
        <v>0</v>
      </c>
      <c r="E389">
        <f>62.5496*$E$332</f>
        <v>0</v>
      </c>
      <c r="F389">
        <f>-46.6171*$F$332</f>
        <v>0</v>
      </c>
      <c r="G389">
        <f>-6.8701*$G$332</f>
        <v>0</v>
      </c>
      <c r="H389">
        <f>0*$H$332</f>
        <v>0</v>
      </c>
      <c r="I389">
        <f>0.5813*$I$332</f>
        <v>0</v>
      </c>
      <c r="J389">
        <f>-27.7786*$J$332</f>
        <v>0</v>
      </c>
      <c r="K389">
        <f>37.0381*$K$332</f>
        <v>0</v>
      </c>
      <c r="L389">
        <f>13.5426*$L$332</f>
        <v>0</v>
      </c>
      <c r="M389">
        <f>0+D389+E389+G389+H389+I389+J389+K389+L389</f>
        <v>0</v>
      </c>
      <c r="N389">
        <f>0+D389+F389+G389+H389+I389+J389+K389+L389</f>
        <v>0</v>
      </c>
    </row>
    <row r="390" spans="3:14">
      <c r="C390" t="s">
        <v>69</v>
      </c>
      <c r="D390">
        <f>3.8436*$D$332</f>
        <v>0</v>
      </c>
      <c r="E390">
        <f>63.7231*$E$332</f>
        <v>0</v>
      </c>
      <c r="F390">
        <f>-51.4364*$F$332</f>
        <v>0</v>
      </c>
      <c r="G390">
        <f>-8.6027*$G$332</f>
        <v>0</v>
      </c>
      <c r="H390">
        <f>0*$H$332</f>
        <v>0</v>
      </c>
      <c r="I390">
        <f>1.114*$I$332</f>
        <v>0</v>
      </c>
      <c r="J390">
        <f>-30.8453*$J$332</f>
        <v>0</v>
      </c>
      <c r="K390">
        <f>41.127*$K$332</f>
        <v>0</v>
      </c>
      <c r="L390">
        <f>15.2345*$L$332</f>
        <v>0</v>
      </c>
      <c r="M390">
        <f>0+D390+E390+G390+H390+I390+J390+K390+L390</f>
        <v>0</v>
      </c>
      <c r="N390">
        <f>0+D390+F390+G390+H390+I390+J390+K390+L390</f>
        <v>0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Left Exterior Girder</vt:lpstr>
      <vt:lpstr>Interior Girder 1</vt:lpstr>
      <vt:lpstr>Interior Girder 2</vt:lpstr>
      <vt:lpstr>Right Exterior Girder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2019-04-12T13:42:36Z</dcterms:created>
  <dcterms:modified xsi:type="dcterms:W3CDTF">2019-04-12T13:42:36Z</dcterms:modified>
</cp:coreProperties>
</file>