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ght Exterior Girder" sheetId="1" r:id="rId1"/>
    <sheet name="Interior Girder 1" sheetId="2" r:id="rId2"/>
    <sheet name="Interior Girder 2" sheetId="3" r:id="rId3"/>
    <sheet name="Left Exterior Girder" sheetId="4" r:id="rId4"/>
  </sheets>
  <calcPr calcId="124519" fullCalcOnLoad="1"/>
</workbook>
</file>

<file path=xl/sharedStrings.xml><?xml version="1.0" encoding="utf-8"?>
<sst xmlns="http://schemas.openxmlformats.org/spreadsheetml/2006/main" count="288" uniqueCount="12">
  <si>
    <t>Stations</t>
  </si>
  <si>
    <t>GirderDist</t>
  </si>
  <si>
    <t>Barrier</t>
  </si>
  <si>
    <t>DEAD</t>
  </si>
  <si>
    <t>FWS</t>
  </si>
  <si>
    <t>Sidewalk</t>
  </si>
  <si>
    <t>TEST</t>
  </si>
  <si>
    <t>T_Change_Neg</t>
  </si>
  <si>
    <t>T_Change_Pos</t>
  </si>
  <si>
    <t>Max_MOVE1</t>
  </si>
  <si>
    <t>Min_MOVE1</t>
  </si>
  <si>
    <t>Max_MOVE1 Combo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</si>
</sst>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C10:N67" totalsRowShown="0">
  <autoFilter ref="C10:N67"/>
  <tableColumns count="12">
    <tableColumn id="1" name="Stations"/>
    <tableColumn id="2" name="GirderDist"/>
    <tableColumn id="3" name="Barrier"/>
    <tableColumn id="4" name="DEAD"/>
    <tableColumn id="5" name="FWS"/>
    <tableColumn id="6" name="Sidewalk"/>
    <tableColumn id="7" name="TEST"/>
    <tableColumn id="8" name="T_Change_Neg"/>
    <tableColumn id="9" name="T_Change_Pos"/>
    <tableColumn id="10" name="Max_MOVE1"/>
    <tableColumn id="11" name="Min_MOVE1"/>
    <tableColumn id="12" name="Max_MOVE1 Combo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C202:N259" totalsRowShown="0">
  <autoFilter ref="C202:N259"/>
  <tableColumns count="12">
    <tableColumn id="1" name="Stations"/>
    <tableColumn id="2" name="GirderDist"/>
    <tableColumn id="3" name="Barrier"/>
    <tableColumn id="4" name="DEAD"/>
    <tableColumn id="5" name="FWS"/>
    <tableColumn id="6" name="Sidewalk"/>
    <tableColumn id="7" name="TEST"/>
    <tableColumn id="8" name="T_Change_Neg"/>
    <tableColumn id="9" name="T_Change_Pos"/>
    <tableColumn id="10" name="Max_MOVE1"/>
    <tableColumn id="11" name="Min_MOVE1"/>
    <tableColumn id="12" name="Max_MOVE1 Combo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C266:N323" totalsRowShown="0">
  <autoFilter ref="C266:N323"/>
  <tableColumns count="12">
    <tableColumn id="1" name="Stations"/>
    <tableColumn id="2" name="GirderDist"/>
    <tableColumn id="3" name="Barrier"/>
    <tableColumn id="4" name="DEAD"/>
    <tableColumn id="5" name="FWS"/>
    <tableColumn id="6" name="Sidewalk"/>
    <tableColumn id="7" name="TEST"/>
    <tableColumn id="8" name="T_Change_Neg"/>
    <tableColumn id="9" name="T_Change_Pos"/>
    <tableColumn id="10" name="Max_MOVE1"/>
    <tableColumn id="11" name="Min_MOVE1"/>
    <tableColumn id="12" name="Max_MOVE1 Combo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C330:N387" totalsRowShown="0">
  <autoFilter ref="C330:N387"/>
  <tableColumns count="12">
    <tableColumn id="1" name="Stations"/>
    <tableColumn id="2" name="GirderDist"/>
    <tableColumn id="3" name="Barrier"/>
    <tableColumn id="4" name="DEAD"/>
    <tableColumn id="5" name="FWS"/>
    <tableColumn id="6" name="Sidewalk"/>
    <tableColumn id="7" name="TEST"/>
    <tableColumn id="8" name="T_Change_Neg"/>
    <tableColumn id="9" name="T_Change_Pos"/>
    <tableColumn id="10" name="Max_MOVE1"/>
    <tableColumn id="11" name="Min_MOVE1"/>
    <tableColumn id="12" name="Max_MOVE1 Combo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C10:N67" totalsRowShown="0">
  <autoFilter ref="C10:N67"/>
  <tableColumns count="12">
    <tableColumn id="1" name="Stations"/>
    <tableColumn id="2" name="GirderDist"/>
    <tableColumn id="3" name="Barrier"/>
    <tableColumn id="4" name="DEAD"/>
    <tableColumn id="5" name="FWS"/>
    <tableColumn id="6" name="Sidewalk"/>
    <tableColumn id="7" name="TEST"/>
    <tableColumn id="8" name="T_Change_Neg"/>
    <tableColumn id="9" name="T_Change_Pos"/>
    <tableColumn id="10" name="Max_MOVE1"/>
    <tableColumn id="11" name="Min_MOVE1"/>
    <tableColumn id="12" name="Max_MOVE1 Combo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C74:N131" totalsRowShown="0">
  <autoFilter ref="C74:N131"/>
  <tableColumns count="12">
    <tableColumn id="1" name="Stations"/>
    <tableColumn id="2" name="GirderDist"/>
    <tableColumn id="3" name="Barrier"/>
    <tableColumn id="4" name="DEAD"/>
    <tableColumn id="5" name="FWS"/>
    <tableColumn id="6" name="Sidewalk"/>
    <tableColumn id="7" name="TEST"/>
    <tableColumn id="8" name="T_Change_Neg"/>
    <tableColumn id="9" name="T_Change_Pos"/>
    <tableColumn id="10" name="Max_MOVE1"/>
    <tableColumn id="11" name="Min_MOVE1"/>
    <tableColumn id="12" name="Max_MOVE1 Combo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C138:N195" totalsRowShown="0">
  <autoFilter ref="C138:N195"/>
  <tableColumns count="12">
    <tableColumn id="1" name="Stations"/>
    <tableColumn id="2" name="GirderDist"/>
    <tableColumn id="3" name="Barrier"/>
    <tableColumn id="4" name="DEAD"/>
    <tableColumn id="5" name="FWS"/>
    <tableColumn id="6" name="Sidewalk"/>
    <tableColumn id="7" name="TEST"/>
    <tableColumn id="8" name="T_Change_Neg"/>
    <tableColumn id="9" name="T_Change_Pos"/>
    <tableColumn id="10" name="Max_MOVE1"/>
    <tableColumn id="11" name="Min_MOVE1"/>
    <tableColumn id="12" name="Max_MOVE1 Combo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C202:N259" totalsRowShown="0">
  <autoFilter ref="C202:N259"/>
  <tableColumns count="12">
    <tableColumn id="1" name="Stations"/>
    <tableColumn id="2" name="GirderDist"/>
    <tableColumn id="3" name="Barrier"/>
    <tableColumn id="4" name="DEAD"/>
    <tableColumn id="5" name="FWS"/>
    <tableColumn id="6" name="Sidewalk"/>
    <tableColumn id="7" name="TEST"/>
    <tableColumn id="8" name="T_Change_Neg"/>
    <tableColumn id="9" name="T_Change_Pos"/>
    <tableColumn id="10" name="Max_MOVE1"/>
    <tableColumn id="11" name="Min_MOVE1"/>
    <tableColumn id="12" name="Max_MOVE1 Combo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C266:N323" totalsRowShown="0">
  <autoFilter ref="C266:N323"/>
  <tableColumns count="12">
    <tableColumn id="1" name="Stations"/>
    <tableColumn id="2" name="GirderDist"/>
    <tableColumn id="3" name="Barrier"/>
    <tableColumn id="4" name="DEAD"/>
    <tableColumn id="5" name="FWS"/>
    <tableColumn id="6" name="Sidewalk"/>
    <tableColumn id="7" name="TEST"/>
    <tableColumn id="8" name="T_Change_Neg"/>
    <tableColumn id="9" name="T_Change_Pos"/>
    <tableColumn id="10" name="Max_MOVE1"/>
    <tableColumn id="11" name="Min_MOVE1"/>
    <tableColumn id="12" name="Max_MOVE1 Combo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C330:N387" totalsRowShown="0">
  <autoFilter ref="C330:N387"/>
  <tableColumns count="12">
    <tableColumn id="1" name="Stations"/>
    <tableColumn id="2" name="GirderDist"/>
    <tableColumn id="3" name="Barrier"/>
    <tableColumn id="4" name="DEAD"/>
    <tableColumn id="5" name="FWS"/>
    <tableColumn id="6" name="Sidewalk"/>
    <tableColumn id="7" name="TEST"/>
    <tableColumn id="8" name="T_Change_Neg"/>
    <tableColumn id="9" name="T_Change_Pos"/>
    <tableColumn id="10" name="Max_MOVE1"/>
    <tableColumn id="11" name="Min_MOVE1"/>
    <tableColumn id="12" name="Max_MOVE1 Combo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9" name="Table19" displayName="Table19" ref="C10:N67" totalsRowShown="0">
  <autoFilter ref="C10:N67"/>
  <tableColumns count="12">
    <tableColumn id="1" name="Stations"/>
    <tableColumn id="2" name="GirderDist"/>
    <tableColumn id="3" name="Barrier"/>
    <tableColumn id="4" name="DEAD"/>
    <tableColumn id="5" name="FWS"/>
    <tableColumn id="6" name="Sidewalk"/>
    <tableColumn id="7" name="TEST"/>
    <tableColumn id="8" name="T_Change_Neg"/>
    <tableColumn id="9" name="T_Change_Pos"/>
    <tableColumn id="10" name="Max_MOVE1"/>
    <tableColumn id="11" name="Min_MOVE1"/>
    <tableColumn id="12" name="Max_MOVE1 Comb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74:N131" totalsRowShown="0">
  <autoFilter ref="C74:N131"/>
  <tableColumns count="12">
    <tableColumn id="1" name="Stations"/>
    <tableColumn id="2" name="GirderDist"/>
    <tableColumn id="3" name="Barrier"/>
    <tableColumn id="4" name="DEAD"/>
    <tableColumn id="5" name="FWS"/>
    <tableColumn id="6" name="Sidewalk"/>
    <tableColumn id="7" name="TEST"/>
    <tableColumn id="8" name="T_Change_Neg"/>
    <tableColumn id="9" name="T_Change_Pos"/>
    <tableColumn id="10" name="Max_MOVE1"/>
    <tableColumn id="11" name="Min_MOVE1"/>
    <tableColumn id="12" name="Max_MOVE1 Combo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20" name="Table20" displayName="Table20" ref="C74:N131" totalsRowShown="0">
  <autoFilter ref="C74:N131"/>
  <tableColumns count="12">
    <tableColumn id="1" name="Stations"/>
    <tableColumn id="2" name="GirderDist"/>
    <tableColumn id="3" name="Barrier"/>
    <tableColumn id="4" name="DEAD"/>
    <tableColumn id="5" name="FWS"/>
    <tableColumn id="6" name="Sidewalk"/>
    <tableColumn id="7" name="TEST"/>
    <tableColumn id="8" name="T_Change_Neg"/>
    <tableColumn id="9" name="T_Change_Pos"/>
    <tableColumn id="10" name="Max_MOVE1"/>
    <tableColumn id="11" name="Min_MOVE1"/>
    <tableColumn id="12" name="Max_MOVE1 Combo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1" name="Table21" displayName="Table21" ref="C138:N195" totalsRowShown="0">
  <autoFilter ref="C138:N195"/>
  <tableColumns count="12">
    <tableColumn id="1" name="Stations"/>
    <tableColumn id="2" name="GirderDist"/>
    <tableColumn id="3" name="Barrier"/>
    <tableColumn id="4" name="DEAD"/>
    <tableColumn id="5" name="FWS"/>
    <tableColumn id="6" name="Sidewalk"/>
    <tableColumn id="7" name="TEST"/>
    <tableColumn id="8" name="T_Change_Neg"/>
    <tableColumn id="9" name="T_Change_Pos"/>
    <tableColumn id="10" name="Max_MOVE1"/>
    <tableColumn id="11" name="Min_MOVE1"/>
    <tableColumn id="12" name="Max_MOVE1 Combo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C202:N259" totalsRowShown="0">
  <autoFilter ref="C202:N259"/>
  <tableColumns count="12">
    <tableColumn id="1" name="Stations"/>
    <tableColumn id="2" name="GirderDist"/>
    <tableColumn id="3" name="Barrier"/>
    <tableColumn id="4" name="DEAD"/>
    <tableColumn id="5" name="FWS"/>
    <tableColumn id="6" name="Sidewalk"/>
    <tableColumn id="7" name="TEST"/>
    <tableColumn id="8" name="T_Change_Neg"/>
    <tableColumn id="9" name="T_Change_Pos"/>
    <tableColumn id="10" name="Max_MOVE1"/>
    <tableColumn id="11" name="Min_MOVE1"/>
    <tableColumn id="12" name="Max_MOVE1 Combo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3" name="Table23" displayName="Table23" ref="C266:N323" totalsRowShown="0">
  <autoFilter ref="C266:N323"/>
  <tableColumns count="12">
    <tableColumn id="1" name="Stations"/>
    <tableColumn id="2" name="GirderDist"/>
    <tableColumn id="3" name="Barrier"/>
    <tableColumn id="4" name="DEAD"/>
    <tableColumn id="5" name="FWS"/>
    <tableColumn id="6" name="Sidewalk"/>
    <tableColumn id="7" name="TEST"/>
    <tableColumn id="8" name="T_Change_Neg"/>
    <tableColumn id="9" name="T_Change_Pos"/>
    <tableColumn id="10" name="Max_MOVE1"/>
    <tableColumn id="11" name="Min_MOVE1"/>
    <tableColumn id="12" name="Max_MOVE1 Combo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4" name="Table24" displayName="Table24" ref="C330:N387" totalsRowShown="0">
  <autoFilter ref="C330:N387"/>
  <tableColumns count="12">
    <tableColumn id="1" name="Stations"/>
    <tableColumn id="2" name="GirderDist"/>
    <tableColumn id="3" name="Barrier"/>
    <tableColumn id="4" name="DEAD"/>
    <tableColumn id="5" name="FWS"/>
    <tableColumn id="6" name="Sidewalk"/>
    <tableColumn id="7" name="TEST"/>
    <tableColumn id="8" name="T_Change_Neg"/>
    <tableColumn id="9" name="T_Change_Pos"/>
    <tableColumn id="10" name="Max_MOVE1"/>
    <tableColumn id="11" name="Min_MOVE1"/>
    <tableColumn id="12" name="Max_MOVE1 Combo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38:N195" totalsRowShown="0">
  <autoFilter ref="C138:N195"/>
  <tableColumns count="12">
    <tableColumn id="1" name="Stations"/>
    <tableColumn id="2" name="GirderDist"/>
    <tableColumn id="3" name="Barrier"/>
    <tableColumn id="4" name="DEAD"/>
    <tableColumn id="5" name="FWS"/>
    <tableColumn id="6" name="Sidewalk"/>
    <tableColumn id="7" name="TEST"/>
    <tableColumn id="8" name="T_Change_Neg"/>
    <tableColumn id="9" name="T_Change_Pos"/>
    <tableColumn id="10" name="Max_MOVE1"/>
    <tableColumn id="11" name="Min_MOVE1"/>
    <tableColumn id="12" name="Max_MOVE1 Combo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C202:N259" totalsRowShown="0">
  <autoFilter ref="C202:N259"/>
  <tableColumns count="12">
    <tableColumn id="1" name="Stations"/>
    <tableColumn id="2" name="GirderDist"/>
    <tableColumn id="3" name="Barrier"/>
    <tableColumn id="4" name="DEAD"/>
    <tableColumn id="5" name="FWS"/>
    <tableColumn id="6" name="Sidewalk"/>
    <tableColumn id="7" name="TEST"/>
    <tableColumn id="8" name="T_Change_Neg"/>
    <tableColumn id="9" name="T_Change_Pos"/>
    <tableColumn id="10" name="Max_MOVE1"/>
    <tableColumn id="11" name="Min_MOVE1"/>
    <tableColumn id="12" name="Max_MOVE1 Combo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266:N323" totalsRowShown="0">
  <autoFilter ref="C266:N323"/>
  <tableColumns count="12">
    <tableColumn id="1" name="Stations"/>
    <tableColumn id="2" name="GirderDist"/>
    <tableColumn id="3" name="Barrier"/>
    <tableColumn id="4" name="DEAD"/>
    <tableColumn id="5" name="FWS"/>
    <tableColumn id="6" name="Sidewalk"/>
    <tableColumn id="7" name="TEST"/>
    <tableColumn id="8" name="T_Change_Neg"/>
    <tableColumn id="9" name="T_Change_Pos"/>
    <tableColumn id="10" name="Max_MOVE1"/>
    <tableColumn id="11" name="Min_MOVE1"/>
    <tableColumn id="12" name="Max_MOVE1 Combo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C330:N387" totalsRowShown="0">
  <autoFilter ref="C330:N387"/>
  <tableColumns count="12">
    <tableColumn id="1" name="Stations"/>
    <tableColumn id="2" name="GirderDist"/>
    <tableColumn id="3" name="Barrier"/>
    <tableColumn id="4" name="DEAD"/>
    <tableColumn id="5" name="FWS"/>
    <tableColumn id="6" name="Sidewalk"/>
    <tableColumn id="7" name="TEST"/>
    <tableColumn id="8" name="T_Change_Neg"/>
    <tableColumn id="9" name="T_Change_Pos"/>
    <tableColumn id="10" name="Max_MOVE1"/>
    <tableColumn id="11" name="Min_MOVE1"/>
    <tableColumn id="12" name="Max_MOVE1 Combo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C10:N67" totalsRowShown="0">
  <autoFilter ref="C10:N67"/>
  <tableColumns count="12">
    <tableColumn id="1" name="Stations"/>
    <tableColumn id="2" name="GirderDist"/>
    <tableColumn id="3" name="Barrier"/>
    <tableColumn id="4" name="DEAD"/>
    <tableColumn id="5" name="FWS"/>
    <tableColumn id="6" name="Sidewalk"/>
    <tableColumn id="7" name="TEST"/>
    <tableColumn id="8" name="T_Change_Neg"/>
    <tableColumn id="9" name="T_Change_Pos"/>
    <tableColumn id="10" name="Max_MOVE1"/>
    <tableColumn id="11" name="Min_MOVE1"/>
    <tableColumn id="12" name="Max_MOVE1 Combo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C74:N131" totalsRowShown="0">
  <autoFilter ref="C74:N131"/>
  <tableColumns count="12">
    <tableColumn id="1" name="Stations"/>
    <tableColumn id="2" name="GirderDist"/>
    <tableColumn id="3" name="Barrier"/>
    <tableColumn id="4" name="DEAD"/>
    <tableColumn id="5" name="FWS"/>
    <tableColumn id="6" name="Sidewalk"/>
    <tableColumn id="7" name="TEST"/>
    <tableColumn id="8" name="T_Change_Neg"/>
    <tableColumn id="9" name="T_Change_Pos"/>
    <tableColumn id="10" name="Max_MOVE1"/>
    <tableColumn id="11" name="Min_MOVE1"/>
    <tableColumn id="12" name="Max_MOVE1 Combo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C138:N195" totalsRowShown="0">
  <autoFilter ref="C138:N195"/>
  <tableColumns count="12">
    <tableColumn id="1" name="Stations"/>
    <tableColumn id="2" name="GirderDist"/>
    <tableColumn id="3" name="Barrier"/>
    <tableColumn id="4" name="DEAD"/>
    <tableColumn id="5" name="FWS"/>
    <tableColumn id="6" name="Sidewalk"/>
    <tableColumn id="7" name="TEST"/>
    <tableColumn id="8" name="T_Change_Neg"/>
    <tableColumn id="9" name="T_Change_Pos"/>
    <tableColumn id="10" name="Max_MOVE1"/>
    <tableColumn id="11" name="Min_MOVE1"/>
    <tableColumn id="12" name="Max_MOVE1 Comb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Relationship Id="rId2" Type="http://schemas.openxmlformats.org/officeDocument/2006/relationships/table" Target="../tables/table8.xml"/><Relationship Id="rId3" Type="http://schemas.openxmlformats.org/officeDocument/2006/relationships/table" Target="../tables/table9.xml"/><Relationship Id="rId4" Type="http://schemas.openxmlformats.org/officeDocument/2006/relationships/table" Target="../tables/table10.xml"/><Relationship Id="rId5" Type="http://schemas.openxmlformats.org/officeDocument/2006/relationships/table" Target="../tables/table11.xml"/><Relationship Id="rId6" Type="http://schemas.openxmlformats.org/officeDocument/2006/relationships/table" Target="../tables/table1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3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Relationship Id="rId6" Type="http://schemas.openxmlformats.org/officeDocument/2006/relationships/table" Target="../tables/table18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19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Relationship Id="rId4" Type="http://schemas.openxmlformats.org/officeDocument/2006/relationships/table" Target="../tables/table22.xml"/><Relationship Id="rId5" Type="http://schemas.openxmlformats.org/officeDocument/2006/relationships/table" Target="../tables/table23.xml"/><Relationship Id="rId6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0:N387"/>
  <sheetViews>
    <sheetView tabSelected="1" workbookViewId="0"/>
  </sheetViews>
  <sheetFormatPr defaultRowHeight="15"/>
  <sheetData>
    <row r="10" spans="3:14">
      <c r="C10" t="s">
        <v>0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</row>
    <row r="11" spans="3:14">
      <c r="C11">
        <f>0.0</f>
        <v>0</v>
      </c>
      <c r="D11">
        <f>0.0</f>
        <v>0</v>
      </c>
      <c r="E11">
        <f>E9*-24.4106</f>
        <v>0</v>
      </c>
      <c r="F11">
        <f>F9*14.56</f>
        <v>0</v>
      </c>
      <c r="G11">
        <f>G9*3.6272</f>
        <v>0</v>
      </c>
      <c r="H11">
        <f>H9*0.0</f>
        <v>0</v>
      </c>
      <c r="I11">
        <f>I9*0.1871</f>
        <v>0</v>
      </c>
      <c r="J11">
        <f>J9*360.7304</f>
        <v>0</v>
      </c>
      <c r="K11">
        <f>K9*-270.5478</f>
        <v>0</v>
      </c>
      <c r="L11">
        <f>L9*472.1305</f>
        <v>0</v>
      </c>
      <c r="M11">
        <f>M9*-440.6164</f>
        <v>0</v>
      </c>
      <c r="N11">
        <f>E11+F11+G11+H11+I11+J11+K11+L11</f>
        <v>0</v>
      </c>
    </row>
    <row r="12" spans="3:14">
      <c r="C12">
        <f>1.0</f>
        <v>0</v>
      </c>
      <c r="D12">
        <f>1.0</f>
        <v>0</v>
      </c>
      <c r="E12">
        <f>E9*11.507</f>
        <v>0</v>
      </c>
      <c r="F12">
        <f>F9*231.9032</f>
        <v>0</v>
      </c>
      <c r="G12">
        <f>G9*34.1286</f>
        <v>0</v>
      </c>
      <c r="H12">
        <f>H9*0.0</f>
        <v>0</v>
      </c>
      <c r="I12">
        <f>I9*0.1629</f>
        <v>0</v>
      </c>
      <c r="J12">
        <f>J9*278.9176</f>
        <v>0</v>
      </c>
      <c r="K12">
        <f>K9*-209.1882</f>
        <v>0</v>
      </c>
      <c r="L12">
        <f>L9*548.1595</f>
        <v>0</v>
      </c>
      <c r="M12">
        <f>M9*-221.88299999999998</f>
        <v>0</v>
      </c>
      <c r="N12">
        <f>E12+F12+G12+H12+I12+J12+K12+L12</f>
        <v>0</v>
      </c>
    </row>
    <row r="13" spans="3:14">
      <c r="C13">
        <f>2.0</f>
        <v>0</v>
      </c>
      <c r="D13">
        <f>2.0</f>
        <v>0</v>
      </c>
      <c r="E13">
        <f>E9*38.4303</f>
        <v>0</v>
      </c>
      <c r="F13">
        <f>F9*410.3864</f>
        <v>0</v>
      </c>
      <c r="G13">
        <f>G9*59.1787</f>
        <v>0</v>
      </c>
      <c r="H13">
        <f>H9*0.0</f>
        <v>0</v>
      </c>
      <c r="I13">
        <f>I9*0.1402</f>
        <v>0</v>
      </c>
      <c r="J13">
        <f>J9*215.4341</f>
        <v>0</v>
      </c>
      <c r="K13">
        <f>K9*-161.5755</f>
        <v>0</v>
      </c>
      <c r="L13">
        <f>L9*663.3382</f>
        <v>0</v>
      </c>
      <c r="M13">
        <f>M9*-80.6439</f>
        <v>0</v>
      </c>
      <c r="N13">
        <f>E13+F13+G13+H13+I13+J13+K13+L13</f>
        <v>0</v>
      </c>
    </row>
    <row r="14" spans="3:14">
      <c r="C14">
        <f>3.0</f>
        <v>0</v>
      </c>
      <c r="D14">
        <f>3.0</f>
        <v>0</v>
      </c>
      <c r="E14">
        <f>E9*58.5439</f>
        <v>0</v>
      </c>
      <c r="F14">
        <f>F9*563.495</f>
        <v>0</v>
      </c>
      <c r="G14">
        <f>G9*80.6645</f>
        <v>0</v>
      </c>
      <c r="H14">
        <f>H9*0.0</f>
        <v>0</v>
      </c>
      <c r="I14">
        <f>I9*0.1202</f>
        <v>0</v>
      </c>
      <c r="J14">
        <f>J9*157.119</f>
        <v>0</v>
      </c>
      <c r="K14">
        <f>K9*-117.8392</f>
        <v>0</v>
      </c>
      <c r="L14">
        <f>L9*808.4796</f>
        <v>0</v>
      </c>
      <c r="M14">
        <f>M9*-27.1238</f>
        <v>0</v>
      </c>
      <c r="N14">
        <f>E14+F14+G14+H14+I14+J14+K14+L14</f>
        <v>0</v>
      </c>
    </row>
    <row r="15" spans="3:14">
      <c r="C15">
        <f>4.0</f>
        <v>0</v>
      </c>
      <c r="D15">
        <f>4.0</f>
        <v>0</v>
      </c>
      <c r="E15">
        <f>E9*71.8371</f>
        <v>0</v>
      </c>
      <c r="F15">
        <f>F9*685.3136</f>
        <v>0</v>
      </c>
      <c r="G15">
        <f>G9*97.7278</f>
        <v>0</v>
      </c>
      <c r="H15">
        <f>H9*0.0</f>
        <v>0</v>
      </c>
      <c r="I15">
        <f>I9*0.1013</f>
        <v>0</v>
      </c>
      <c r="J15">
        <f>J9*98.7875</f>
        <v>0</v>
      </c>
      <c r="K15">
        <f>K9*-74.0907</f>
        <v>0</v>
      </c>
      <c r="L15">
        <f>L9*945.3187</f>
        <v>0</v>
      </c>
      <c r="M15">
        <f>M9*-25.5094</f>
        <v>0</v>
      </c>
      <c r="N15">
        <f>E15+F15+G15+H15+I15+J15+K15+L15</f>
        <v>0</v>
      </c>
    </row>
    <row r="16" spans="3:14">
      <c r="C16">
        <f>5.0</f>
        <v>0</v>
      </c>
      <c r="D16">
        <f>5.0</f>
        <v>0</v>
      </c>
      <c r="E16">
        <f>E9*81.2758</f>
        <v>0</v>
      </c>
      <c r="F16">
        <f>F9*791.5565</f>
        <v>0</v>
      </c>
      <c r="G16">
        <f>G9*112.5359</f>
        <v>0</v>
      </c>
      <c r="H16">
        <f>H9*0.0</f>
        <v>0</v>
      </c>
      <c r="I16">
        <f>I9*0.0998</f>
        <v>0</v>
      </c>
      <c r="J16">
        <f>J9*42.8583</f>
        <v>0</v>
      </c>
      <c r="K16">
        <f>K9*-32.1437</f>
        <v>0</v>
      </c>
      <c r="L16">
        <f>L9*1089.3064</f>
        <v>0</v>
      </c>
      <c r="M16">
        <f>M9*-26.7326</f>
        <v>0</v>
      </c>
      <c r="N16">
        <f>E16+F16+G16+H16+I16+J16+K16+L16</f>
        <v>0</v>
      </c>
    </row>
    <row r="17" spans="3:14">
      <c r="C17">
        <f>6.0</f>
        <v>0</v>
      </c>
      <c r="D17">
        <f>6.0</f>
        <v>0</v>
      </c>
      <c r="E17">
        <f>E9*93.3998</f>
        <v>0</v>
      </c>
      <c r="F17">
        <f>F9*878.5952</f>
        <v>0</v>
      </c>
      <c r="G17">
        <f>G9*125.1552</f>
        <v>0</v>
      </c>
      <c r="H17">
        <f>H9*0.0</f>
        <v>0</v>
      </c>
      <c r="I17">
        <f>I9*0.086</f>
        <v>0</v>
      </c>
      <c r="J17">
        <f>J9*56.1772</f>
        <v>0</v>
      </c>
      <c r="K17">
        <f>K9*-42.1329</f>
        <v>0</v>
      </c>
      <c r="L17">
        <f>L9*1203.1446</f>
        <v>0</v>
      </c>
      <c r="M17">
        <f>M9*-28.4995</f>
        <v>0</v>
      </c>
      <c r="N17">
        <f>E17+F17+G17+H17+I17+J17+K17+L17</f>
        <v>0</v>
      </c>
    </row>
    <row r="18" spans="3:14">
      <c r="C18">
        <f>7.0</f>
        <v>0</v>
      </c>
      <c r="D18">
        <f>7.0</f>
        <v>0</v>
      </c>
      <c r="E18">
        <f>E9*102.2132</f>
        <v>0</v>
      </c>
      <c r="F18">
        <f>F9*942.6636</f>
        <v>0</v>
      </c>
      <c r="G18">
        <f>G9*134.3319</f>
        <v>0</v>
      </c>
      <c r="H18">
        <f>H9*0.0</f>
        <v>0</v>
      </c>
      <c r="I18">
        <f>I9*0.0743</f>
        <v>0</v>
      </c>
      <c r="J18">
        <f>J9*66.2575</f>
        <v>0</v>
      </c>
      <c r="K18">
        <f>K9*-49.6931</f>
        <v>0</v>
      </c>
      <c r="L18">
        <f>L9*1295.0533</f>
        <v>0</v>
      </c>
      <c r="M18">
        <f>M9*-30.8776</f>
        <v>0</v>
      </c>
      <c r="N18">
        <f>E18+F18+G18+H18+I18+J18+K18+L18</f>
        <v>0</v>
      </c>
    </row>
    <row r="19" spans="3:14">
      <c r="C19">
        <f>8.0</f>
        <v>0</v>
      </c>
      <c r="D19">
        <f>8.0</f>
        <v>0</v>
      </c>
      <c r="E19">
        <f>E9*106.0207</f>
        <v>0</v>
      </c>
      <c r="F19">
        <f>F9*984.1327</f>
        <v>0</v>
      </c>
      <c r="G19">
        <f>G9*140.2558</f>
        <v>0</v>
      </c>
      <c r="H19">
        <f>H9*0.0</f>
        <v>0</v>
      </c>
      <c r="I19">
        <f>I9*0.0618</f>
        <v>0</v>
      </c>
      <c r="J19">
        <f>J9*66.9862</f>
        <v>0</v>
      </c>
      <c r="K19">
        <f>K9*-50.2396</f>
        <v>0</v>
      </c>
      <c r="L19">
        <f>L9*1355.7463</f>
        <v>0</v>
      </c>
      <c r="M19">
        <f>M9*-33.242</f>
        <v>0</v>
      </c>
      <c r="N19">
        <f>E19+F19+G19+H19+I19+J19+K19+L19</f>
        <v>0</v>
      </c>
    </row>
    <row r="20" spans="3:14">
      <c r="C20">
        <f>9.0</f>
        <v>0</v>
      </c>
      <c r="D20">
        <f>9.0</f>
        <v>0</v>
      </c>
      <c r="E20">
        <f>E9*106.2219</f>
        <v>0</v>
      </c>
      <c r="F20">
        <f>F9*1013.0779</f>
        <v>0</v>
      </c>
      <c r="G20">
        <f>G9*144.3575</f>
        <v>0</v>
      </c>
      <c r="H20">
        <f>H9*0.0</f>
        <v>0</v>
      </c>
      <c r="I20">
        <f>I9*0.0505</f>
        <v>0</v>
      </c>
      <c r="J20">
        <f>J9*57.9088</f>
        <v>0</v>
      </c>
      <c r="K20">
        <f>K9*-43.4316</f>
        <v>0</v>
      </c>
      <c r="L20">
        <f>L9*1404.1194</f>
        <v>0</v>
      </c>
      <c r="M20">
        <f>M9*-36.0663</f>
        <v>0</v>
      </c>
      <c r="N20">
        <f>E20+F20+G20+H20+I20+J20+K20+L20</f>
        <v>0</v>
      </c>
    </row>
    <row r="21" spans="3:14">
      <c r="C21">
        <f>10.0</f>
        <v>0</v>
      </c>
      <c r="D21">
        <f>10.0</f>
        <v>0</v>
      </c>
      <c r="E21">
        <f>E9*102.2355</f>
        <v>0</v>
      </c>
      <c r="F21">
        <f>F9*1022.2825</f>
        <v>0</v>
      </c>
      <c r="G21">
        <f>G9*145.5748</f>
        <v>0</v>
      </c>
      <c r="H21">
        <f>H9*0.0</f>
        <v>0</v>
      </c>
      <c r="I21">
        <f>I9*0.0569</f>
        <v>0</v>
      </c>
      <c r="J21">
        <f>J9*45.6536</f>
        <v>0</v>
      </c>
      <c r="K21">
        <f>K9*-34.2402</f>
        <v>0</v>
      </c>
      <c r="L21">
        <f>L9*1420.9743</f>
        <v>0</v>
      </c>
      <c r="M21">
        <f>M9*-39.1494</f>
        <v>0</v>
      </c>
      <c r="N21">
        <f>E21+F21+G21+H21+I21+J21+K21+L21</f>
        <v>0</v>
      </c>
    </row>
    <row r="22" spans="3:14">
      <c r="C22">
        <f>11.0</f>
        <v>0</v>
      </c>
      <c r="D22">
        <f>11.0</f>
        <v>0</v>
      </c>
      <c r="E22">
        <f>E9*104.8599</f>
        <v>0</v>
      </c>
      <c r="F22">
        <f>F9*999.873</f>
        <v>0</v>
      </c>
      <c r="G22">
        <f>G9*142.5012</f>
        <v>0</v>
      </c>
      <c r="H22">
        <f>H9*0.0</f>
        <v>0</v>
      </c>
      <c r="I22">
        <f>I9*0.0468</f>
        <v>0</v>
      </c>
      <c r="J22">
        <f>J9*62.065</f>
        <v>0</v>
      </c>
      <c r="K22">
        <f>K9*-46.5488</f>
        <v>0</v>
      </c>
      <c r="L22">
        <f>L9*1399.1832</f>
        <v>0</v>
      </c>
      <c r="M22">
        <f>M9*-42.4828</f>
        <v>0</v>
      </c>
      <c r="N22">
        <f>E22+F22+G22+H22+I22+J22+K22+L22</f>
        <v>0</v>
      </c>
    </row>
    <row r="23" spans="3:14">
      <c r="C23">
        <f>12.0</f>
        <v>0</v>
      </c>
      <c r="D23">
        <f>12.0</f>
        <v>0</v>
      </c>
      <c r="E23">
        <f>E9*103.3001</f>
        <v>0</v>
      </c>
      <c r="F23">
        <f>F9*955.7315</f>
        <v>0</v>
      </c>
      <c r="G23">
        <f>G9*136.2472</f>
        <v>0</v>
      </c>
      <c r="H23">
        <f>H9*0.0</f>
        <v>0</v>
      </c>
      <c r="I23">
        <f>I9*0.0361</f>
        <v>0</v>
      </c>
      <c r="J23">
        <f>J9*72.6748</f>
        <v>0</v>
      </c>
      <c r="K23">
        <f>K9*-54.5061</f>
        <v>0</v>
      </c>
      <c r="L23">
        <f>L9*1348.8024</f>
        <v>0</v>
      </c>
      <c r="M23">
        <f>M9*-45.7335</f>
        <v>0</v>
      </c>
      <c r="N23">
        <f>E23+F23+G23+H23+I23+J23+K23+L23</f>
        <v>0</v>
      </c>
    </row>
    <row r="24" spans="3:14">
      <c r="C24">
        <f>13.0</f>
        <v>0</v>
      </c>
      <c r="D24">
        <f>13.0</f>
        <v>0</v>
      </c>
      <c r="E24">
        <f>E9*98.2378</f>
        <v>0</v>
      </c>
      <c r="F24">
        <f>F9*900.5098</f>
        <v>0</v>
      </c>
      <c r="G24">
        <f>G9*128.3785</f>
        <v>0</v>
      </c>
      <c r="H24">
        <f>H9*0.0</f>
        <v>0</v>
      </c>
      <c r="I24">
        <f>I9*0.0268</f>
        <v>0</v>
      </c>
      <c r="J24">
        <f>J9*73.1304</f>
        <v>0</v>
      </c>
      <c r="K24">
        <f>K9*-54.8478</f>
        <v>0</v>
      </c>
      <c r="L24">
        <f>L9*1284.7226</f>
        <v>0</v>
      </c>
      <c r="M24">
        <f>M9*-49.4656</f>
        <v>0</v>
      </c>
      <c r="N24">
        <f>E24+F24+G24+H24+I24+J24+K24+L24</f>
        <v>0</v>
      </c>
    </row>
    <row r="25" spans="3:14">
      <c r="C25">
        <f>14.0</f>
        <v>0</v>
      </c>
      <c r="D25">
        <f>14.0</f>
        <v>0</v>
      </c>
      <c r="E25">
        <f>E9*88.0147</f>
        <v>0</v>
      </c>
      <c r="F25">
        <f>F9*820.7894</f>
        <v>0</v>
      </c>
      <c r="G25">
        <f>G9*116.9902</f>
        <v>0</v>
      </c>
      <c r="H25">
        <f>H9*0.0</f>
        <v>0</v>
      </c>
      <c r="I25">
        <f>I9*0.0158</f>
        <v>0</v>
      </c>
      <c r="J25">
        <f>J9*63.9808</f>
        <v>0</v>
      </c>
      <c r="K25">
        <f>K9*-47.9856</f>
        <v>0</v>
      </c>
      <c r="L25">
        <f>L9*1191.1276</f>
        <v>0</v>
      </c>
      <c r="M25">
        <f>M9*-55.2205</f>
        <v>0</v>
      </c>
      <c r="N25">
        <f>E25+F25+G25+H25+I25+J25+K25+L25</f>
        <v>0</v>
      </c>
    </row>
    <row r="26" spans="3:14">
      <c r="C26">
        <f>15.0</f>
        <v>0</v>
      </c>
      <c r="D26">
        <f>15.0</f>
        <v>0</v>
      </c>
      <c r="E26">
        <f>E9*73.9809</f>
        <v>0</v>
      </c>
      <c r="F26">
        <f>F9*713.7357</f>
        <v>0</v>
      </c>
      <c r="G26">
        <f>G9*101.569</f>
        <v>0</v>
      </c>
      <c r="H26">
        <f>H9*0.0</f>
        <v>0</v>
      </c>
      <c r="I26">
        <f>I9*0.0242</f>
        <v>0</v>
      </c>
      <c r="J26">
        <f>J9*50.0532</f>
        <v>0</v>
      </c>
      <c r="K26">
        <f>K9*-37.5399</f>
        <v>0</v>
      </c>
      <c r="L26">
        <f>L9*1068.5913</f>
        <v>0</v>
      </c>
      <c r="M26">
        <f>M9*-66.7441</f>
        <v>0</v>
      </c>
      <c r="N26">
        <f>E26+F26+G26+H26+I26+J26+K26+L26</f>
        <v>0</v>
      </c>
    </row>
    <row r="27" spans="3:14">
      <c r="C27">
        <f>15.91</f>
        <v>0</v>
      </c>
      <c r="D27">
        <f>15.91</f>
        <v>0</v>
      </c>
      <c r="E27">
        <f>E9*67.0648</f>
        <v>0</v>
      </c>
      <c r="F27">
        <f>F9*612.7264</f>
        <v>0</v>
      </c>
      <c r="G27">
        <f>G9*87.2928</f>
        <v>0</v>
      </c>
      <c r="H27">
        <f>H9*0.0</f>
        <v>0</v>
      </c>
      <c r="I27">
        <f>I9*0.013999999999999999</f>
        <v>0</v>
      </c>
      <c r="J27">
        <f>J9*72.3203</f>
        <v>0</v>
      </c>
      <c r="K27">
        <f>K9*-54.2403</f>
        <v>0</v>
      </c>
      <c r="L27">
        <f>L9*927.2506</f>
        <v>0</v>
      </c>
      <c r="M27">
        <f>M9*-63.5284</f>
        <v>0</v>
      </c>
      <c r="N27">
        <f>E27+F27+G27+H27+I27+J27+K27+L27</f>
        <v>0</v>
      </c>
    </row>
    <row r="28" spans="3:14">
      <c r="C28">
        <f>16.82</f>
        <v>0</v>
      </c>
      <c r="D28">
        <f>16.82</f>
        <v>0</v>
      </c>
      <c r="E28">
        <f>E9*56.6172</f>
        <v>0</v>
      </c>
      <c r="F28">
        <f>F9*491.0943</f>
        <v>0</v>
      </c>
      <c r="G28">
        <f>G9*70.0258</f>
        <v>0</v>
      </c>
      <c r="H28">
        <f>H9*0.0</f>
        <v>0</v>
      </c>
      <c r="I28">
        <f>I9*0.0031</f>
        <v>0</v>
      </c>
      <c r="J28">
        <f>J9*90.2897</f>
        <v>0</v>
      </c>
      <c r="K28">
        <f>K9*-67.7173</f>
        <v>0</v>
      </c>
      <c r="L28">
        <f>L9*752.8333</f>
        <v>0</v>
      </c>
      <c r="M28">
        <f>M9*-60.5583</f>
        <v>0</v>
      </c>
      <c r="N28">
        <f>E28+F28+G28+H28+I28+J28+K28+L28</f>
        <v>0</v>
      </c>
    </row>
    <row r="29" spans="3:14">
      <c r="C29">
        <f>17.73</f>
        <v>0</v>
      </c>
      <c r="D29">
        <f>17.73</f>
        <v>0</v>
      </c>
      <c r="E29">
        <f>E9*41.2872</f>
        <v>0</v>
      </c>
      <c r="F29">
        <f>F9*346.0463</f>
        <v>0</v>
      </c>
      <c r="G29">
        <f>G9*49.3998</f>
        <v>0</v>
      </c>
      <c r="H29">
        <f>H9*0.0</f>
        <v>0</v>
      </c>
      <c r="I29">
        <f>I9*-0.0093</f>
        <v>0</v>
      </c>
      <c r="J29">
        <f>J9*103.4383</f>
        <v>0</v>
      </c>
      <c r="K29">
        <f>K9*-77.5787</f>
        <v>0</v>
      </c>
      <c r="L29">
        <f>L9*537.6581</f>
        <v>0</v>
      </c>
      <c r="M29">
        <f>M9*-57.7022</f>
        <v>0</v>
      </c>
      <c r="N29">
        <f>E29+F29+G29+H29+I29+J29+K29+L29</f>
        <v>0</v>
      </c>
    </row>
    <row r="30" spans="3:14">
      <c r="C30">
        <f>18.64</f>
        <v>0</v>
      </c>
      <c r="D30">
        <f>18.64</f>
        <v>0</v>
      </c>
      <c r="E30">
        <f>E9*23.0038</f>
        <v>0</v>
      </c>
      <c r="F30">
        <f>F9*194.2462</f>
        <v>0</v>
      </c>
      <c r="G30">
        <f>G9*27.7885</f>
        <v>0</v>
      </c>
      <c r="H30">
        <f>H9*0.0</f>
        <v>0</v>
      </c>
      <c r="I30">
        <f>I9*-0.0183</f>
        <v>0</v>
      </c>
      <c r="J30">
        <f>J9*111.6015</f>
        <v>0</v>
      </c>
      <c r="K30">
        <f>K9*-83.7011</f>
        <v>0</v>
      </c>
      <c r="L30">
        <f>L9*305.6318</f>
        <v>0</v>
      </c>
      <c r="M30">
        <f>M9*-56.8788</f>
        <v>0</v>
      </c>
      <c r="N30">
        <f>E30+F30+G30+H30+I30+J30+K30+L30</f>
        <v>0</v>
      </c>
    </row>
    <row r="31" spans="3:14">
      <c r="C31">
        <f>19.55</f>
        <v>0</v>
      </c>
      <c r="D31">
        <f>19.55</f>
        <v>0</v>
      </c>
      <c r="E31">
        <f>E9*-2.8658</f>
        <v>0</v>
      </c>
      <c r="F31">
        <f>F9*-5.3845</f>
        <v>0</v>
      </c>
      <c r="G31">
        <f>G9*-0.7553</f>
        <v>0</v>
      </c>
      <c r="H31">
        <f>H9*0.0</f>
        <v>0</v>
      </c>
      <c r="I31">
        <f>I9*-0.0246</f>
        <v>0</v>
      </c>
      <c r="J31">
        <f>J9*125.31700000000001</f>
        <v>0</v>
      </c>
      <c r="K31">
        <f>K9*-93.9877</f>
        <v>0</v>
      </c>
      <c r="L31">
        <f>L9*43.5705</f>
        <v>0</v>
      </c>
      <c r="M31">
        <f>M9*-80.2555</f>
        <v>0</v>
      </c>
      <c r="N31">
        <f>E31+F31+G31+H31+I31+J31+K31+L31</f>
        <v>0</v>
      </c>
    </row>
    <row r="32" spans="3:14">
      <c r="C32">
        <f>20.0</f>
        <v>0</v>
      </c>
      <c r="D32">
        <f>20.0</f>
        <v>0</v>
      </c>
      <c r="E32">
        <f>E9*-0.8748</f>
        <v>0</v>
      </c>
      <c r="F32">
        <f>F9*-7.6935</f>
        <v>0</v>
      </c>
      <c r="G32">
        <f>G9*-1.1034</f>
        <v>0</v>
      </c>
      <c r="H32">
        <f>H9*0.0</f>
        <v>0</v>
      </c>
      <c r="I32">
        <f>I9*0.0009142999999999999</f>
        <v>0</v>
      </c>
      <c r="J32">
        <f>J9*90.3963</f>
        <v>0</v>
      </c>
      <c r="K32">
        <f>K9*-67.7972</f>
        <v>0</v>
      </c>
      <c r="L32">
        <f>L9*3.563</f>
        <v>0</v>
      </c>
      <c r="M32">
        <f>M9*-11.7271</f>
        <v>0</v>
      </c>
      <c r="N32">
        <f>E32+F32+G32+H32+I32+J32+K32+L32</f>
        <v>0</v>
      </c>
    </row>
    <row r="33" spans="3:14">
      <c r="C33">
        <f>20.0</f>
        <v>0</v>
      </c>
      <c r="D33">
        <f>0.0</f>
        <v>0</v>
      </c>
      <c r="E33">
        <f>E9*-0.7079</f>
        <v>0</v>
      </c>
      <c r="F33">
        <f>F9*-8.5707</f>
        <v>0</v>
      </c>
      <c r="G33">
        <f>G9*-1.2388</f>
        <v>0</v>
      </c>
      <c r="H33">
        <f>H9*0.0</f>
        <v>0</v>
      </c>
      <c r="I33">
        <f>I9*-0.2968</f>
        <v>0</v>
      </c>
      <c r="J33">
        <f>J9*88.0313</f>
        <v>0</v>
      </c>
      <c r="K33">
        <f>K9*-66.0235</f>
        <v>0</v>
      </c>
      <c r="L33">
        <f>L9*0.8551</f>
        <v>0</v>
      </c>
      <c r="M33">
        <f>M9*-13.305</f>
        <v>0</v>
      </c>
      <c r="N33">
        <f>E33+F33+G33+H33+I33+J33+K33+L33</f>
        <v>0</v>
      </c>
    </row>
    <row r="34" spans="3:14">
      <c r="C34">
        <f>20.45</f>
        <v>0</v>
      </c>
      <c r="D34">
        <f>0.45</f>
        <v>0</v>
      </c>
      <c r="E34">
        <f>E9*-5.0088</f>
        <v>0</v>
      </c>
      <c r="F34">
        <f>F9*18.1559</f>
        <v>0</v>
      </c>
      <c r="G34">
        <f>G9*2.8255</f>
        <v>0</v>
      </c>
      <c r="H34">
        <f>H9*0.0</f>
        <v>0</v>
      </c>
      <c r="I34">
        <f>I9*4.7067</f>
        <v>0</v>
      </c>
      <c r="J34">
        <f>J9*161.1408</f>
        <v>0</v>
      </c>
      <c r="K34">
        <f>K9*-120.8556</f>
        <v>0</v>
      </c>
      <c r="L34">
        <f>L9*103.4002</f>
        <v>0</v>
      </c>
      <c r="M34">
        <f>M9*-75.99600000000001</f>
        <v>0</v>
      </c>
      <c r="N34">
        <f>E34+F34+G34+H34+I34+J34+K34+L34</f>
        <v>0</v>
      </c>
    </row>
    <row r="35" spans="3:14">
      <c r="C35">
        <f>21.36</f>
        <v>0</v>
      </c>
      <c r="D35">
        <f>1.36</f>
        <v>0</v>
      </c>
      <c r="E35">
        <f>E9*20.701999999999998</f>
        <v>0</v>
      </c>
      <c r="F35">
        <f>F9*202.0267</f>
        <v>0</v>
      </c>
      <c r="G35">
        <f>G9*29.022</f>
        <v>0</v>
      </c>
      <c r="H35">
        <f>H9*0.0</f>
        <v>0</v>
      </c>
      <c r="I35">
        <f>I9*3.9032</f>
        <v>0</v>
      </c>
      <c r="J35">
        <f>J9*139.7623</f>
        <v>0</v>
      </c>
      <c r="K35">
        <f>K9*-104.8217</f>
        <v>0</v>
      </c>
      <c r="L35">
        <f>L9*314.1163</f>
        <v>0</v>
      </c>
      <c r="M35">
        <f>M9*-9.7666</f>
        <v>0</v>
      </c>
      <c r="N35">
        <f>E35+F35+G35+H35+I35+J35+K35+L35</f>
        <v>0</v>
      </c>
    </row>
    <row r="36" spans="3:14">
      <c r="C36">
        <f>22.27</f>
        <v>0</v>
      </c>
      <c r="D36">
        <f>2.27</f>
        <v>0</v>
      </c>
      <c r="E36">
        <f>E9*38.9024</f>
        <v>0</v>
      </c>
      <c r="F36">
        <f>F9*344.9828</f>
        <v>0</v>
      </c>
      <c r="G36">
        <f>G9*49.3426</f>
        <v>0</v>
      </c>
      <c r="H36">
        <f>H9*0.0</f>
        <v>0</v>
      </c>
      <c r="I36">
        <f>I9*3.1296</f>
        <v>0</v>
      </c>
      <c r="J36">
        <f>J9*125.8741</f>
        <v>0</v>
      </c>
      <c r="K36">
        <f>K9*-94.4055</f>
        <v>0</v>
      </c>
      <c r="L36">
        <f>L9*535.9211</f>
        <v>0</v>
      </c>
      <c r="M36">
        <f>M9*-13.3705</f>
        <v>0</v>
      </c>
      <c r="N36">
        <f>E36+F36+G36+H36+I36+J36+K36+L36</f>
        <v>0</v>
      </c>
    </row>
    <row r="37" spans="3:14">
      <c r="C37">
        <f>23.18</f>
        <v>0</v>
      </c>
      <c r="D37">
        <f>3.18</f>
        <v>0</v>
      </c>
      <c r="E37">
        <f>E9*54.0014</f>
        <v>0</v>
      </c>
      <c r="F37">
        <f>F9*481.8554</f>
        <v>0</v>
      </c>
      <c r="G37">
        <f>G9*68.7822</f>
        <v>0</v>
      </c>
      <c r="H37">
        <f>H9*0.0</f>
        <v>0</v>
      </c>
      <c r="I37">
        <f>I9*2.4319</f>
        <v>0</v>
      </c>
      <c r="J37">
        <f>J9*108.4374</f>
        <v>0</v>
      </c>
      <c r="K37">
        <f>K9*-81.328</f>
        <v>0</v>
      </c>
      <c r="L37">
        <f>L9*745.4722</f>
        <v>0</v>
      </c>
      <c r="M37">
        <f>M9*-18.94</f>
        <v>0</v>
      </c>
      <c r="N37">
        <f>E37+F37+G37+H37+I37+J37+K37+L37</f>
        <v>0</v>
      </c>
    </row>
    <row r="38" spans="3:14">
      <c r="C38">
        <f>24.09</f>
        <v>0</v>
      </c>
      <c r="D38">
        <f>4.09</f>
        <v>0</v>
      </c>
      <c r="E38">
        <f>E9*64.1678</f>
        <v>0</v>
      </c>
      <c r="F38">
        <f>F9*596.1128</f>
        <v>0</v>
      </c>
      <c r="G38">
        <f>G9*84.9825</f>
        <v>0</v>
      </c>
      <c r="H38">
        <f>H9*0.0</f>
        <v>0</v>
      </c>
      <c r="I38">
        <f>I9*1.7807</f>
        <v>0</v>
      </c>
      <c r="J38">
        <f>J9*87.06299999999999</f>
        <v>0</v>
      </c>
      <c r="K38">
        <f>K9*-65.2973</f>
        <v>0</v>
      </c>
      <c r="L38">
        <f>L9*917.1034</f>
        <v>0</v>
      </c>
      <c r="M38">
        <f>M9*-27.3061</f>
        <v>0</v>
      </c>
      <c r="N38">
        <f>E38+F38+G38+H38+I38+J38+K38+L38</f>
        <v>0</v>
      </c>
    </row>
    <row r="39" spans="3:14">
      <c r="C39">
        <f>25.0</f>
        <v>0</v>
      </c>
      <c r="D39">
        <f>5.0</f>
        <v>0</v>
      </c>
      <c r="E39">
        <f>E9*70.7693</f>
        <v>0</v>
      </c>
      <c r="F39">
        <f>F9*690.4554</f>
        <v>0</v>
      </c>
      <c r="G39">
        <f>G9*98.2973</f>
        <v>0</v>
      </c>
      <c r="H39">
        <f>H9*0.0</f>
        <v>0</v>
      </c>
      <c r="I39">
        <f>I9*1.7638</f>
        <v>0</v>
      </c>
      <c r="J39">
        <f>J9*62.5945</f>
        <v>0</v>
      </c>
      <c r="K39">
        <f>K9*-46.9459</f>
        <v>0</v>
      </c>
      <c r="L39">
        <f>L9*1057.3323</f>
        <v>0</v>
      </c>
      <c r="M39">
        <f>M9*-38.0542</f>
        <v>0</v>
      </c>
      <c r="N39">
        <f>E39+F39+G39+H39+I39+J39+K39+L39</f>
        <v>0</v>
      </c>
    </row>
    <row r="40" spans="3:14">
      <c r="C40">
        <f>26.0</f>
        <v>0</v>
      </c>
      <c r="D40">
        <f>6.0</f>
        <v>0</v>
      </c>
      <c r="E40">
        <f>E9*84.1644</f>
        <v>0</v>
      </c>
      <c r="F40">
        <f>F9*790.7879</f>
        <v>0</v>
      </c>
      <c r="G40">
        <f>G9*112.7666</f>
        <v>0</v>
      </c>
      <c r="H40">
        <f>H9*0.0</f>
        <v>0</v>
      </c>
      <c r="I40">
        <f>I9*0.8089</f>
        <v>0</v>
      </c>
      <c r="J40">
        <f>J9*77.3228</f>
        <v>0</v>
      </c>
      <c r="K40">
        <f>K9*-57.9921</f>
        <v>0</v>
      </c>
      <c r="L40">
        <f>L9*1178.6742</f>
        <v>0</v>
      </c>
      <c r="M40">
        <f>M9*-31.545</f>
        <v>0</v>
      </c>
      <c r="N40">
        <f>E40+F40+G40+H40+I40+J40+K40+L40</f>
        <v>0</v>
      </c>
    </row>
    <row r="41" spans="3:14">
      <c r="C41">
        <f>27.0</f>
        <v>0</v>
      </c>
      <c r="D41">
        <f>7.0</f>
        <v>0</v>
      </c>
      <c r="E41">
        <f>E9*93.719</f>
        <v>0</v>
      </c>
      <c r="F41">
        <f>F9*863.7362</f>
        <v>0</v>
      </c>
      <c r="G41">
        <f>G9*123.1985</f>
        <v>0</v>
      </c>
      <c r="H41">
        <f>H9*0.0</f>
        <v>0</v>
      </c>
      <c r="I41">
        <f>I9*-0.3975</f>
        <v>0</v>
      </c>
      <c r="J41">
        <f>J9*87.9935</f>
        <v>0</v>
      </c>
      <c r="K41">
        <f>K9*-65.9951</f>
        <v>0</v>
      </c>
      <c r="L41">
        <f>L9*1271.3385</f>
        <v>0</v>
      </c>
      <c r="M41">
        <f>M9*-32.476</f>
        <v>0</v>
      </c>
      <c r="N41">
        <f>E41+F41+G41+H41+I41+J41+K41+L41</f>
        <v>0</v>
      </c>
    </row>
    <row r="42" spans="3:14">
      <c r="C42">
        <f>28.0</f>
        <v>0</v>
      </c>
      <c r="D42">
        <f>8.0</f>
        <v>0</v>
      </c>
      <c r="E42">
        <f>E9*98.1396</f>
        <v>0</v>
      </c>
      <c r="F42">
        <f>F9*912.7928</f>
        <v>0</v>
      </c>
      <c r="G42">
        <f>G9*130.1996</f>
        <v>0</v>
      </c>
      <c r="H42">
        <f>H9*0.0</f>
        <v>0</v>
      </c>
      <c r="I42">
        <f>I9*-1.3237</f>
        <v>0</v>
      </c>
      <c r="J42">
        <f>J9*89.4786</f>
        <v>0</v>
      </c>
      <c r="K42">
        <f>K9*-67.109</f>
        <v>0</v>
      </c>
      <c r="L42">
        <f>L9*1336.0637</f>
        <v>0</v>
      </c>
      <c r="M42">
        <f>M9*-34.3897</f>
        <v>0</v>
      </c>
      <c r="N42">
        <f>E42+F42+G42+H42+I42+J42+K42+L42</f>
        <v>0</v>
      </c>
    </row>
    <row r="43" spans="3:14">
      <c r="C43">
        <f>29.0</f>
        <v>0</v>
      </c>
      <c r="D43">
        <f>9.0</f>
        <v>0</v>
      </c>
      <c r="E43">
        <f>E9*98.9383</f>
        <v>0</v>
      </c>
      <c r="F43">
        <f>F9*949.8447</f>
        <v>0</v>
      </c>
      <c r="G43">
        <f>G9*135.4592</f>
        <v>0</v>
      </c>
      <c r="H43">
        <f>H9*0.0</f>
        <v>0</v>
      </c>
      <c r="I43">
        <f>I9*-2.4166</f>
        <v>0</v>
      </c>
      <c r="J43">
        <f>J9*81.5563</f>
        <v>0</v>
      </c>
      <c r="K43">
        <f>K9*-61.1672</f>
        <v>0</v>
      </c>
      <c r="L43">
        <f>L9*1386.5813</f>
        <v>0</v>
      </c>
      <c r="M43">
        <f>M9*-40.3791</f>
        <v>0</v>
      </c>
      <c r="N43">
        <f>E43+F43+G43+H43+I43+J43+K43+L43</f>
        <v>0</v>
      </c>
    </row>
    <row r="44" spans="3:14">
      <c r="C44">
        <f>30.0</f>
        <v>0</v>
      </c>
      <c r="D44">
        <f>10.0</f>
        <v>0</v>
      </c>
      <c r="E44">
        <f>E9*95.5115</f>
        <v>0</v>
      </c>
      <c r="F44">
        <f>F9*965.1445</f>
        <v>0</v>
      </c>
      <c r="G44">
        <f>G9*137.5407</f>
        <v>0</v>
      </c>
      <c r="H44">
        <f>H9*0.0</f>
        <v>0</v>
      </c>
      <c r="I44">
        <f>I9*-3.5443</f>
        <v>0</v>
      </c>
      <c r="J44">
        <f>J9*68.7124</f>
        <v>0</v>
      </c>
      <c r="K44">
        <f>K9*-51.5343</f>
        <v>0</v>
      </c>
      <c r="L44">
        <f>L9*1404.6823</f>
        <v>0</v>
      </c>
      <c r="M44">
        <f>M9*-49.2417</f>
        <v>0</v>
      </c>
      <c r="N44">
        <f>E44+F44+G44+H44+I44+J44+K44+L44</f>
        <v>0</v>
      </c>
    </row>
    <row r="45" spans="3:14">
      <c r="C45">
        <f>31.0</f>
        <v>0</v>
      </c>
      <c r="D45">
        <f>11.0</f>
        <v>0</v>
      </c>
      <c r="E45">
        <f>E9*99.0376</f>
        <v>0</v>
      </c>
      <c r="F45">
        <f>F9*950.4999</f>
        <v>0</v>
      </c>
      <c r="G45">
        <f>G9*135.5513</f>
        <v>0</v>
      </c>
      <c r="H45">
        <f>H9*0.0</f>
        <v>0</v>
      </c>
      <c r="I45">
        <f>I9*-3.9426</f>
        <v>0</v>
      </c>
      <c r="J45">
        <f>J9*81.2422</f>
        <v>0</v>
      </c>
      <c r="K45">
        <f>K9*-60.9316</f>
        <v>0</v>
      </c>
      <c r="L45">
        <f>L9*1387.1619</f>
        <v>0</v>
      </c>
      <c r="M45">
        <f>M9*-47.7513</f>
        <v>0</v>
      </c>
      <c r="N45">
        <f>E45+F45+G45+H45+I45+J45+K45+L45</f>
        <v>0</v>
      </c>
    </row>
    <row r="46" spans="3:14">
      <c r="C46">
        <f>32.0</f>
        <v>0</v>
      </c>
      <c r="D46">
        <f>12.0</f>
        <v>0</v>
      </c>
      <c r="E46">
        <f>E9*98.3725</f>
        <v>0</v>
      </c>
      <c r="F46">
        <f>F9*913.9238</f>
        <v>0</v>
      </c>
      <c r="G46">
        <f>G9*130.3562</f>
        <v>0</v>
      </c>
      <c r="H46">
        <f>H9*0.0</f>
        <v>0</v>
      </c>
      <c r="I46">
        <f>I9*-4.8999</f>
        <v>0</v>
      </c>
      <c r="J46">
        <f>J9*88.3716</f>
        <v>0</v>
      </c>
      <c r="K46">
        <f>K9*-66.2787</f>
        <v>0</v>
      </c>
      <c r="L46">
        <f>L9*1337.9966</f>
        <v>0</v>
      </c>
      <c r="M46">
        <f>M9*-49.1421</f>
        <v>0</v>
      </c>
      <c r="N46">
        <f>E46+F46+G46+H46+I46+J46+K46+L46</f>
        <v>0</v>
      </c>
    </row>
    <row r="47" spans="3:14">
      <c r="C47">
        <f>33.0</f>
        <v>0</v>
      </c>
      <c r="D47">
        <f>13.0</f>
        <v>0</v>
      </c>
      <c r="E47">
        <f>E9*94.0746</f>
        <v>0</v>
      </c>
      <c r="F47">
        <f>F9*865.3380000000001</f>
        <v>0</v>
      </c>
      <c r="G47">
        <f>G9*123.4193</f>
        <v>0</v>
      </c>
      <c r="H47">
        <f>H9*0.0</f>
        <v>0</v>
      </c>
      <c r="I47">
        <f>I9*-5.9539</f>
        <v>0</v>
      </c>
      <c r="J47">
        <f>J9*86.1883</f>
        <v>0</v>
      </c>
      <c r="K47">
        <f>K9*-64.6412</f>
        <v>0</v>
      </c>
      <c r="L47">
        <f>L9*1274.4267</f>
        <v>0</v>
      </c>
      <c r="M47">
        <f>M9*-53.3978</f>
        <v>0</v>
      </c>
      <c r="N47">
        <f>E47+F47+G47+H47+I47+J47+K47+L47</f>
        <v>0</v>
      </c>
    </row>
    <row r="48" spans="3:14">
      <c r="C48">
        <f>34.0</f>
        <v>0</v>
      </c>
      <c r="D48">
        <f>14.0</f>
        <v>0</v>
      </c>
      <c r="E48">
        <f>E9*84.6718</f>
        <v>0</v>
      </c>
      <c r="F48">
        <f>F9*792.9617</f>
        <v>0</v>
      </c>
      <c r="G48">
        <f>G9*113.0653</f>
        <v>0</v>
      </c>
      <c r="H48">
        <f>H9*0.0</f>
        <v>0</v>
      </c>
      <c r="I48">
        <f>I9*-6.9384</f>
        <v>0</v>
      </c>
      <c r="J48">
        <f>J9*74.0143</f>
        <v>0</v>
      </c>
      <c r="K48">
        <f>K9*-55.5107</f>
        <v>0</v>
      </c>
      <c r="L48">
        <f>L9*1182.579</f>
        <v>0</v>
      </c>
      <c r="M48">
        <f>M9*-58.4777</f>
        <v>0</v>
      </c>
      <c r="N48">
        <f>E48+F48+G48+H48+I48+J48+K48+L48</f>
        <v>0</v>
      </c>
    </row>
    <row r="49" spans="3:14">
      <c r="C49">
        <f>35.0</f>
        <v>0</v>
      </c>
      <c r="D49">
        <f>15.0</f>
        <v>0</v>
      </c>
      <c r="E49">
        <f>E9*71.5174</f>
        <v>0</v>
      </c>
      <c r="F49">
        <f>F9*693.837</f>
        <v>0</v>
      </c>
      <c r="G49">
        <f>G9*98.7636</f>
        <v>0</v>
      </c>
      <c r="H49">
        <f>H9*0.0</f>
        <v>0</v>
      </c>
      <c r="I49">
        <f>I9*-8.1782</f>
        <v>0</v>
      </c>
      <c r="J49">
        <f>J9*57.9582</f>
        <v>0</v>
      </c>
      <c r="K49">
        <f>K9*-43.4686</f>
        <v>0</v>
      </c>
      <c r="L49">
        <f>L9*1062.4716</f>
        <v>0</v>
      </c>
      <c r="M49">
        <f>M9*-72.3526</f>
        <v>0</v>
      </c>
      <c r="N49">
        <f>E49+F49+G49+H49+I49+J49+K49+L49</f>
        <v>0</v>
      </c>
    </row>
    <row r="50" spans="3:14">
      <c r="C50">
        <f>35.91</f>
        <v>0</v>
      </c>
      <c r="D50">
        <f>15.91</f>
        <v>0</v>
      </c>
      <c r="E50">
        <f>E9*65.0631</f>
        <v>0</v>
      </c>
      <c r="F50">
        <f>F9*596.4454</f>
        <v>0</v>
      </c>
      <c r="G50">
        <f>G9*84.9956</f>
        <v>0</v>
      </c>
      <c r="H50">
        <f>H9*0.0</f>
        <v>0</v>
      </c>
      <c r="I50">
        <f>I9*-6.1307</f>
        <v>0</v>
      </c>
      <c r="J50">
        <f>J9*78.188</f>
        <v>0</v>
      </c>
      <c r="K50">
        <f>K9*-58.641000000000005</f>
        <v>0</v>
      </c>
      <c r="L50">
        <f>L9*921.0553</f>
        <v>0</v>
      </c>
      <c r="M50">
        <f>M9*-65.5798</f>
        <v>0</v>
      </c>
      <c r="N50">
        <f>E50+F50+G50+H50+I50+J50+K50+L50</f>
        <v>0</v>
      </c>
    </row>
    <row r="51" spans="3:14">
      <c r="C51">
        <f>36.82</f>
        <v>0</v>
      </c>
      <c r="D51">
        <f>16.82</f>
        <v>0</v>
      </c>
      <c r="E51">
        <f>E9*55.0989</f>
        <v>0</v>
      </c>
      <c r="F51">
        <f>F9*478.6466</f>
        <v>0</v>
      </c>
      <c r="G51">
        <f>G9*68.2679</f>
        <v>0</v>
      </c>
      <c r="H51">
        <f>H9*0.0</f>
        <v>0</v>
      </c>
      <c r="I51">
        <f>I9*-4.0189</f>
        <v>0</v>
      </c>
      <c r="J51">
        <f>J9*94.5622</f>
        <v>0</v>
      </c>
      <c r="K51">
        <f>K9*-70.9217</f>
        <v>0</v>
      </c>
      <c r="L51">
        <f>L9*746.9255</f>
        <v>0</v>
      </c>
      <c r="M51">
        <f>M9*-61.0015</f>
        <v>0</v>
      </c>
      <c r="N51">
        <f>E51+F51+G51+H51+I51+J51+K51+L51</f>
        <v>0</v>
      </c>
    </row>
    <row r="52" spans="3:14">
      <c r="C52">
        <f>37.73</f>
        <v>0</v>
      </c>
      <c r="D52">
        <f>17.73</f>
        <v>0</v>
      </c>
      <c r="E52">
        <f>E9*40.264</f>
        <v>0</v>
      </c>
      <c r="F52">
        <f>F9*337.5651</f>
        <v>0</v>
      </c>
      <c r="G52">
        <f>G9*48.2005</f>
        <v>0</v>
      </c>
      <c r="H52">
        <f>H9*0.0</f>
        <v>0</v>
      </c>
      <c r="I52">
        <f>I9*-2.1444</f>
        <v>0</v>
      </c>
      <c r="J52">
        <f>J9*106.0219</f>
        <v>0</v>
      </c>
      <c r="K52">
        <f>K9*-79.5164</f>
        <v>0</v>
      </c>
      <c r="L52">
        <f>L9*532.8367</f>
        <v>0</v>
      </c>
      <c r="M52">
        <f>M9*-57.0259</f>
        <v>0</v>
      </c>
      <c r="N52">
        <f>E52+F52+G52+H52+I52+J52+K52+L52</f>
        <v>0</v>
      </c>
    </row>
    <row r="53" spans="3:14">
      <c r="C53">
        <f>38.64</f>
        <v>0</v>
      </c>
      <c r="D53">
        <f>18.64</f>
        <v>0</v>
      </c>
      <c r="E53">
        <f>E9*22.4338</f>
        <v>0</v>
      </c>
      <c r="F53">
        <f>F9*189.4015</f>
        <v>0</v>
      </c>
      <c r="G53">
        <f>G9*27.1016</f>
        <v>0</v>
      </c>
      <c r="H53">
        <f>H9*0.0</f>
        <v>0</v>
      </c>
      <c r="I53">
        <f>I9*-0.8685</f>
        <v>0</v>
      </c>
      <c r="J53">
        <f>J9*112.4668</f>
        <v>0</v>
      </c>
      <c r="K53">
        <f>K9*-84.3501</f>
        <v>0</v>
      </c>
      <c r="L53">
        <f>L9*302.5642</f>
        <v>0</v>
      </c>
      <c r="M53">
        <f>M9*-56.5773</f>
        <v>0</v>
      </c>
      <c r="N53">
        <f>E53+F53+G53+H53+I53+J53+K53+L53</f>
        <v>0</v>
      </c>
    </row>
    <row r="54" spans="3:14">
      <c r="C54">
        <f>39.55</f>
        <v>0</v>
      </c>
      <c r="D54">
        <f>19.55</f>
        <v>0</v>
      </c>
      <c r="E54">
        <f>E9*-2.9873</f>
        <v>0</v>
      </c>
      <c r="F54">
        <f>F9*-6.1145</f>
        <v>0</v>
      </c>
      <c r="G54">
        <f>G9*-0.8617</f>
        <v>0</v>
      </c>
      <c r="H54">
        <f>H9*0.0</f>
        <v>0</v>
      </c>
      <c r="I54">
        <f>I9*1.2493</f>
        <v>0</v>
      </c>
      <c r="J54">
        <f>J9*124.4614</f>
        <v>0</v>
      </c>
      <c r="K54">
        <f>K9*-93.346</f>
        <v>0</v>
      </c>
      <c r="L54">
        <f>L9*49.8937</f>
        <v>0</v>
      </c>
      <c r="M54">
        <f>M9*-85.1718</f>
        <v>0</v>
      </c>
      <c r="N54">
        <f>E54+F54+G54+H54+I54+J54+K54+L54</f>
        <v>0</v>
      </c>
    </row>
    <row r="55" spans="3:14">
      <c r="C55">
        <f>40.0</f>
        <v>0</v>
      </c>
      <c r="D55">
        <f>20.0</f>
        <v>0</v>
      </c>
      <c r="E55">
        <f>E9*-0.8533</f>
        <v>0</v>
      </c>
      <c r="F55">
        <f>F9*-7.525</f>
        <v>0</v>
      </c>
      <c r="G55">
        <f>G9*-1.0797</f>
        <v>0</v>
      </c>
      <c r="H55">
        <f>H9*0.0</f>
        <v>0</v>
      </c>
      <c r="I55">
        <f>I9*0.1653</f>
        <v>0</v>
      </c>
      <c r="J55">
        <f>J9*90.3233</f>
        <v>0</v>
      </c>
      <c r="K55">
        <f>K9*-67.7425</f>
        <v>0</v>
      </c>
      <c r="L55">
        <f>L9*3.5335</f>
        <v>0</v>
      </c>
      <c r="M55">
        <f>M9*-11.5602</f>
        <v>0</v>
      </c>
      <c r="N55">
        <f>E55+F55+G55+H55+I55+J55+K55+L55</f>
        <v>0</v>
      </c>
    </row>
    <row r="56" spans="3:14">
      <c r="C56">
        <f>40.0</f>
        <v>0</v>
      </c>
      <c r="D56">
        <f>0.0</f>
        <v>0</v>
      </c>
      <c r="E56">
        <f>E9*-0.4431</f>
        <v>0</v>
      </c>
      <c r="F56">
        <f>F9*-4.1677</f>
        <v>0</v>
      </c>
      <c r="G56">
        <f>G9*-0.6013</f>
        <v>0</v>
      </c>
      <c r="H56">
        <f>H9*0.0</f>
        <v>0</v>
      </c>
      <c r="I56">
        <f>I9*0.565</f>
        <v>0</v>
      </c>
      <c r="J56">
        <f>J9*88.3118</f>
        <v>0</v>
      </c>
      <c r="K56">
        <f>K9*-66.2339</f>
        <v>0</v>
      </c>
      <c r="L56">
        <f>L9*0.9311</f>
        <v>0</v>
      </c>
      <c r="M56">
        <f>M9*-8.9372</f>
        <v>0</v>
      </c>
      <c r="N56">
        <f>E56+F56+G56+H56+I56+J56+K56+L56</f>
        <v>0</v>
      </c>
    </row>
    <row r="57" spans="3:14">
      <c r="C57">
        <f>40.45</f>
        <v>0</v>
      </c>
      <c r="D57">
        <f>0.45</f>
        <v>0</v>
      </c>
      <c r="E57">
        <f>E9*-3.5085</f>
        <v>0</v>
      </c>
      <c r="F57">
        <f>F9*16.4211</f>
        <v>0</v>
      </c>
      <c r="G57">
        <f>G9*2.4828</f>
        <v>0</v>
      </c>
      <c r="H57">
        <f>H9*0.0</f>
        <v>0</v>
      </c>
      <c r="I57">
        <f>I9*4.428</f>
        <v>0</v>
      </c>
      <c r="J57">
        <f>J9*140.0727</f>
        <v>0</v>
      </c>
      <c r="K57">
        <f>K9*-105.0545</f>
        <v>0</v>
      </c>
      <c r="L57">
        <f>L9*51.321999999999996</f>
        <v>0</v>
      </c>
      <c r="M57">
        <f>M9*-33.4182</f>
        <v>0</v>
      </c>
      <c r="N57">
        <f>E57+F57+G57+H57+I57+J57+K57+L57</f>
        <v>0</v>
      </c>
    </row>
    <row r="58" spans="3:14">
      <c r="C58">
        <f>41.36</f>
        <v>0</v>
      </c>
      <c r="D58">
        <f>1.36</f>
        <v>0</v>
      </c>
      <c r="E58">
        <f>E9*12.3374</f>
        <v>0</v>
      </c>
      <c r="F58">
        <f>F9*91.9975</f>
        <v>0</v>
      </c>
      <c r="G58">
        <f>G9*13.1825</f>
        <v>0</v>
      </c>
      <c r="H58">
        <f>H9*0.0</f>
        <v>0</v>
      </c>
      <c r="I58">
        <f>I9*-11.427999999999999</f>
        <v>0</v>
      </c>
      <c r="J58">
        <f>J9*121.3247</f>
        <v>0</v>
      </c>
      <c r="K58">
        <f>K9*-90.9935</f>
        <v>0</v>
      </c>
      <c r="L58">
        <f>L9*208.0254</f>
        <v>0</v>
      </c>
      <c r="M58">
        <f>M9*-10.3809</f>
        <v>0</v>
      </c>
      <c r="N58">
        <f>E58+F58+G58+H58+I58+J58+K58+L58</f>
        <v>0</v>
      </c>
    </row>
    <row r="59" spans="3:14">
      <c r="C59">
        <f>42.27</f>
        <v>0</v>
      </c>
      <c r="D59">
        <f>2.27</f>
        <v>0</v>
      </c>
      <c r="E59">
        <f>E9*22.093000000000004</f>
        <v>0</v>
      </c>
      <c r="F59">
        <f>F9*143.3435</f>
        <v>0</v>
      </c>
      <c r="G59">
        <f>G9*20.3981</f>
        <v>0</v>
      </c>
      <c r="H59">
        <f>H9*0.0</f>
        <v>0</v>
      </c>
      <c r="I59">
        <f>I9*-23.956999999999997</f>
        <v>0</v>
      </c>
      <c r="J59">
        <f>J9*106.3721</f>
        <v>0</v>
      </c>
      <c r="K59">
        <f>K9*-79.7791</f>
        <v>0</v>
      </c>
      <c r="L59">
        <f>L9*324.4284</f>
        <v>0</v>
      </c>
      <c r="M59">
        <f>M9*-12.7181</f>
        <v>0</v>
      </c>
      <c r="N59">
        <f>E59+F59+G59+H59+I59+J59+K59+L59</f>
        <v>0</v>
      </c>
    </row>
    <row r="60" spans="3:14">
      <c r="C60">
        <f>43.18</f>
        <v>0</v>
      </c>
      <c r="D60">
        <f>3.18</f>
        <v>0</v>
      </c>
      <c r="E60">
        <f>E9*28.7879</f>
        <v>0</v>
      </c>
      <c r="F60">
        <f>F9*185.8064</f>
        <v>0</v>
      </c>
      <c r="G60">
        <f>G9*26.3207</f>
        <v>0</v>
      </c>
      <c r="H60">
        <f>H9*0.0</f>
        <v>0</v>
      </c>
      <c r="I60">
        <f>I9*-39.7143</f>
        <v>0</v>
      </c>
      <c r="J60">
        <f>J9*69.3831</f>
        <v>0</v>
      </c>
      <c r="K60">
        <f>K9*-52.0374</f>
        <v>0</v>
      </c>
      <c r="L60">
        <f>L9*420.4523</f>
        <v>0</v>
      </c>
      <c r="M60">
        <f>M9*-16.2593</f>
        <v>0</v>
      </c>
      <c r="N60">
        <f>E60+F60+G60+H60+I60+J60+K60+L60</f>
        <v>0</v>
      </c>
    </row>
    <row r="61" spans="3:14">
      <c r="C61">
        <f>44.09</f>
        <v>0</v>
      </c>
      <c r="D61">
        <f>4.09</f>
        <v>0</v>
      </c>
      <c r="E61">
        <f>E9*31.3011</f>
        <v>0</v>
      </c>
      <c r="F61">
        <f>F9*211.2409</f>
        <v>0</v>
      </c>
      <c r="G61">
        <f>G9*29.801</f>
        <v>0</v>
      </c>
      <c r="H61">
        <f>H9*0.0</f>
        <v>0</v>
      </c>
      <c r="I61">
        <f>I9*-55.8352</f>
        <v>0</v>
      </c>
      <c r="J61">
        <f>J9*25.2098</f>
        <v>0</v>
      </c>
      <c r="K61">
        <f>K9*-18.9074</f>
        <v>0</v>
      </c>
      <c r="L61">
        <f>L9*480.2631</f>
        <v>0</v>
      </c>
      <c r="M61">
        <f>M9*-23.2831</f>
        <v>0</v>
      </c>
      <c r="N61">
        <f>E61+F61+G61+H61+I61+J61+K61+L61</f>
        <v>0</v>
      </c>
    </row>
    <row r="62" spans="3:14">
      <c r="C62">
        <f>45.0</f>
        <v>0</v>
      </c>
      <c r="D62">
        <f>5.0</f>
        <v>0</v>
      </c>
      <c r="E62">
        <f>E9*30.7894</f>
        <v>0</v>
      </c>
      <c r="F62">
        <f>F9*223.8291</f>
        <v>0</v>
      </c>
      <c r="G62">
        <f>G9*31.3597</f>
        <v>0</v>
      </c>
      <c r="H62">
        <f>H9*0.0</f>
        <v>0</v>
      </c>
      <c r="I62">
        <f>I9*-71.4979</f>
        <v>0</v>
      </c>
      <c r="J62">
        <f>J9*-23.2705</f>
        <v>0</v>
      </c>
      <c r="K62">
        <f>K9*17.4529</f>
        <v>0</v>
      </c>
      <c r="L62">
        <f>L9*507.8872</f>
        <v>0</v>
      </c>
      <c r="M62">
        <f>M9*-30.3042</f>
        <v>0</v>
      </c>
      <c r="N62">
        <f>E62+F62+G62+H62+I62+J62+K62+L62</f>
        <v>0</v>
      </c>
    </row>
    <row r="63" spans="3:14">
      <c r="C63">
        <f>46.0</f>
        <v>0</v>
      </c>
      <c r="D63">
        <f>6.0</f>
        <v>0</v>
      </c>
      <c r="E63">
        <f>E9*33.1894</f>
        <v>0</v>
      </c>
      <c r="F63">
        <f>F9*216.7518</f>
        <v>0</v>
      </c>
      <c r="G63">
        <f>G9*30.5404</f>
        <v>0</v>
      </c>
      <c r="H63">
        <f>H9*0.0</f>
        <v>0</v>
      </c>
      <c r="I63">
        <f>I9*-56.2777</f>
        <v>0</v>
      </c>
      <c r="J63">
        <f>J9*16.0588</f>
        <v>0</v>
      </c>
      <c r="K63">
        <f>K9*-12.0441</f>
        <v>0</v>
      </c>
      <c r="L63">
        <f>L9*490.3252</f>
        <v>0</v>
      </c>
      <c r="M63">
        <f>M9*-22.866</f>
        <v>0</v>
      </c>
      <c r="N63">
        <f>E63+F63+G63+H63+I63+J63+K63+L63</f>
        <v>0</v>
      </c>
    </row>
    <row r="64" spans="3:14">
      <c r="C64">
        <f>47.0</f>
        <v>0</v>
      </c>
      <c r="D64">
        <f>7.0</f>
        <v>0</v>
      </c>
      <c r="E64">
        <f>E9*31.7043</f>
        <v>0</v>
      </c>
      <c r="F64">
        <f>F9*191.7198</f>
        <v>0</v>
      </c>
      <c r="G64">
        <f>G9*27.0842</f>
        <v>0</v>
      </c>
      <c r="H64">
        <f>H9*0.0</f>
        <v>0</v>
      </c>
      <c r="I64">
        <f>I9*-40.153</f>
        <v>0</v>
      </c>
      <c r="J64">
        <f>J9*55.8434</f>
        <v>0</v>
      </c>
      <c r="K64">
        <f>K9*-41.8826</f>
        <v>0</v>
      </c>
      <c r="L64">
        <f>L9*435.8959</f>
        <v>0</v>
      </c>
      <c r="M64">
        <f>M9*-17.4642</f>
        <v>0</v>
      </c>
      <c r="N64">
        <f>E64+F64+G64+H64+I64+J64+K64+L64</f>
        <v>0</v>
      </c>
    </row>
    <row r="65" spans="3:14">
      <c r="C65">
        <f>48.0</f>
        <v>0</v>
      </c>
      <c r="D65">
        <f>8.0</f>
        <v>0</v>
      </c>
      <c r="E65">
        <f>E9*25.8712</f>
        <v>0</v>
      </c>
      <c r="F65">
        <f>F9*148.3164</f>
        <v>0</v>
      </c>
      <c r="G65">
        <f>G9*20.9784</f>
        <v>0</v>
      </c>
      <c r="H65">
        <f>H9*0.0</f>
        <v>0</v>
      </c>
      <c r="I65">
        <f>I9*-24.2154</f>
        <v>0</v>
      </c>
      <c r="J65">
        <f>J9*85.7269</f>
        <v>0</v>
      </c>
      <c r="K65">
        <f>K9*-64.2952</f>
        <v>0</v>
      </c>
      <c r="L65">
        <f>L9*340.7152</f>
        <v>0</v>
      </c>
      <c r="M65">
        <f>M9*-12.654000000000002</f>
        <v>0</v>
      </c>
      <c r="N65">
        <f>E65+F65+G65+H65+I65+J65+K65+L65</f>
        <v>0</v>
      </c>
    </row>
    <row r="66" spans="3:14">
      <c r="C66">
        <f>49.0</f>
        <v>0</v>
      </c>
      <c r="D66">
        <f>9.0</f>
        <v>0</v>
      </c>
      <c r="E66">
        <f>E9*15.1146</f>
        <v>0</v>
      </c>
      <c r="F66">
        <f>F9*85.9064</f>
        <v>0</v>
      </c>
      <c r="G66">
        <f>G9*12.1493</f>
        <v>0</v>
      </c>
      <c r="H66">
        <f>H9*0.0</f>
        <v>0</v>
      </c>
      <c r="I66">
        <f>I9*-9.1782</f>
        <v>0</v>
      </c>
      <c r="J66">
        <f>J9*78.4122</f>
        <v>0</v>
      </c>
      <c r="K66">
        <f>K9*-58.8091</f>
        <v>0</v>
      </c>
      <c r="L66">
        <f>L9*202.2687</f>
        <v>0</v>
      </c>
      <c r="M66">
        <f>M9*-7.9425</f>
        <v>0</v>
      </c>
      <c r="N66">
        <f>E66+F66+G66+H66+I66+J66+K66+L66</f>
        <v>0</v>
      </c>
    </row>
    <row r="67" spans="3:14">
      <c r="C67">
        <f>50.0</f>
        <v>0</v>
      </c>
      <c r="D67">
        <f>10.0</f>
        <v>0</v>
      </c>
      <c r="E67">
        <f>E9*-2.8203</f>
        <v>0</v>
      </c>
      <c r="F67">
        <f>F9*-5.6708</f>
        <v>0</v>
      </c>
      <c r="G67">
        <f>G9*-0.8168</f>
        <v>0</v>
      </c>
      <c r="H67">
        <f>H9*0.0</f>
        <v>0</v>
      </c>
      <c r="I67">
        <f>I9*6.4378</f>
        <v>0</v>
      </c>
      <c r="J67">
        <f>J9*88.8114</f>
        <v>0</v>
      </c>
      <c r="K67">
        <f>K9*-66.6085</f>
        <v>0</v>
      </c>
      <c r="L67">
        <f>L9*7.9871</f>
        <v>0</v>
      </c>
      <c r="M67">
        <f>M9*-19.0371</f>
        <v>0</v>
      </c>
      <c r="N67">
        <f>E67+F67+G67+H67+I67+J67+K67+L67</f>
        <v>0</v>
      </c>
    </row>
    <row r="74" spans="3:14">
      <c r="C74" t="s">
        <v>0</v>
      </c>
      <c r="D74" t="s">
        <v>1</v>
      </c>
      <c r="E74" t="s">
        <v>2</v>
      </c>
      <c r="F74" t="s">
        <v>3</v>
      </c>
      <c r="G74" t="s">
        <v>4</v>
      </c>
      <c r="H74" t="s">
        <v>5</v>
      </c>
      <c r="I74" t="s">
        <v>6</v>
      </c>
      <c r="J74" t="s">
        <v>7</v>
      </c>
      <c r="K74" t="s">
        <v>8</v>
      </c>
      <c r="L74" t="s">
        <v>9</v>
      </c>
      <c r="M74" t="s">
        <v>10</v>
      </c>
      <c r="N74" t="s">
        <v>11</v>
      </c>
    </row>
    <row r="75" spans="3:14">
      <c r="C75">
        <f>0.0</f>
        <v>0</v>
      </c>
      <c r="D75">
        <f>0.0</f>
        <v>0</v>
      </c>
      <c r="E75">
        <f>E73*-37.354</f>
        <v>0</v>
      </c>
      <c r="F75">
        <f>F73*-227.726</f>
        <v>0</v>
      </c>
      <c r="G75">
        <f>G73*-31.264</f>
        <v>0</v>
      </c>
      <c r="H75">
        <f>H73*0.0</f>
        <v>0</v>
      </c>
      <c r="I75">
        <f>I73*0.027000000000000003</f>
        <v>0</v>
      </c>
      <c r="J75">
        <f>J73*110.354</f>
        <v>0</v>
      </c>
      <c r="K75">
        <f>K73*-82.765</f>
        <v>0</v>
      </c>
      <c r="L75">
        <f>L73*40.544000000000004</f>
        <v>0</v>
      </c>
      <c r="M75">
        <f>M73*-368.69599999999997</f>
        <v>0</v>
      </c>
      <c r="N75">
        <f>E75+F75+G75+H75+I75+J75+K75+L75</f>
        <v>0</v>
      </c>
    </row>
    <row r="76" spans="3:14">
      <c r="C76">
        <f>1.0</f>
        <v>0</v>
      </c>
      <c r="D76">
        <f>1.0</f>
        <v>0</v>
      </c>
      <c r="E76">
        <f>E73*-34.611</f>
        <v>0</v>
      </c>
      <c r="F76">
        <f>F73*-207.37099999999998</f>
        <v>0</v>
      </c>
      <c r="G76">
        <f>G73*-29.791</f>
        <v>0</v>
      </c>
      <c r="H76">
        <f>H73*0.0</f>
        <v>0</v>
      </c>
      <c r="I76">
        <f>I73*0.026000000000000002</f>
        <v>0</v>
      </c>
      <c r="J76">
        <f>J73*100.56</f>
        <v>0</v>
      </c>
      <c r="K76">
        <f>K73*-75.42</f>
        <v>0</v>
      </c>
      <c r="L76">
        <f>L73*42.918</f>
        <v>0</v>
      </c>
      <c r="M76">
        <f>M73*-358.94699999999995</f>
        <v>0</v>
      </c>
      <c r="N76">
        <f>E76+F76+G76+H76+I76+J76+K76+L76</f>
        <v>0</v>
      </c>
    </row>
    <row r="77" spans="3:14">
      <c r="C77">
        <f>2.0</f>
        <v>0</v>
      </c>
      <c r="D77">
        <f>2.0</f>
        <v>0</v>
      </c>
      <c r="E77">
        <f>E73*-28.116999999999997</f>
        <v>0</v>
      </c>
      <c r="F77">
        <f>F73*-185.66099999999997</f>
        <v>0</v>
      </c>
      <c r="G77">
        <f>G73*-26.748</f>
        <v>0</v>
      </c>
      <c r="H77">
        <f>H73*0.0</f>
        <v>0</v>
      </c>
      <c r="I77">
        <f>I73*0.024</f>
        <v>0</v>
      </c>
      <c r="J77">
        <f>J73*79.431</f>
        <v>0</v>
      </c>
      <c r="K77">
        <f>K73*-59.573</f>
        <v>0</v>
      </c>
      <c r="L77">
        <f>L73*47.82</f>
        <v>0</v>
      </c>
      <c r="M77">
        <f>M73*-336.216</f>
        <v>0</v>
      </c>
      <c r="N77">
        <f>E77+F77+G77+H77+I77+J77+K77+L77</f>
        <v>0</v>
      </c>
    </row>
    <row r="78" spans="3:14">
      <c r="C78">
        <f>3.0</f>
        <v>0</v>
      </c>
      <c r="D78">
        <f>3.0</f>
        <v>0</v>
      </c>
      <c r="E78">
        <f>E73*-21.949</f>
        <v>0</v>
      </c>
      <c r="F78">
        <f>F73*-163.023</f>
        <v>0</v>
      </c>
      <c r="G78">
        <f>G73*-23.546</f>
        <v>0</v>
      </c>
      <c r="H78">
        <f>H73*0.0</f>
        <v>0</v>
      </c>
      <c r="I78">
        <f>I73*0.022000000000000002</f>
        <v>0</v>
      </c>
      <c r="J78">
        <f>J73*68.571</f>
        <v>0</v>
      </c>
      <c r="K78">
        <f>K73*-51.428000000000004</f>
        <v>0</v>
      </c>
      <c r="L78">
        <f>L73*57.646</f>
        <v>0</v>
      </c>
      <c r="M78">
        <f>M73*-312.399</f>
        <v>0</v>
      </c>
      <c r="N78">
        <f>E78+F78+G78+H78+I78+J78+K78+L78</f>
        <v>0</v>
      </c>
    </row>
    <row r="79" spans="3:14">
      <c r="C79">
        <f>4.0</f>
        <v>0</v>
      </c>
      <c r="D79">
        <f>4.0</f>
        <v>0</v>
      </c>
      <c r="E79">
        <f>E73*-16.295</f>
        <v>0</v>
      </c>
      <c r="F79">
        <f>F73*-146.645</f>
        <v>0</v>
      </c>
      <c r="G79">
        <f>G73*-20.179000000000002</f>
        <v>0</v>
      </c>
      <c r="H79">
        <f>H73*0.0</f>
        <v>0</v>
      </c>
      <c r="I79">
        <f>I73*0.02</f>
        <v>0</v>
      </c>
      <c r="J79">
        <f>J73*74.38600000000001</f>
        <v>0</v>
      </c>
      <c r="K79">
        <f>K73*-55.788999999999994</f>
        <v>0</v>
      </c>
      <c r="L79">
        <f>L73*62.332</f>
        <v>0</v>
      </c>
      <c r="M79">
        <f>M73*-287.228</f>
        <v>0</v>
      </c>
      <c r="N79">
        <f>E79+F79+G79+H79+I79+J79+K79+L79</f>
        <v>0</v>
      </c>
    </row>
    <row r="80" spans="3:14">
      <c r="C80">
        <f>5.0</f>
        <v>0</v>
      </c>
      <c r="D80">
        <f>5.0</f>
        <v>0</v>
      </c>
      <c r="E80">
        <f>E73*-16.11</f>
        <v>0</v>
      </c>
      <c r="F80">
        <f>F73*-125.679</f>
        <v>0</v>
      </c>
      <c r="G80">
        <f>G73*-18.183</f>
        <v>0</v>
      </c>
      <c r="H80">
        <f>H73*0.0</f>
        <v>0</v>
      </c>
      <c r="I80">
        <f>I73*0.017</f>
        <v>0</v>
      </c>
      <c r="J80">
        <f>J73*70.757</f>
        <v>0</v>
      </c>
      <c r="K80">
        <f>K73*-53.067</f>
        <v>0</v>
      </c>
      <c r="L80">
        <f>L73*66.34899999999999</f>
        <v>0</v>
      </c>
      <c r="M80">
        <f>M73*-272.902</f>
        <v>0</v>
      </c>
      <c r="N80">
        <f>E80+F80+G80+H80+I80+J80+K80+L80</f>
        <v>0</v>
      </c>
    </row>
    <row r="81" spans="3:14">
      <c r="C81">
        <f>6.0</f>
        <v>0</v>
      </c>
      <c r="D81">
        <f>6.0</f>
        <v>0</v>
      </c>
      <c r="E81">
        <f>E73*-14.094000000000001</f>
        <v>0</v>
      </c>
      <c r="F81">
        <f>F73*-89.845</f>
        <v>0</v>
      </c>
      <c r="G81">
        <f>G73*-13.616</f>
        <v>0</v>
      </c>
      <c r="H81">
        <f>H73*0.0</f>
        <v>0</v>
      </c>
      <c r="I81">
        <f>I73*0.016</f>
        <v>0</v>
      </c>
      <c r="J81">
        <f>J73*-7.894</f>
        <v>0</v>
      </c>
      <c r="K81">
        <f>K73*5.92</f>
        <v>0</v>
      </c>
      <c r="L81">
        <f>L73*76.512</f>
        <v>0</v>
      </c>
      <c r="M81">
        <f>M73*-232.296</f>
        <v>0</v>
      </c>
      <c r="N81">
        <f>E81+F81+G81+H81+I81+J81+K81+L81</f>
        <v>0</v>
      </c>
    </row>
    <row r="82" spans="3:14">
      <c r="C82">
        <f>7.0</f>
        <v>0</v>
      </c>
      <c r="D82">
        <f>7.0</f>
        <v>0</v>
      </c>
      <c r="E82">
        <f>E73*-9.384</f>
        <v>0</v>
      </c>
      <c r="F82">
        <f>F73*-67.508</f>
        <v>0</v>
      </c>
      <c r="G82">
        <f>G73*-10.370999999999999</f>
        <v>0</v>
      </c>
      <c r="H82">
        <f>H73*0.0</f>
        <v>0</v>
      </c>
      <c r="I82">
        <f>I73*0.016</f>
        <v>0</v>
      </c>
      <c r="J82">
        <f>J73*-4.706</f>
        <v>0</v>
      </c>
      <c r="K82">
        <f>K73*3.529</f>
        <v>0</v>
      </c>
      <c r="L82">
        <f>L73*90.744</f>
        <v>0</v>
      </c>
      <c r="M82">
        <f>M73*-212.15200000000002</f>
        <v>0</v>
      </c>
      <c r="N82">
        <f>E82+F82+G82+H82+I82+J82+K82+L82</f>
        <v>0</v>
      </c>
    </row>
    <row r="83" spans="3:14">
      <c r="C83">
        <f>8.0</f>
        <v>0</v>
      </c>
      <c r="D83">
        <f>8.0</f>
        <v>0</v>
      </c>
      <c r="E83">
        <f>E73*-4.525</f>
        <v>0</v>
      </c>
      <c r="F83">
        <f>F73*-44.873000000000005</f>
        <v>0</v>
      </c>
      <c r="G83">
        <f>G73*-7.101</f>
        <v>0</v>
      </c>
      <c r="H83">
        <f>H73*0.0</f>
        <v>0</v>
      </c>
      <c r="I83">
        <f>I73*0.015</f>
        <v>0</v>
      </c>
      <c r="J83">
        <f>J73*6.192</f>
        <v>0</v>
      </c>
      <c r="K83">
        <f>K73*-4.644</f>
        <v>0</v>
      </c>
      <c r="L83">
        <f>L73*105.23899999999999</f>
        <v>0</v>
      </c>
      <c r="M83">
        <f>M73*-191.61599999999999</f>
        <v>0</v>
      </c>
      <c r="N83">
        <f>E83+F83+G83+H83+I83+J83+K83+L83</f>
        <v>0</v>
      </c>
    </row>
    <row r="84" spans="3:14">
      <c r="C84">
        <f>9.0</f>
        <v>0</v>
      </c>
      <c r="D84">
        <f>9.0</f>
        <v>0</v>
      </c>
      <c r="E84">
        <f>E73*2.504</f>
        <v>0</v>
      </c>
      <c r="F84">
        <f>F73*-22.183000000000003</f>
        <v>0</v>
      </c>
      <c r="G84">
        <f>G73*-3.792</f>
        <v>0</v>
      </c>
      <c r="H84">
        <f>H73*0.0</f>
        <v>0</v>
      </c>
      <c r="I84">
        <f>I73*0.013999999999999999</f>
        <v>0</v>
      </c>
      <c r="J84">
        <f>J73*12.415</f>
        <v>0</v>
      </c>
      <c r="K84">
        <f>K73*-9.311</f>
        <v>0</v>
      </c>
      <c r="L84">
        <f>L73*119.917</f>
        <v>0</v>
      </c>
      <c r="M84">
        <f>M73*-170.518</f>
        <v>0</v>
      </c>
      <c r="N84">
        <f>E84+F84+G84+H84+I84+J84+K84+L84</f>
        <v>0</v>
      </c>
    </row>
    <row r="85" spans="3:14">
      <c r="C85">
        <f>10.0</f>
        <v>0</v>
      </c>
      <c r="D85">
        <f>10.0</f>
        <v>0</v>
      </c>
      <c r="E85">
        <f>E73*4.365</f>
        <v>0</v>
      </c>
      <c r="F85">
        <f>F73*17.730999999999998</f>
        <v>0</v>
      </c>
      <c r="G85">
        <f>G73*3.0580000000000003</f>
        <v>0</v>
      </c>
      <c r="H85">
        <f>H73*0.0</f>
        <v>0</v>
      </c>
      <c r="I85">
        <f>I73*0.013000000000000001</f>
        <v>0</v>
      </c>
      <c r="J85">
        <f>J73*-14.252</f>
        <v>0</v>
      </c>
      <c r="K85">
        <f>K73*10.689</f>
        <v>0</v>
      </c>
      <c r="L85">
        <f>L73*142.684</f>
        <v>0</v>
      </c>
      <c r="M85">
        <f>M73*-149.304</f>
        <v>0</v>
      </c>
      <c r="N85">
        <f>E85+F85+G85+H85+I85+J85+K85+L85</f>
        <v>0</v>
      </c>
    </row>
    <row r="86" spans="3:14">
      <c r="C86">
        <f>11.0</f>
        <v>0</v>
      </c>
      <c r="D86">
        <f>11.0</f>
        <v>0</v>
      </c>
      <c r="E86">
        <f>E73*1.357</f>
        <v>0</v>
      </c>
      <c r="F86">
        <f>F73*40.461999999999996</f>
        <v>0</v>
      </c>
      <c r="G86">
        <f>G73*6.386</f>
        <v>0</v>
      </c>
      <c r="H86">
        <f>H73*0.0</f>
        <v>0</v>
      </c>
      <c r="I86">
        <f>I73*0.013000000000000001</f>
        <v>0</v>
      </c>
      <c r="J86">
        <f>J73*-13.519</f>
        <v>0</v>
      </c>
      <c r="K86">
        <f>K73*10.139</f>
        <v>0</v>
      </c>
      <c r="L86">
        <f>L73*163.735</f>
        <v>0</v>
      </c>
      <c r="M86">
        <f>M73*-113.61200000000001</f>
        <v>0</v>
      </c>
      <c r="N86">
        <f>E86+F86+G86+H86+I86+J86+K86+L86</f>
        <v>0</v>
      </c>
    </row>
    <row r="87" spans="3:14">
      <c r="C87">
        <f>12.0</f>
        <v>0</v>
      </c>
      <c r="D87">
        <f>12.0</f>
        <v>0</v>
      </c>
      <c r="E87">
        <f>E73*5.9479999999999995</f>
        <v>0</v>
      </c>
      <c r="F87">
        <f>F73*63.295</f>
        <v>0</v>
      </c>
      <c r="G87">
        <f>G73*9.719</f>
        <v>0</v>
      </c>
      <c r="H87">
        <f>H73*0.0</f>
        <v>0</v>
      </c>
      <c r="I87">
        <f>I73*0.013000000000000001</f>
        <v>0</v>
      </c>
      <c r="J87">
        <f>J73*-6.774</f>
        <v>0</v>
      </c>
      <c r="K87">
        <f>K73*5.081</f>
        <v>0</v>
      </c>
      <c r="L87">
        <f>L73*184.655</f>
        <v>0</v>
      </c>
      <c r="M87">
        <f>M73*-98.414</f>
        <v>0</v>
      </c>
      <c r="N87">
        <f>E87+F87+G87+H87+I87+J87+K87+L87</f>
        <v>0</v>
      </c>
    </row>
    <row r="88" spans="3:14">
      <c r="C88">
        <f>13.0</f>
        <v>0</v>
      </c>
      <c r="D88">
        <f>13.0</f>
        <v>0</v>
      </c>
      <c r="E88">
        <f>E73*10.703</f>
        <v>0</v>
      </c>
      <c r="F88">
        <f>F73*86.095</f>
        <v>0</v>
      </c>
      <c r="G88">
        <f>G73*13.020999999999999</f>
        <v>0</v>
      </c>
      <c r="H88">
        <f>H73*0.0</f>
        <v>0</v>
      </c>
      <c r="I88">
        <f>I73*0.013000000000000001</f>
        <v>0</v>
      </c>
      <c r="J88">
        <f>J73*6.007000000000001</f>
        <v>0</v>
      </c>
      <c r="K88">
        <f>K73*-4.506</f>
        <v>0</v>
      </c>
      <c r="L88">
        <f>L73*205.322</f>
        <v>0</v>
      </c>
      <c r="M88">
        <f>M73*-84.68299999999999</f>
        <v>0</v>
      </c>
      <c r="N88">
        <f>E88+F88+G88+H88+I88+J88+K88+L88</f>
        <v>0</v>
      </c>
    </row>
    <row r="89" spans="3:14">
      <c r="C89">
        <f>14.0</f>
        <v>0</v>
      </c>
      <c r="D89">
        <f>14.0</f>
        <v>0</v>
      </c>
      <c r="E89">
        <f>E73*15.222999999999999</f>
        <v>0</v>
      </c>
      <c r="F89">
        <f>F73*108.47399999999999</f>
        <v>0</v>
      </c>
      <c r="G89">
        <f>G73*16.285</f>
        <v>0</v>
      </c>
      <c r="H89">
        <f>H73*0.0</f>
        <v>0</v>
      </c>
      <c r="I89">
        <f>I73*0.013000000000000001</f>
        <v>0</v>
      </c>
      <c r="J89">
        <f>J73*11.741</f>
        <v>0</v>
      </c>
      <c r="K89">
        <f>K73*-8.806000000000001</f>
        <v>0</v>
      </c>
      <c r="L89">
        <f>L73*225.847</f>
        <v>0</v>
      </c>
      <c r="M89">
        <f>M73*-71.085</f>
        <v>0</v>
      </c>
      <c r="N89">
        <f>E89+F89+G89+H89+I89+J89+K89+L89</f>
        <v>0</v>
      </c>
    </row>
    <row r="90" spans="3:14">
      <c r="C90">
        <f>15.0</f>
        <v>0</v>
      </c>
      <c r="D90">
        <f>15.0</f>
        <v>0</v>
      </c>
      <c r="E90">
        <f>E73*17.112000000000002</f>
        <v>0</v>
      </c>
      <c r="F90">
        <f>F73*135.70600000000002</f>
        <v>0</v>
      </c>
      <c r="G90">
        <f>G73*19.784000000000002</f>
        <v>0</v>
      </c>
      <c r="H90">
        <f>H73*0.0</f>
        <v>0</v>
      </c>
      <c r="I90">
        <f>I73*0.013999999999999999</f>
        <v>0</v>
      </c>
      <c r="J90">
        <f>J73*-32.010999999999996</f>
        <v>0</v>
      </c>
      <c r="K90">
        <f>K73*24.008000000000003</f>
        <v>0</v>
      </c>
      <c r="L90">
        <f>L73*262.902</f>
        <v>0</v>
      </c>
      <c r="M90">
        <f>M73*-59.126999999999995</f>
        <v>0</v>
      </c>
      <c r="N90">
        <f>E90+F90+G90+H90+I90+J90+K90+L90</f>
        <v>0</v>
      </c>
    </row>
    <row r="91" spans="3:14">
      <c r="C91">
        <f>15.91</f>
        <v>0</v>
      </c>
      <c r="D91">
        <f>15.91</f>
        <v>0</v>
      </c>
      <c r="E91">
        <f>E73*13.638</f>
        <v>0</v>
      </c>
      <c r="F91">
        <f>F73*154.512</f>
        <v>0</v>
      </c>
      <c r="G91">
        <f>G73*21.735</f>
        <v>0</v>
      </c>
      <c r="H91">
        <f>H73*0.0</f>
        <v>0</v>
      </c>
      <c r="I91">
        <f>I73*0.013999999999999999</f>
        <v>0</v>
      </c>
      <c r="J91">
        <f>J73*-33.228</f>
        <v>0</v>
      </c>
      <c r="K91">
        <f>K73*24.921</f>
        <v>0</v>
      </c>
      <c r="L91">
        <f>L73*275.26599999999996</f>
        <v>0</v>
      </c>
      <c r="M91">
        <f>M73*-54.473</f>
        <v>0</v>
      </c>
      <c r="N91">
        <f>E91+F91+G91+H91+I91+J91+K91+L91</f>
        <v>0</v>
      </c>
    </row>
    <row r="92" spans="3:14">
      <c r="C92">
        <f>16.82</f>
        <v>0</v>
      </c>
      <c r="D92">
        <f>16.82</f>
        <v>0</v>
      </c>
      <c r="E92">
        <f>E73*17.933</f>
        <v>0</v>
      </c>
      <c r="F92">
        <f>F73*168.294</f>
        <v>0</v>
      </c>
      <c r="G92">
        <f>G73*24.557</f>
        <v>0</v>
      </c>
      <c r="H92">
        <f>H73*0.0</f>
        <v>0</v>
      </c>
      <c r="I92">
        <f>I73*0.015</f>
        <v>0</v>
      </c>
      <c r="J92">
        <f>J73*-19.351</f>
        <v>0</v>
      </c>
      <c r="K92">
        <f>K73*14.513</f>
        <v>0</v>
      </c>
      <c r="L92">
        <f>L73*297.579</f>
        <v>0</v>
      </c>
      <c r="M92">
        <f>M73*-45.147</f>
        <v>0</v>
      </c>
      <c r="N92">
        <f>E92+F92+G92+H92+I92+J92+K92+L92</f>
        <v>0</v>
      </c>
    </row>
    <row r="93" spans="3:14">
      <c r="C93">
        <f>17.73</f>
        <v>0</v>
      </c>
      <c r="D93">
        <f>17.73</f>
        <v>0</v>
      </c>
      <c r="E93">
        <f>E73*22.583000000000002</f>
        <v>0</v>
      </c>
      <c r="F93">
        <f>F73*187.64700000000002</f>
        <v>0</v>
      </c>
      <c r="G93">
        <f>G73*27.369</f>
        <v>0</v>
      </c>
      <c r="H93">
        <f>H73*0.0</f>
        <v>0</v>
      </c>
      <c r="I93">
        <f>I73*0.013999999999999999</f>
        <v>0</v>
      </c>
      <c r="J93">
        <f>J73*-16.059</f>
        <v>0</v>
      </c>
      <c r="K93">
        <f>K73*12.044</f>
        <v>0</v>
      </c>
      <c r="L93">
        <f>L73*320.953</f>
        <v>0</v>
      </c>
      <c r="M93">
        <f>M73*-32.053000000000004</f>
        <v>0</v>
      </c>
      <c r="N93">
        <f>E93+F93+G93+H93+I93+J93+K93+L93</f>
        <v>0</v>
      </c>
    </row>
    <row r="94" spans="3:14">
      <c r="C94">
        <f>18.64</f>
        <v>0</v>
      </c>
      <c r="D94">
        <f>18.64</f>
        <v>0</v>
      </c>
      <c r="E94">
        <f>E73*27.309</f>
        <v>0</v>
      </c>
      <c r="F94">
        <f>F73*205.50799999999998</f>
        <v>0</v>
      </c>
      <c r="G94">
        <f>G73*29.955</f>
        <v>0</v>
      </c>
      <c r="H94">
        <f>H73*0.0</f>
        <v>0</v>
      </c>
      <c r="I94">
        <f>I73*0.012</f>
        <v>0</v>
      </c>
      <c r="J94">
        <f>J73*-21.55</f>
        <v>0</v>
      </c>
      <c r="K94">
        <f>K73*16.163</f>
        <v>0</v>
      </c>
      <c r="L94">
        <f>L73*344.60400000000004</f>
        <v>0</v>
      </c>
      <c r="M94">
        <f>M73*-24.949</f>
        <v>0</v>
      </c>
      <c r="N94">
        <f>E94+F94+G94+H94+I94+J94+K94+L94</f>
        <v>0</v>
      </c>
    </row>
    <row r="95" spans="3:14">
      <c r="C95">
        <f>19.55</f>
        <v>0</v>
      </c>
      <c r="D95">
        <f>19.55</f>
        <v>0</v>
      </c>
      <c r="E95">
        <f>E73*29.354</f>
        <v>0</v>
      </c>
      <c r="F95">
        <f>F73*221.00799999999998</f>
        <v>0</v>
      </c>
      <c r="G95">
        <f>G73*30.906</f>
        <v>0</v>
      </c>
      <c r="H95">
        <f>H73*0.0</f>
        <v>0</v>
      </c>
      <c r="I95">
        <f>I73*-0.018000000000000002</f>
        <v>0</v>
      </c>
      <c r="J95">
        <f>J73*44.67100000000001</f>
        <v>0</v>
      </c>
      <c r="K95">
        <f>K73*-33.504</f>
        <v>0</v>
      </c>
      <c r="L95">
        <f>L73*354.269</f>
        <v>0</v>
      </c>
      <c r="M95">
        <f>M73*-145.671</f>
        <v>0</v>
      </c>
      <c r="N95">
        <f>E95+F95+G95+H95+I95+J95+K95+L95</f>
        <v>0</v>
      </c>
    </row>
    <row r="96" spans="3:14">
      <c r="C96">
        <f>20.0</f>
        <v>0</v>
      </c>
      <c r="D96">
        <f>20.0</f>
        <v>0</v>
      </c>
      <c r="E96">
        <f>E73*-2.08</f>
        <v>0</v>
      </c>
      <c r="F96">
        <f>F73*9.7</f>
        <v>0</v>
      </c>
      <c r="G96">
        <f>G73*0.774</f>
        <v>0</v>
      </c>
      <c r="H96">
        <f>H73*0.0</f>
        <v>0</v>
      </c>
      <c r="I96">
        <f>I73*-0.018000000000000002</f>
        <v>0</v>
      </c>
      <c r="J96">
        <f>J73*44.67100000000001</f>
        <v>0</v>
      </c>
      <c r="K96">
        <f>K73*-33.504</f>
        <v>0</v>
      </c>
      <c r="L96">
        <f>L73*41.763999999999996</f>
        <v>0</v>
      </c>
      <c r="M96">
        <f>M73*-145.671</f>
        <v>0</v>
      </c>
      <c r="N96">
        <f>E96+F96+G96+H96+I96+J96+K96+L96</f>
        <v>0</v>
      </c>
    </row>
    <row r="97" spans="3:14">
      <c r="C97">
        <f>20.0</f>
        <v>0</v>
      </c>
      <c r="D97">
        <f>0.0</f>
        <v>0</v>
      </c>
      <c r="E97">
        <f>E73*1.893</f>
        <v>0</v>
      </c>
      <c r="F97">
        <f>F73*-9.275</f>
        <v>0</v>
      </c>
      <c r="G97">
        <f>G73*-0.701</f>
        <v>0</v>
      </c>
      <c r="H97">
        <f>H73*0.0</f>
        <v>0</v>
      </c>
      <c r="I97">
        <f>I73*-0.55</f>
        <v>0</v>
      </c>
      <c r="J97">
        <f>J73*-42.135</f>
        <v>0</v>
      </c>
      <c r="K97">
        <f>K73*31.601</f>
        <v>0</v>
      </c>
      <c r="L97">
        <f>L73*32.303000000000004</f>
        <v>0</v>
      </c>
      <c r="M97">
        <f>M73*-45.256</f>
        <v>0</v>
      </c>
      <c r="N97">
        <f>E97+F97+G97+H97+I97+J97+K97+L97</f>
        <v>0</v>
      </c>
    </row>
    <row r="98" spans="3:14">
      <c r="C98">
        <f>20.45</f>
        <v>0</v>
      </c>
      <c r="D98">
        <f>0.45</f>
        <v>0</v>
      </c>
      <c r="E98">
        <f>E73*-29.191</f>
        <v>0</v>
      </c>
      <c r="F98">
        <f>F73*-209.203</f>
        <v>0</v>
      </c>
      <c r="G98">
        <f>G73*-29.188000000000002</f>
        <v>0</v>
      </c>
      <c r="H98">
        <f>H73*0.0</f>
        <v>0</v>
      </c>
      <c r="I98">
        <f>I73*0.9079999999999999</f>
        <v>0</v>
      </c>
      <c r="J98">
        <f>J73*-42.135</f>
        <v>0</v>
      </c>
      <c r="K98">
        <f>K73*31.601</f>
        <v>0</v>
      </c>
      <c r="L98">
        <f>L73*32.303000000000004</f>
        <v>0</v>
      </c>
      <c r="M98">
        <f>M73*-346.05800000000005</f>
        <v>0</v>
      </c>
      <c r="N98">
        <f>E98+F98+G98+H98+I98+J98+K98+L98</f>
        <v>0</v>
      </c>
    </row>
    <row r="99" spans="3:14">
      <c r="C99">
        <f>21.36</f>
        <v>0</v>
      </c>
      <c r="D99">
        <f>1.36</f>
        <v>0</v>
      </c>
      <c r="E99">
        <f>E73*-27.116</f>
        <v>0</v>
      </c>
      <c r="F99">
        <f>F73*-194.06599999999997</f>
        <v>0</v>
      </c>
      <c r="G99">
        <f>G73*-28.291</f>
        <v>0</v>
      </c>
      <c r="H99">
        <f>H73*0.0</f>
        <v>0</v>
      </c>
      <c r="I99">
        <f>I73*0.9209999999999999</f>
        <v>0</v>
      </c>
      <c r="J99">
        <f>J73*28.964000000000002</f>
        <v>0</v>
      </c>
      <c r="K99">
        <f>K73*-21.723000000000003</f>
        <v>0</v>
      </c>
      <c r="L99">
        <f>L73*29.095</f>
        <v>0</v>
      </c>
      <c r="M99">
        <f>M73*-337.283</f>
        <v>0</v>
      </c>
      <c r="N99">
        <f>E99+F99+G99+H99+I99+J99+K99+L99</f>
        <v>0</v>
      </c>
    </row>
    <row r="100" spans="3:14">
      <c r="C100">
        <f>22.27</f>
        <v>0</v>
      </c>
      <c r="D100">
        <f>2.27</f>
        <v>0</v>
      </c>
      <c r="E100">
        <f>E73*-22.313000000000002</f>
        <v>0</v>
      </c>
      <c r="F100">
        <f>F73*-176.953</f>
        <v>0</v>
      </c>
      <c r="G100">
        <f>G73*-25.818</f>
        <v>0</v>
      </c>
      <c r="H100">
        <f>H73*0.0</f>
        <v>0</v>
      </c>
      <c r="I100">
        <f>I73*0.94</f>
        <v>0</v>
      </c>
      <c r="J100">
        <f>J73*21.825</f>
        <v>0</v>
      </c>
      <c r="K100">
        <f>K73*-16.369</f>
        <v>0</v>
      </c>
      <c r="L100">
        <f>L73*36.826</f>
        <v>0</v>
      </c>
      <c r="M100">
        <f>M73*-315.665</f>
        <v>0</v>
      </c>
      <c r="N100">
        <f>E100+F100+G100+H100+I100+J100+K100+L100</f>
        <v>0</v>
      </c>
    </row>
    <row r="101" spans="3:14">
      <c r="C101">
        <f>23.18</f>
        <v>0</v>
      </c>
      <c r="D101">
        <f>3.18</f>
        <v>0</v>
      </c>
      <c r="E101">
        <f>E73*-17.590999999999998</f>
        <v>0</v>
      </c>
      <c r="F101">
        <f>F73*-158.205</f>
        <v>0</v>
      </c>
      <c r="G101">
        <f>G73*-23.096999999999998</f>
        <v>0</v>
      </c>
      <c r="H101">
        <f>H73*0.0</f>
        <v>0</v>
      </c>
      <c r="I101">
        <f>I73*0.946</f>
        <v>0</v>
      </c>
      <c r="J101">
        <f>J73*23.535</f>
        <v>0</v>
      </c>
      <c r="K101">
        <f>K73*-17.651</f>
        <v>0</v>
      </c>
      <c r="L101">
        <f>L73*48.981</f>
        <v>0</v>
      </c>
      <c r="M101">
        <f>M73*-294.068</f>
        <v>0</v>
      </c>
      <c r="N101">
        <f>E101+F101+G101+H101+I101+J101+K101+L101</f>
        <v>0</v>
      </c>
    </row>
    <row r="102" spans="3:14">
      <c r="C102">
        <f>24.09</f>
        <v>0</v>
      </c>
      <c r="D102">
        <f>4.09</f>
        <v>0</v>
      </c>
      <c r="E102">
        <f>E73*-13.23</f>
        <v>0</v>
      </c>
      <c r="F102">
        <f>F73*-144.85299999999998</f>
        <v>0</v>
      </c>
      <c r="G102">
        <f>G73*-20.340999999999998</f>
        <v>0</v>
      </c>
      <c r="H102">
        <f>H73*0.0</f>
        <v>0</v>
      </c>
      <c r="I102">
        <f>I73*0.941</f>
        <v>0</v>
      </c>
      <c r="J102">
        <f>J73*36.229</f>
        <v>0</v>
      </c>
      <c r="K102">
        <f>K73*-27.171999999999997</f>
        <v>0</v>
      </c>
      <c r="L102">
        <f>L73*57.678000000000004</f>
        <v>0</v>
      </c>
      <c r="M102">
        <f>M73*-273.035</f>
        <v>0</v>
      </c>
      <c r="N102">
        <f>E102+F102+G102+H102+I102+J102+K102+L102</f>
        <v>0</v>
      </c>
    </row>
    <row r="103" spans="3:14">
      <c r="C103">
        <f>25.0</f>
        <v>0</v>
      </c>
      <c r="D103">
        <f>5.0</f>
        <v>0</v>
      </c>
      <c r="E103">
        <f>E73*-16.41</f>
        <v>0</v>
      </c>
      <c r="F103">
        <f>F73*-126.15799999999999</f>
        <v>0</v>
      </c>
      <c r="G103">
        <f>G73*-18.412</f>
        <v>0</v>
      </c>
      <c r="H103">
        <f>H73*0.0</f>
        <v>0</v>
      </c>
      <c r="I103">
        <f>I73*1.188</f>
        <v>0</v>
      </c>
      <c r="J103">
        <f>J73*34.608000000000004</f>
        <v>0</v>
      </c>
      <c r="K103">
        <f>K73*-25.956</f>
        <v>0</v>
      </c>
      <c r="L103">
        <f>L73*62.047</f>
        <v>0</v>
      </c>
      <c r="M103">
        <f>M73*-261.469</f>
        <v>0</v>
      </c>
      <c r="N103">
        <f>E103+F103+G103+H103+I103+J103+K103+L103</f>
        <v>0</v>
      </c>
    </row>
    <row r="104" spans="3:14">
      <c r="C104">
        <f>26.0</f>
        <v>0</v>
      </c>
      <c r="D104">
        <f>6.0</f>
        <v>0</v>
      </c>
      <c r="E104">
        <f>E73*-14.495</f>
        <v>0</v>
      </c>
      <c r="F104">
        <f>F73*-99.976</f>
        <v>0</v>
      </c>
      <c r="G104">
        <f>G73*-15.081</f>
        <v>0</v>
      </c>
      <c r="H104">
        <f>H73*0.0</f>
        <v>0</v>
      </c>
      <c r="I104">
        <f>I73*1.247</f>
        <v>0</v>
      </c>
      <c r="J104">
        <f>J73*-12.628</f>
        <v>0</v>
      </c>
      <c r="K104">
        <f>K73*9.471</f>
        <v>0</v>
      </c>
      <c r="L104">
        <f>L73*68.462</f>
        <v>0</v>
      </c>
      <c r="M104">
        <f>M73*-224.31</f>
        <v>0</v>
      </c>
      <c r="N104">
        <f>E104+F104+G104+H104+I104+J104+K104+L104</f>
        <v>0</v>
      </c>
    </row>
    <row r="105" spans="3:14">
      <c r="C105">
        <f>27.0</f>
        <v>0</v>
      </c>
      <c r="D105">
        <f>7.0</f>
        <v>0</v>
      </c>
      <c r="E105">
        <f>E73*-9.925</f>
        <v>0</v>
      </c>
      <c r="F105">
        <f>F73*-77.639</f>
        <v>0</v>
      </c>
      <c r="G105">
        <f>G73*-11.825999999999999</f>
        <v>0</v>
      </c>
      <c r="H105">
        <f>H73*0.0</f>
        <v>0</v>
      </c>
      <c r="I105">
        <f>I73*1.3219999999999998</f>
        <v>0</v>
      </c>
      <c r="J105">
        <f>J73*-7.61</f>
        <v>0</v>
      </c>
      <c r="K105">
        <f>K73*5.707999999999999</f>
        <v>0</v>
      </c>
      <c r="L105">
        <f>L73*82.63</f>
        <v>0</v>
      </c>
      <c r="M105">
        <f>M73*-203.77700000000002</f>
        <v>0</v>
      </c>
      <c r="N105">
        <f>E105+F105+G105+H105+I105+J105+K105+L105</f>
        <v>0</v>
      </c>
    </row>
    <row r="106" spans="3:14">
      <c r="C106">
        <f>28.0</f>
        <v>0</v>
      </c>
      <c r="D106">
        <f>8.0</f>
        <v>0</v>
      </c>
      <c r="E106">
        <f>E73*-5.127999999999999</f>
        <v>0</v>
      </c>
      <c r="F106">
        <f>F73*-54.788000000000004</f>
        <v>0</v>
      </c>
      <c r="G106">
        <f>G73*-8.521</f>
        <v>0</v>
      </c>
      <c r="H106">
        <f>H73*0.0</f>
        <v>0</v>
      </c>
      <c r="I106">
        <f>I73*1.3869999999999998</f>
        <v>0</v>
      </c>
      <c r="J106">
        <f>J73*4.329</f>
        <v>0</v>
      </c>
      <c r="K106">
        <f>K73*-3.2460000000000004</f>
        <v>0</v>
      </c>
      <c r="L106">
        <f>L73*96.833</f>
        <v>0</v>
      </c>
      <c r="M106">
        <f>M73*-183.3</f>
        <v>0</v>
      </c>
      <c r="N106">
        <f>E106+F106+G106+H106+I106+J106+K106+L106</f>
        <v>0</v>
      </c>
    </row>
    <row r="107" spans="3:14">
      <c r="C107">
        <f>29.0</f>
        <v>0</v>
      </c>
      <c r="D107">
        <f>9.0</f>
        <v>0</v>
      </c>
      <c r="E107">
        <f>E73*1.874</f>
        <v>0</v>
      </c>
      <c r="F107">
        <f>F73*-31.820999999999998</f>
        <v>0</v>
      </c>
      <c r="G107">
        <f>G73*-5.172999999999999</f>
        <v>0</v>
      </c>
      <c r="H107">
        <f>H73*0.0</f>
        <v>0</v>
      </c>
      <c r="I107">
        <f>I73*1.444</f>
        <v>0</v>
      </c>
      <c r="J107">
        <f>J73*10.748</f>
        <v>0</v>
      </c>
      <c r="K107">
        <f>K73*-8.061</f>
        <v>0</v>
      </c>
      <c r="L107">
        <f>L73*111.66799999999999</f>
        <v>0</v>
      </c>
      <c r="M107">
        <f>M73*-162.987</f>
        <v>0</v>
      </c>
      <c r="N107">
        <f>E107+F107+G107+H107+I107+J107+K107+L107</f>
        <v>0</v>
      </c>
    </row>
    <row r="108" spans="3:14">
      <c r="C108">
        <f>30.0</f>
        <v>0</v>
      </c>
      <c r="D108">
        <f>10.0</f>
        <v>0</v>
      </c>
      <c r="E108">
        <f>E73*-3.917</f>
        <v>0</v>
      </c>
      <c r="F108">
        <f>F73*-8.884</f>
        <v>0</v>
      </c>
      <c r="G108">
        <f>G73*-1.817</f>
        <v>0</v>
      </c>
      <c r="H108">
        <f>H73*0.0</f>
        <v>0</v>
      </c>
      <c r="I108">
        <f>I73*1.474</f>
        <v>0</v>
      </c>
      <c r="J108">
        <f>J73*11.43</f>
        <v>0</v>
      </c>
      <c r="K108">
        <f>K73*-8.573</f>
        <v>0</v>
      </c>
      <c r="L108">
        <f>L73*140.362</f>
        <v>0</v>
      </c>
      <c r="M108">
        <f>M73*-142.405</f>
        <v>0</v>
      </c>
      <c r="N108">
        <f>E108+F108+G108+H108+I108+J108+K108+L108</f>
        <v>0</v>
      </c>
    </row>
    <row r="109" spans="3:14">
      <c r="C109">
        <f>31.0</f>
        <v>0</v>
      </c>
      <c r="D109">
        <f>11.0</f>
        <v>0</v>
      </c>
      <c r="E109">
        <f>E73*-2.062</f>
        <v>0</v>
      </c>
      <c r="F109">
        <f>F73*31.285</f>
        <v>0</v>
      </c>
      <c r="G109">
        <f>G73*5.102</f>
        <v>0</v>
      </c>
      <c r="H109">
        <f>H73*0.0</f>
        <v>0</v>
      </c>
      <c r="I109">
        <f>I73*1.255</f>
        <v>0</v>
      </c>
      <c r="J109">
        <f>J73*-9.517999999999999</f>
        <v>0</v>
      </c>
      <c r="K109">
        <f>K73*7.138999999999999</f>
        <v>0</v>
      </c>
      <c r="L109">
        <f>L73*160.97899999999998</f>
        <v>0</v>
      </c>
      <c r="M109">
        <f>M73*-111.863</f>
        <v>0</v>
      </c>
      <c r="N109">
        <f>E109+F109+G109+H109+I109+J109+K109+L109</f>
        <v>0</v>
      </c>
    </row>
    <row r="110" spans="3:14">
      <c r="C110">
        <f>32.0</f>
        <v>0</v>
      </c>
      <c r="D110">
        <f>12.0</f>
        <v>0</v>
      </c>
      <c r="E110">
        <f>E73*4.925</f>
        <v>0</v>
      </c>
      <c r="F110">
        <f>F73*54.306000000000004</f>
        <v>0</v>
      </c>
      <c r="G110">
        <f>G73*8.459</f>
        <v>0</v>
      </c>
      <c r="H110">
        <f>H73*0.0</f>
        <v>0</v>
      </c>
      <c r="I110">
        <f>I73*1.3119999999999998</f>
        <v>0</v>
      </c>
      <c r="J110">
        <f>J73*-2.9930000000000003</f>
        <v>0</v>
      </c>
      <c r="K110">
        <f>K73*2.244</f>
        <v>0</v>
      </c>
      <c r="L110">
        <f>L73*181.938</f>
        <v>0</v>
      </c>
      <c r="M110">
        <f>M73*-97.00299999999999</f>
        <v>0</v>
      </c>
      <c r="N110">
        <f>E110+F110+G110+H110+I110+J110+K110+L110</f>
        <v>0</v>
      </c>
    </row>
    <row r="111" spans="3:14">
      <c r="C111">
        <f>33.0</f>
        <v>0</v>
      </c>
      <c r="D111">
        <f>13.0</f>
        <v>0</v>
      </c>
      <c r="E111">
        <f>E73*9.705</f>
        <v>0</v>
      </c>
      <c r="F111">
        <f>F73*77.267</f>
        <v>0</v>
      </c>
      <c r="G111">
        <f>G73*11.78</f>
        <v>0</v>
      </c>
      <c r="H111">
        <f>H73*0.0</f>
        <v>0</v>
      </c>
      <c r="I111">
        <f>I73*1.3230000000000002</f>
        <v>0</v>
      </c>
      <c r="J111">
        <f>J73*9.297</f>
        <v>0</v>
      </c>
      <c r="K111">
        <f>K73*-6.972</f>
        <v>0</v>
      </c>
      <c r="L111">
        <f>L73*202.892</f>
        <v>0</v>
      </c>
      <c r="M111">
        <f>M73*-82.689</f>
        <v>0</v>
      </c>
      <c r="N111">
        <f>E111+F111+G111+H111+I111+J111+K111+L111</f>
        <v>0</v>
      </c>
    </row>
    <row r="112" spans="3:14">
      <c r="C112">
        <f>34.0</f>
        <v>0</v>
      </c>
      <c r="D112">
        <f>14.0</f>
        <v>0</v>
      </c>
      <c r="E112">
        <f>E73*14.252</f>
        <v>0</v>
      </c>
      <c r="F112">
        <f>F73*99.823</f>
        <v>0</v>
      </c>
      <c r="G112">
        <f>G73*15.068</f>
        <v>0</v>
      </c>
      <c r="H112">
        <f>H73*0.0</f>
        <v>0</v>
      </c>
      <c r="I112">
        <f>I73*1.249</f>
        <v>0</v>
      </c>
      <c r="J112">
        <f>J73*14.722000000000001</f>
        <v>0</v>
      </c>
      <c r="K112">
        <f>K73*-11.040999999999999</f>
        <v>0</v>
      </c>
      <c r="L112">
        <f>L73*223.515</f>
        <v>0</v>
      </c>
      <c r="M112">
        <f>M73*-68.607</f>
        <v>0</v>
      </c>
      <c r="N112">
        <f>E112+F112+G112+H112+I112+J112+K112+L112</f>
        <v>0</v>
      </c>
    </row>
    <row r="113" spans="3:14">
      <c r="C113">
        <f>35.0</f>
        <v>0</v>
      </c>
      <c r="D113">
        <f>15.0</f>
        <v>0</v>
      </c>
      <c r="E113">
        <f>E73*16.156</f>
        <v>0</v>
      </c>
      <c r="F113">
        <f>F73*129.97299999999998</f>
        <v>0</v>
      </c>
      <c r="G113">
        <f>G73*18.980999999999998</f>
        <v>0</v>
      </c>
      <c r="H113">
        <f>H73*0.0</f>
        <v>0</v>
      </c>
      <c r="I113">
        <f>I73*-2.283</f>
        <v>0</v>
      </c>
      <c r="J113">
        <f>J73*-28.979</f>
        <v>0</v>
      </c>
      <c r="K113">
        <f>K73*21.734</f>
        <v>0</v>
      </c>
      <c r="L113">
        <f>L73*262.244</f>
        <v>0</v>
      </c>
      <c r="M113">
        <f>M73*-60.961000000000006</f>
        <v>0</v>
      </c>
      <c r="N113">
        <f>E113+F113+G113+H113+I113+J113+K113+L113</f>
        <v>0</v>
      </c>
    </row>
    <row r="114" spans="3:14">
      <c r="C114">
        <f>35.91</f>
        <v>0</v>
      </c>
      <c r="D114">
        <f>15.91</f>
        <v>0</v>
      </c>
      <c r="E114">
        <f>E73*12.958</f>
        <v>0</v>
      </c>
      <c r="F114">
        <f>F73*148.922</f>
        <v>0</v>
      </c>
      <c r="G114">
        <f>G73*20.989</f>
        <v>0</v>
      </c>
      <c r="H114">
        <f>H73*0.0</f>
        <v>0</v>
      </c>
      <c r="I114">
        <f>I73*-2.463</f>
        <v>0</v>
      </c>
      <c r="J114">
        <f>J73*-30.271</f>
        <v>0</v>
      </c>
      <c r="K114">
        <f>K73*22.703000000000003</f>
        <v>0</v>
      </c>
      <c r="L114">
        <f>L73*274.413</f>
        <v>0</v>
      </c>
      <c r="M114">
        <f>M73*-56.553000000000004</f>
        <v>0</v>
      </c>
      <c r="N114">
        <f>E114+F114+G114+H114+I114+J114+K114+L114</f>
        <v>0</v>
      </c>
    </row>
    <row r="115" spans="3:14">
      <c r="C115">
        <f>36.82</f>
        <v>0</v>
      </c>
      <c r="D115">
        <f>16.82</f>
        <v>0</v>
      </c>
      <c r="E115">
        <f>E73*17.289</f>
        <v>0</v>
      </c>
      <c r="F115">
        <f>F73*163.27700000000002</f>
        <v>0</v>
      </c>
      <c r="G115">
        <f>G73*23.853</f>
        <v>0</v>
      </c>
      <c r="H115">
        <f>H73*0.0</f>
        <v>0</v>
      </c>
      <c r="I115">
        <f>I73*-2.5269999999999997</f>
        <v>0</v>
      </c>
      <c r="J115">
        <f>J73*-16.635</f>
        <v>0</v>
      </c>
      <c r="K115">
        <f>K73*12.475999999999999</f>
        <v>0</v>
      </c>
      <c r="L115">
        <f>L73*296.218</f>
        <v>0</v>
      </c>
      <c r="M115">
        <f>M73*-47.632</f>
        <v>0</v>
      </c>
      <c r="N115">
        <f>E115+F115+G115+H115+I115+J115+K115+L115</f>
        <v>0</v>
      </c>
    </row>
    <row r="116" spans="3:14">
      <c r="C116">
        <f>37.73</f>
        <v>0</v>
      </c>
      <c r="D116">
        <f>17.73</f>
        <v>0</v>
      </c>
      <c r="E116">
        <f>E73*21.983</f>
        <v>0</v>
      </c>
      <c r="F116">
        <f>F73*183.041</f>
        <v>0</v>
      </c>
      <c r="G116">
        <f>G73*26.724</f>
        <v>0</v>
      </c>
      <c r="H116">
        <f>H73*0.0</f>
        <v>0</v>
      </c>
      <c r="I116">
        <f>I73*-2.548</f>
        <v>0</v>
      </c>
      <c r="J116">
        <f>J73*-13.475</f>
        <v>0</v>
      </c>
      <c r="K116">
        <f>K73*10.106</f>
        <v>0</v>
      </c>
      <c r="L116">
        <f>L73*318.978</f>
        <v>0</v>
      </c>
      <c r="M116">
        <f>M73*-34.869</f>
        <v>0</v>
      </c>
      <c r="N116">
        <f>E116+F116+G116+H116+I116+J116+K116+L116</f>
        <v>0</v>
      </c>
    </row>
    <row r="117" spans="3:14">
      <c r="C117">
        <f>38.64</f>
        <v>0</v>
      </c>
      <c r="D117">
        <f>18.64</f>
        <v>0</v>
      </c>
      <c r="E117">
        <f>E73*26.787</f>
        <v>0</v>
      </c>
      <c r="F117">
        <f>F73*201.68599999999998</f>
        <v>0</v>
      </c>
      <c r="G117">
        <f>G73*29.421</f>
        <v>0</v>
      </c>
      <c r="H117">
        <f>H73*0.0</f>
        <v>0</v>
      </c>
      <c r="I117">
        <f>I73*-2.572</f>
        <v>0</v>
      </c>
      <c r="J117">
        <f>J73*-19.017</f>
        <v>0</v>
      </c>
      <c r="K117">
        <f>K73*14.263</f>
        <v>0</v>
      </c>
      <c r="L117">
        <f>L73*341.94699999999995</f>
        <v>0</v>
      </c>
      <c r="M117">
        <f>M73*-27.094</f>
        <v>0</v>
      </c>
      <c r="N117">
        <f>E117+F117+G117+H117+I117+J117+K117+L117</f>
        <v>0</v>
      </c>
    </row>
    <row r="118" spans="3:14">
      <c r="C118">
        <f>39.55</f>
        <v>0</v>
      </c>
      <c r="D118">
        <f>19.55</f>
        <v>0</v>
      </c>
      <c r="E118">
        <f>E73*28.9</f>
        <v>0</v>
      </c>
      <c r="F118">
        <f>F73*217.935</f>
        <v>0</v>
      </c>
      <c r="G118">
        <f>G73*30.48</f>
        <v>0</v>
      </c>
      <c r="H118">
        <f>H73*0.0</f>
        <v>0</v>
      </c>
      <c r="I118">
        <f>I73*-2.761</f>
        <v>0</v>
      </c>
      <c r="J118">
        <f>J73*43.998999999999995</f>
        <v>0</v>
      </c>
      <c r="K118">
        <f>K73*-32.999</f>
        <v>0</v>
      </c>
      <c r="L118">
        <f>L73*351.31800000000004</f>
        <v>0</v>
      </c>
      <c r="M118">
        <f>M73*-149.55</f>
        <v>0</v>
      </c>
      <c r="N118">
        <f>E118+F118+G118+H118+I118+J118+K118+L118</f>
        <v>0</v>
      </c>
    </row>
    <row r="119" spans="3:14">
      <c r="C119">
        <f>40.0</f>
        <v>0</v>
      </c>
      <c r="D119">
        <f>20.0</f>
        <v>0</v>
      </c>
      <c r="E119">
        <f>E73*-2.248</f>
        <v>0</v>
      </c>
      <c r="F119">
        <f>F73*7.702999999999999</f>
        <v>0</v>
      </c>
      <c r="G119">
        <f>G73*0.484</f>
        <v>0</v>
      </c>
      <c r="H119">
        <f>H73*0.0</f>
        <v>0</v>
      </c>
      <c r="I119">
        <f>I73*1.0759999999999998</f>
        <v>0</v>
      </c>
      <c r="J119">
        <f>J73*43.998999999999995</f>
        <v>0</v>
      </c>
      <c r="K119">
        <f>K73*-32.999</f>
        <v>0</v>
      </c>
      <c r="L119">
        <f>L73*46.203</f>
        <v>0</v>
      </c>
      <c r="M119">
        <f>M73*-149.55</f>
        <v>0</v>
      </c>
      <c r="N119">
        <f>E119+F119+G119+H119+I119+J119+K119+L119</f>
        <v>0</v>
      </c>
    </row>
    <row r="120" spans="3:14">
      <c r="C120">
        <f>40.0</f>
        <v>0</v>
      </c>
      <c r="D120">
        <f>0.0</f>
        <v>0</v>
      </c>
      <c r="E120">
        <f>E73*1.7790000000000001</f>
        <v>0</v>
      </c>
      <c r="F120">
        <f>F73*-6.959</f>
        <v>0</v>
      </c>
      <c r="G120">
        <f>G73*-0.34600000000000003</f>
        <v>0</v>
      </c>
      <c r="H120">
        <f>H73*0.0</f>
        <v>0</v>
      </c>
      <c r="I120">
        <f>I73*-8.584</f>
        <v>0</v>
      </c>
      <c r="J120">
        <f>J73*-47.825</f>
        <v>0</v>
      </c>
      <c r="K120">
        <f>K73*35.868</f>
        <v>0</v>
      </c>
      <c r="L120">
        <f>L73*9.396</f>
        <v>0</v>
      </c>
      <c r="M120">
        <f>M73*-19.643</f>
        <v>0</v>
      </c>
      <c r="N120">
        <f>E120+F120+G120+H120+I120+J120+K120+L120</f>
        <v>0</v>
      </c>
    </row>
    <row r="121" spans="3:14">
      <c r="C121">
        <f>40.45</f>
        <v>0</v>
      </c>
      <c r="D121">
        <f>0.45</f>
        <v>0</v>
      </c>
      <c r="E121">
        <f>E73*-18.401</f>
        <v>0</v>
      </c>
      <c r="F121">
        <f>F73*-90.402</f>
        <v>0</v>
      </c>
      <c r="G121">
        <f>G73*-12.184000000000001</f>
        <v>0</v>
      </c>
      <c r="H121">
        <f>H73*0.0</f>
        <v>0</v>
      </c>
      <c r="I121">
        <f>I73*14.738</f>
        <v>0</v>
      </c>
      <c r="J121">
        <f>J73*-47.825</f>
        <v>0</v>
      </c>
      <c r="K121">
        <f>K73*35.868</f>
        <v>0</v>
      </c>
      <c r="L121">
        <f>L73*19.708</f>
        <v>0</v>
      </c>
      <c r="M121">
        <f>M73*-223.726</f>
        <v>0</v>
      </c>
      <c r="N121">
        <f>E121+F121+G121+H121+I121+J121+K121+L121</f>
        <v>0</v>
      </c>
    </row>
    <row r="122" spans="3:14">
      <c r="C122">
        <f>41.36</f>
        <v>0</v>
      </c>
      <c r="D122">
        <f>1.36</f>
        <v>0</v>
      </c>
      <c r="E122">
        <f>E73*-16.262</f>
        <v>0</v>
      </c>
      <c r="F122">
        <f>F73*-76.082</f>
        <v>0</v>
      </c>
      <c r="G122">
        <f>G73*-11.197000000000001</f>
        <v>0</v>
      </c>
      <c r="H122">
        <f>H73*0.0</f>
        <v>0</v>
      </c>
      <c r="I122">
        <f>I73*15.181</f>
        <v>0</v>
      </c>
      <c r="J122">
        <f>J73*35.693000000000005</f>
        <v>0</v>
      </c>
      <c r="K122">
        <f>K73*-26.77</f>
        <v>0</v>
      </c>
      <c r="L122">
        <f>L73*29.77</f>
        <v>0</v>
      </c>
      <c r="M122">
        <f>M73*-209.84400000000002</f>
        <v>0</v>
      </c>
      <c r="N122">
        <f>E122+F122+G122+H122+I122+J122+K122+L122</f>
        <v>0</v>
      </c>
    </row>
    <row r="123" spans="3:14">
      <c r="C123">
        <f>42.27</f>
        <v>0</v>
      </c>
      <c r="D123">
        <f>2.27</f>
        <v>0</v>
      </c>
      <c r="E123">
        <f>E73*-11.675999999999998</f>
        <v>0</v>
      </c>
      <c r="F123">
        <f>F73*-61.64</f>
        <v>0</v>
      </c>
      <c r="G123">
        <f>G73*-8.904</f>
        <v>0</v>
      </c>
      <c r="H123">
        <f>H73*0.0</f>
        <v>0</v>
      </c>
      <c r="I123">
        <f>I73*16.752</f>
        <v>0</v>
      </c>
      <c r="J123">
        <f>J73*49.81399999999999</f>
        <v>0</v>
      </c>
      <c r="K123">
        <f>K73*-37.36</f>
        <v>0</v>
      </c>
      <c r="L123">
        <f>L73*39.99</f>
        <v>0</v>
      </c>
      <c r="M123">
        <f>M73*-182.27599999999998</f>
        <v>0</v>
      </c>
      <c r="N123">
        <f>E123+F123+G123+H123+I123+J123+K123+L123</f>
        <v>0</v>
      </c>
    </row>
    <row r="124" spans="3:14">
      <c r="C124">
        <f>43.18</f>
        <v>0</v>
      </c>
      <c r="D124">
        <f>3.18</f>
        <v>0</v>
      </c>
      <c r="E124">
        <f>E73*-7.522</f>
        <v>0</v>
      </c>
      <c r="F124">
        <f>F73*-43.75899999999999</f>
        <v>0</v>
      </c>
      <c r="G124">
        <f>G73*-6.682</f>
        <v>0</v>
      </c>
      <c r="H124">
        <f>H73*0.0</f>
        <v>0</v>
      </c>
      <c r="I124">
        <f>I73*17.332</f>
        <v>0</v>
      </c>
      <c r="J124">
        <f>J73*51.074</f>
        <v>0</v>
      </c>
      <c r="K124">
        <f>K73*-38.305</f>
        <v>0</v>
      </c>
      <c r="L124">
        <f>L73*57.839</f>
        <v>0</v>
      </c>
      <c r="M124">
        <f>M73*-163.252</f>
        <v>0</v>
      </c>
      <c r="N124">
        <f>E124+F124+G124+H124+I124+J124+K124+L124</f>
        <v>0</v>
      </c>
    </row>
    <row r="125" spans="3:14">
      <c r="C125">
        <f>44.09</f>
        <v>0</v>
      </c>
      <c r="D125">
        <f>4.09</f>
        <v>0</v>
      </c>
      <c r="E125">
        <f>E73*-3.265</f>
        <v>0</v>
      </c>
      <c r="F125">
        <f>F73*-25.353</f>
        <v>0</v>
      </c>
      <c r="G125">
        <f>G73*-4.019</f>
        <v>0</v>
      </c>
      <c r="H125">
        <f>H73*0.0</f>
        <v>0</v>
      </c>
      <c r="I125">
        <f>I73*17.024</f>
        <v>0</v>
      </c>
      <c r="J125">
        <f>J73*51.736000000000004</f>
        <v>0</v>
      </c>
      <c r="K125">
        <f>K73*-38.802</f>
        <v>0</v>
      </c>
      <c r="L125">
        <f>L73*76.501</f>
        <v>0</v>
      </c>
      <c r="M125">
        <f>M73*-138.87</f>
        <v>0</v>
      </c>
      <c r="N125">
        <f>E125+F125+G125+H125+I125+J125+K125+L125</f>
        <v>0</v>
      </c>
    </row>
    <row r="126" spans="3:14">
      <c r="C126">
        <f>45.0</f>
        <v>0</v>
      </c>
      <c r="D126">
        <f>5.0</f>
        <v>0</v>
      </c>
      <c r="E126">
        <f>E73*-3.071</f>
        <v>0</v>
      </c>
      <c r="F126">
        <f>F73*-6.421</f>
        <v>0</v>
      </c>
      <c r="G126">
        <f>G73*-1.25</f>
        <v>0</v>
      </c>
      <c r="H126">
        <f>H73*0.0</f>
        <v>0</v>
      </c>
      <c r="I126">
        <f>I73*15.905</f>
        <v>0</v>
      </c>
      <c r="J126">
        <f>J73*49.411</f>
        <v>0</v>
      </c>
      <c r="K126">
        <f>K73*-37.058</f>
        <v>0</v>
      </c>
      <c r="L126">
        <f>L73*102.111</f>
        <v>0</v>
      </c>
      <c r="M126">
        <f>M73*-113.88</f>
        <v>0</v>
      </c>
      <c r="N126">
        <f>E126+F126+G126+H126+I126+J126+K126+L126</f>
        <v>0</v>
      </c>
    </row>
    <row r="127" spans="3:14">
      <c r="C127">
        <f>46.0</f>
        <v>0</v>
      </c>
      <c r="D127">
        <f>6.0</f>
        <v>0</v>
      </c>
      <c r="E127">
        <f>E73*1.361</f>
        <v>0</v>
      </c>
      <c r="F127">
        <f>F73*20.292</f>
        <v>0</v>
      </c>
      <c r="G127">
        <f>G73*3.437</f>
        <v>0</v>
      </c>
      <c r="H127">
        <f>H73*0.0</f>
        <v>0</v>
      </c>
      <c r="I127">
        <f>I73*-16.027</f>
        <v>0</v>
      </c>
      <c r="J127">
        <f>J73*-37.676</f>
        <v>0</v>
      </c>
      <c r="K127">
        <f>K73*28.256999999999998</f>
        <v>0</v>
      </c>
      <c r="L127">
        <f>L73*130.194</f>
        <v>0</v>
      </c>
      <c r="M127">
        <f>M73*-82.81299999999999</f>
        <v>0</v>
      </c>
      <c r="N127">
        <f>E127+F127+G127+H127+I127+J127+K127+L127</f>
        <v>0</v>
      </c>
    </row>
    <row r="128" spans="3:14">
      <c r="C128">
        <f>47.0</f>
        <v>0</v>
      </c>
      <c r="D128">
        <f>7.0</f>
        <v>0</v>
      </c>
      <c r="E128">
        <f>E73*6.207000000000001</f>
        <v>0</v>
      </c>
      <c r="F128">
        <f>F73*41.54</f>
        <v>0</v>
      </c>
      <c r="G128">
        <f>G73*6.517</f>
        <v>0</v>
      </c>
      <c r="H128">
        <f>H73*0.0</f>
        <v>0</v>
      </c>
      <c r="I128">
        <f>I73*-16.414</f>
        <v>0</v>
      </c>
      <c r="J128">
        <f>J73*-36.942</f>
        <v>0</v>
      </c>
      <c r="K128">
        <f>K73*27.706</f>
        <v>0</v>
      </c>
      <c r="L128">
        <f>L73*158.141</f>
        <v>0</v>
      </c>
      <c r="M128">
        <f>M73*-61.105</f>
        <v>0</v>
      </c>
      <c r="N128">
        <f>E128+F128+G128+H128+I128+J128+K128+L128</f>
        <v>0</v>
      </c>
    </row>
    <row r="129" spans="3:14">
      <c r="C129">
        <f>48.0</f>
        <v>0</v>
      </c>
      <c r="D129">
        <f>8.0</f>
        <v>0</v>
      </c>
      <c r="E129">
        <f>E73*10.786</f>
        <v>0</v>
      </c>
      <c r="F129">
        <f>F73*62.196999999999996</f>
        <v>0</v>
      </c>
      <c r="G129">
        <f>G73*9.054</f>
        <v>0</v>
      </c>
      <c r="H129">
        <f>H73*0.0</f>
        <v>0</v>
      </c>
      <c r="I129">
        <f>I73*-16.277</f>
        <v>0</v>
      </c>
      <c r="J129">
        <f>J73*-36.75</f>
        <v>0</v>
      </c>
      <c r="K129">
        <f>K73*27.561999999999998</f>
        <v>0</v>
      </c>
      <c r="L129">
        <f>L73*178.864</f>
        <v>0</v>
      </c>
      <c r="M129">
        <f>M73*-38.891999999999996</f>
        <v>0</v>
      </c>
      <c r="N129">
        <f>E129+F129+G129+H129+I129+J129+K129+L129</f>
        <v>0</v>
      </c>
    </row>
    <row r="130" spans="3:14">
      <c r="C130">
        <f>49.0</f>
        <v>0</v>
      </c>
      <c r="D130">
        <f>9.0</f>
        <v>0</v>
      </c>
      <c r="E130">
        <f>E73*16.578</f>
        <v>0</v>
      </c>
      <c r="F130">
        <f>F73*81.429</f>
        <v>0</v>
      </c>
      <c r="G130">
        <f>G73*12.232999999999999</f>
        <v>0</v>
      </c>
      <c r="H130">
        <f>H73*0.0</f>
        <v>0</v>
      </c>
      <c r="I130">
        <f>I73*-15.37</f>
        <v>0</v>
      </c>
      <c r="J130">
        <f>J73*-23.776999999999997</f>
        <v>0</v>
      </c>
      <c r="K130">
        <f>K73*17.833</f>
        <v>0</v>
      </c>
      <c r="L130">
        <f>L73*213.88299999999998</f>
        <v>0</v>
      </c>
      <c r="M130">
        <f>M73*-23.596999999999998</f>
        <v>0</v>
      </c>
      <c r="N130">
        <f>E130+F130+G130+H130+I130+J130+K130+L130</f>
        <v>0</v>
      </c>
    </row>
    <row r="131" spans="3:14">
      <c r="C131">
        <f>50.0</f>
        <v>0</v>
      </c>
      <c r="D131">
        <f>10.0</f>
        <v>0</v>
      </c>
      <c r="E131">
        <f>E73*19.182000000000002</f>
        <v>0</v>
      </c>
      <c r="F131">
        <f>F73*101.74700000000001</f>
        <v>0</v>
      </c>
      <c r="G131">
        <f>G73*13.710999999999999</f>
        <v>0</v>
      </c>
      <c r="H131">
        <f>H73*0.0</f>
        <v>0</v>
      </c>
      <c r="I131">
        <f>I73*-15.199000000000002</f>
        <v>0</v>
      </c>
      <c r="J131">
        <f>J73*-32.056999999999995</f>
        <v>0</v>
      </c>
      <c r="K131">
        <f>K73*24.043000000000003</f>
        <v>0</v>
      </c>
      <c r="L131">
        <f>L73*231.975</f>
        <v>0</v>
      </c>
      <c r="M131">
        <f>M73*-9.707</f>
        <v>0</v>
      </c>
      <c r="N131">
        <f>E131+F131+G131+H131+I131+J131+K131+L131</f>
        <v>0</v>
      </c>
    </row>
    <row r="138" spans="3:14">
      <c r="C138" t="s">
        <v>0</v>
      </c>
      <c r="D138" t="s">
        <v>1</v>
      </c>
      <c r="E138" t="s">
        <v>2</v>
      </c>
      <c r="F138" t="s">
        <v>3</v>
      </c>
      <c r="G138" t="s">
        <v>4</v>
      </c>
      <c r="H138" t="s">
        <v>5</v>
      </c>
      <c r="I138" t="s">
        <v>6</v>
      </c>
      <c r="J138" t="s">
        <v>7</v>
      </c>
      <c r="K138" t="s">
        <v>8</v>
      </c>
      <c r="L138" t="s">
        <v>9</v>
      </c>
      <c r="M138" t="s">
        <v>10</v>
      </c>
      <c r="N138" t="s">
        <v>11</v>
      </c>
    </row>
    <row r="139" spans="3:14">
      <c r="C139">
        <f>0.0</f>
        <v>0</v>
      </c>
      <c r="D139">
        <f>0.0</f>
        <v>0</v>
      </c>
      <c r="E139">
        <f>E137*-0.9678</f>
        <v>0</v>
      </c>
      <c r="F139">
        <f>F137*4.0209</f>
        <v>0</v>
      </c>
      <c r="G139">
        <f>G137*0.6475</f>
        <v>0</v>
      </c>
      <c r="H139">
        <f>H137*0.0</f>
        <v>0</v>
      </c>
      <c r="I139">
        <f>I137*0.0034</f>
        <v>0</v>
      </c>
      <c r="J139">
        <f>J137*-127.5106</f>
        <v>0</v>
      </c>
      <c r="K139">
        <f>K137*95.6329</f>
        <v>0</v>
      </c>
      <c r="L139">
        <f>L137*15.8828</f>
        <v>0</v>
      </c>
      <c r="M139">
        <f>M137*-5.45</f>
        <v>0</v>
      </c>
      <c r="N139">
        <f>E139+F139+G139+H139+I139+J139+K139+L139</f>
        <v>0</v>
      </c>
    </row>
    <row r="140" spans="3:14">
      <c r="C140">
        <f>1.0</f>
        <v>0</v>
      </c>
      <c r="D140">
        <f>1.0</f>
        <v>0</v>
      </c>
      <c r="E140">
        <f>E137*-6.5136</f>
        <v>0</v>
      </c>
      <c r="F140">
        <f>F137*-66.8864</f>
        <v>0</v>
      </c>
      <c r="G140">
        <f>G137*-9.4715</f>
        <v>0</v>
      </c>
      <c r="H140">
        <f>H137*0.0</f>
        <v>0</v>
      </c>
      <c r="I140">
        <f>I137*-0.0068</f>
        <v>0</v>
      </c>
      <c r="J140">
        <f>J137*303.1773</f>
        <v>0</v>
      </c>
      <c r="K140">
        <f>K137*-227.38299999999998</f>
        <v>0</v>
      </c>
      <c r="L140">
        <f>L137*4.5965</f>
        <v>0</v>
      </c>
      <c r="M140">
        <f>M137*-95.0042</f>
        <v>0</v>
      </c>
      <c r="N140">
        <f>E140+F140+G140+H140+I140+J140+K140+L140</f>
        <v>0</v>
      </c>
    </row>
    <row r="141" spans="3:14">
      <c r="C141">
        <f>2.0</f>
        <v>0</v>
      </c>
      <c r="D141">
        <f>2.0</f>
        <v>0</v>
      </c>
      <c r="E141">
        <f>E137*-14.3247</f>
        <v>0</v>
      </c>
      <c r="F141">
        <f>F137*-144.3014</f>
        <v>0</v>
      </c>
      <c r="G141">
        <f>G137*-20.6101</f>
        <v>0</v>
      </c>
      <c r="H141">
        <f>H137*0.0</f>
        <v>0</v>
      </c>
      <c r="I141">
        <f>I137*-0.0064</f>
        <v>0</v>
      </c>
      <c r="J141">
        <f>J137*220.2028</f>
        <v>0</v>
      </c>
      <c r="K141">
        <f>K137*-165.1521</f>
        <v>0</v>
      </c>
      <c r="L141">
        <f>L137*4.4355</f>
        <v>0</v>
      </c>
      <c r="M141">
        <f>M137*-201.6634</f>
        <v>0</v>
      </c>
      <c r="N141">
        <f>E141+F141+G141+H141+I141+J141+K141+L141</f>
        <v>0</v>
      </c>
    </row>
    <row r="142" spans="3:14">
      <c r="C142">
        <f>3.0</f>
        <v>0</v>
      </c>
      <c r="D142">
        <f>3.0</f>
        <v>0</v>
      </c>
      <c r="E142">
        <f>E137*-21.7079</f>
        <v>0</v>
      </c>
      <c r="F142">
        <f>F137*-212.007</f>
        <v>0</v>
      </c>
      <c r="G142">
        <f>G137*-30.2772</f>
        <v>0</v>
      </c>
      <c r="H142">
        <f>H137*0.0</f>
        <v>0</v>
      </c>
      <c r="I142">
        <f>I137*0.0051</f>
        <v>0</v>
      </c>
      <c r="J142">
        <f>J137*130.5242</f>
        <v>0</v>
      </c>
      <c r="K142">
        <f>K137*-97.8931</f>
        <v>0</v>
      </c>
      <c r="L142">
        <f>L137*4.6934</f>
        <v>0</v>
      </c>
      <c r="M142">
        <f>M137*-296.6136</f>
        <v>0</v>
      </c>
      <c r="N142">
        <f>E142+F142+G142+H142+I142+J142+K142+L142</f>
        <v>0</v>
      </c>
    </row>
    <row r="143" spans="3:14">
      <c r="C143">
        <f>4.0</f>
        <v>0</v>
      </c>
      <c r="D143">
        <f>4.0</f>
        <v>0</v>
      </c>
      <c r="E143">
        <f>E137*-28.9391</f>
        <v>0</v>
      </c>
      <c r="F143">
        <f>F137*-268.70799999999997</f>
        <v>0</v>
      </c>
      <c r="G143">
        <f>G137*-38.2671</f>
        <v>0</v>
      </c>
      <c r="H143">
        <f>H137*0.0</f>
        <v>0</v>
      </c>
      <c r="I143">
        <f>I137*0.0072</f>
        <v>0</v>
      </c>
      <c r="J143">
        <f>J137*63.102</f>
        <v>0</v>
      </c>
      <c r="K143">
        <f>K137*-47.3265</f>
        <v>0</v>
      </c>
      <c r="L143">
        <f>L137*6.2234</f>
        <v>0</v>
      </c>
      <c r="M143">
        <f>M137*-373.7327</f>
        <v>0</v>
      </c>
      <c r="N143">
        <f>E143+F143+G143+H143+I143+J143+K143+L143</f>
        <v>0</v>
      </c>
    </row>
    <row r="144" spans="3:14">
      <c r="C144">
        <f>5.0</f>
        <v>0</v>
      </c>
      <c r="D144">
        <f>5.0</f>
        <v>0</v>
      </c>
      <c r="E144">
        <f>E137*-42.0493</f>
        <v>0</v>
      </c>
      <c r="F144">
        <f>F137*-309.9764</f>
        <v>0</v>
      </c>
      <c r="G144">
        <f>G137*-43.6155</f>
        <v>0</v>
      </c>
      <c r="H144">
        <f>H137*0.0</f>
        <v>0</v>
      </c>
      <c r="I144">
        <f>I137*0.0057</f>
        <v>0</v>
      </c>
      <c r="J144">
        <f>J137*-143.0046</f>
        <v>0</v>
      </c>
      <c r="K144">
        <f>K137*107.2535</f>
        <v>0</v>
      </c>
      <c r="L144">
        <f>L137*7.8457</f>
        <v>0</v>
      </c>
      <c r="M144">
        <f>M137*-416.7529</f>
        <v>0</v>
      </c>
      <c r="N144">
        <f>E144+F144+G144+H144+I144+J144+K144+L144</f>
        <v>0</v>
      </c>
    </row>
    <row r="145" spans="3:14">
      <c r="C145">
        <f>6.0</f>
        <v>0</v>
      </c>
      <c r="D145">
        <f>6.0</f>
        <v>0</v>
      </c>
      <c r="E145">
        <f>E137*-34.175</f>
        <v>0</v>
      </c>
      <c r="F145">
        <f>F137*-354.9788</f>
        <v>0</v>
      </c>
      <c r="G145">
        <f>G137*-50.7759</f>
        <v>0</v>
      </c>
      <c r="H145">
        <f>H137*0.0</f>
        <v>0</v>
      </c>
      <c r="I145">
        <f>I137*0.0115</f>
        <v>0</v>
      </c>
      <c r="J145">
        <f>J137*62.3925</f>
        <v>0</v>
      </c>
      <c r="K145">
        <f>K137*-46.7943</f>
        <v>0</v>
      </c>
      <c r="L145">
        <f>L137*9.3953</f>
        <v>0</v>
      </c>
      <c r="M145">
        <f>M137*-498.1518</f>
        <v>0</v>
      </c>
      <c r="N145">
        <f>E145+F145+G145+H145+I145+J145+K145+L145</f>
        <v>0</v>
      </c>
    </row>
    <row r="146" spans="3:14">
      <c r="C146">
        <f>7.0</f>
        <v>0</v>
      </c>
      <c r="D146">
        <f>7.0</f>
        <v>0</v>
      </c>
      <c r="E146">
        <f>E137*-35.219</f>
        <v>0</v>
      </c>
      <c r="F146">
        <f>F137*-382.4258</f>
        <v>0</v>
      </c>
      <c r="G146">
        <f>G137*-54.8251</f>
        <v>0</v>
      </c>
      <c r="H146">
        <f>H137*0.0</f>
        <v>0</v>
      </c>
      <c r="I146">
        <f>I137*0.0107</f>
        <v>0</v>
      </c>
      <c r="J146">
        <f>J137*70.2525</f>
        <v>0</v>
      </c>
      <c r="K146">
        <f>K137*-52.6894</f>
        <v>0</v>
      </c>
      <c r="L146">
        <f>L137*10.6789</f>
        <v>0</v>
      </c>
      <c r="M146">
        <f>M137*-535.1644</f>
        <v>0</v>
      </c>
      <c r="N146">
        <f>E146+F146+G146+H146+I146+J146+K146+L146</f>
        <v>0</v>
      </c>
    </row>
    <row r="147" spans="3:14">
      <c r="C147">
        <f>8.0</f>
        <v>0</v>
      </c>
      <c r="D147">
        <f>8.0</f>
        <v>0</v>
      </c>
      <c r="E147">
        <f>E137*-37.7411</f>
        <v>0</v>
      </c>
      <c r="F147">
        <f>F137*-400.0039</f>
        <v>0</v>
      </c>
      <c r="G147">
        <f>G137*-57.2807</f>
        <v>0</v>
      </c>
      <c r="H147">
        <f>H137*0.0</f>
        <v>0</v>
      </c>
      <c r="I147">
        <f>I137*0.0117</f>
        <v>0</v>
      </c>
      <c r="J147">
        <f>J137*55.4252</f>
        <v>0</v>
      </c>
      <c r="K147">
        <f>K137*-41.5689</f>
        <v>0</v>
      </c>
      <c r="L147">
        <f>L137*11.8574</f>
        <v>0</v>
      </c>
      <c r="M147">
        <f>M137*-556.9581</f>
        <v>0</v>
      </c>
      <c r="N147">
        <f>E147+F147+G147+H147+I147+J147+K147+L147</f>
        <v>0</v>
      </c>
    </row>
    <row r="148" spans="3:14">
      <c r="C148">
        <f>9.0</f>
        <v>0</v>
      </c>
      <c r="D148">
        <f>9.0</f>
        <v>0</v>
      </c>
      <c r="E148">
        <f>E137*-41.0085</f>
        <v>0</v>
      </c>
      <c r="F148">
        <f>F137*-411.9285</f>
        <v>0</v>
      </c>
      <c r="G148">
        <f>G137*-59.0305</f>
        <v>0</v>
      </c>
      <c r="H148">
        <f>H137*0.0</f>
        <v>0</v>
      </c>
      <c r="I148">
        <f>I137*0.0123</f>
        <v>0</v>
      </c>
      <c r="J148">
        <f>J137*40.5578</f>
        <v>0</v>
      </c>
      <c r="K148">
        <f>K137*-30.4184</f>
        <v>0</v>
      </c>
      <c r="L148">
        <f>L137*12.9978</f>
        <v>0</v>
      </c>
      <c r="M148">
        <f>M137*-565.1466</f>
        <v>0</v>
      </c>
      <c r="N148">
        <f>E148+F148+G148+H148+I148+J148+K148+L148</f>
        <v>0</v>
      </c>
    </row>
    <row r="149" spans="3:14">
      <c r="C149">
        <f>10.0</f>
        <v>0</v>
      </c>
      <c r="D149">
        <f>10.0</f>
        <v>0</v>
      </c>
      <c r="E149">
        <f>E137*-53.225</f>
        <v>0</v>
      </c>
      <c r="F149">
        <f>F137*-407.2202</f>
        <v>0</v>
      </c>
      <c r="G149">
        <f>G137*-57.3336</f>
        <v>0</v>
      </c>
      <c r="H149">
        <f>H137*0.0</f>
        <v>0</v>
      </c>
      <c r="I149">
        <f>I137*0.0116</f>
        <v>0</v>
      </c>
      <c r="J149">
        <f>J137*-111.1588</f>
        <v>0</v>
      </c>
      <c r="K149">
        <f>K137*83.3691</f>
        <v>0</v>
      </c>
      <c r="L149">
        <f>L137*13.6645</f>
        <v>0</v>
      </c>
      <c r="M149">
        <f>M137*-537.7841</f>
        <v>0</v>
      </c>
      <c r="N149">
        <f>E149+F149+G149+H149+I149+J149+K149+L149</f>
        <v>0</v>
      </c>
    </row>
    <row r="150" spans="3:14">
      <c r="C150">
        <f>11.0</f>
        <v>0</v>
      </c>
      <c r="D150">
        <f>11.0</f>
        <v>0</v>
      </c>
      <c r="E150">
        <f>E137*-40.4086</f>
        <v>0</v>
      </c>
      <c r="F150">
        <f>F137*-408.9361</f>
        <v>0</v>
      </c>
      <c r="G150">
        <f>G137*-58.3909</f>
        <v>0</v>
      </c>
      <c r="H150">
        <f>H137*0.0</f>
        <v>0</v>
      </c>
      <c r="I150">
        <f>I137*0.0145</f>
        <v>0</v>
      </c>
      <c r="J150">
        <f>J137*42.3474</f>
        <v>0</v>
      </c>
      <c r="K150">
        <f>K137*-31.7605</f>
        <v>0</v>
      </c>
      <c r="L150">
        <f>L137*16.0255</f>
        <v>0</v>
      </c>
      <c r="M150">
        <f>M137*-564.1202</f>
        <v>0</v>
      </c>
      <c r="N150">
        <f>E150+F150+G150+H150+I150+J150+K150+L150</f>
        <v>0</v>
      </c>
    </row>
    <row r="151" spans="3:14">
      <c r="C151">
        <f>12.0</f>
        <v>0</v>
      </c>
      <c r="D151">
        <f>12.0</f>
        <v>0</v>
      </c>
      <c r="E151">
        <f>E137*-36.3389</f>
        <v>0</v>
      </c>
      <c r="F151">
        <f>F137*-395.9893</f>
        <v>0</v>
      </c>
      <c r="G151">
        <f>G137*-56.7464</f>
        <v>0</v>
      </c>
      <c r="H151">
        <f>H137*0.0</f>
        <v>0</v>
      </c>
      <c r="I151">
        <f>I137*0.0122</f>
        <v>0</v>
      </c>
      <c r="J151">
        <f>J137*56.5152</f>
        <v>0</v>
      </c>
      <c r="K151">
        <f>K137*-42.3864</f>
        <v>0</v>
      </c>
      <c r="L151">
        <f>L137*17.2823</f>
        <v>0</v>
      </c>
      <c r="M151">
        <f>M137*-542.6666</f>
        <v>0</v>
      </c>
      <c r="N151">
        <f>E151+F151+G151+H151+I151+J151+K151+L151</f>
        <v>0</v>
      </c>
    </row>
    <row r="152" spans="3:14">
      <c r="C152">
        <f>13.0</f>
        <v>0</v>
      </c>
      <c r="D152">
        <f>13.0</f>
        <v>0</v>
      </c>
      <c r="E152">
        <f>E137*-32.8939</f>
        <v>0</v>
      </c>
      <c r="F152">
        <f>F137*-373.3421</f>
        <v>0</v>
      </c>
      <c r="G152">
        <f>G137*-53.6026</f>
        <v>0</v>
      </c>
      <c r="H152">
        <f>H137*0.0</f>
        <v>0</v>
      </c>
      <c r="I152">
        <f>I137*0.0124</f>
        <v>0</v>
      </c>
      <c r="J152">
        <f>J137*55.7748</f>
        <v>0</v>
      </c>
      <c r="K152">
        <f>K137*-41.8311</f>
        <v>0</v>
      </c>
      <c r="L152">
        <f>L137*18.1313</f>
        <v>0</v>
      </c>
      <c r="M152">
        <f>M137*-514.9606</f>
        <v>0</v>
      </c>
      <c r="N152">
        <f>E152+F152+G152+H152+I152+J152+K152+L152</f>
        <v>0</v>
      </c>
    </row>
    <row r="153" spans="3:14">
      <c r="C153">
        <f>14.0</f>
        <v>0</v>
      </c>
      <c r="D153">
        <f>14.0</f>
        <v>0</v>
      </c>
      <c r="E153">
        <f>E137*-31.392</f>
        <v>0</v>
      </c>
      <c r="F153">
        <f>F137*-341.25800000000004</f>
        <v>0</v>
      </c>
      <c r="G153">
        <f>G137*-48.9175</f>
        <v>0</v>
      </c>
      <c r="H153">
        <f>H137*0.0</f>
        <v>0</v>
      </c>
      <c r="I153">
        <f>I137*0.012</f>
        <v>0</v>
      </c>
      <c r="J153">
        <f>J137*45.1591</f>
        <v>0</v>
      </c>
      <c r="K153">
        <f>K137*-33.8694</f>
        <v>0</v>
      </c>
      <c r="L153">
        <f>L137*18.9637</f>
        <v>0</v>
      </c>
      <c r="M153">
        <f>M137*-473.1904</f>
        <v>0</v>
      </c>
      <c r="N153">
        <f>E153+F153+G153+H153+I153+J153+K153+L153</f>
        <v>0</v>
      </c>
    </row>
    <row r="154" spans="3:14">
      <c r="C154">
        <f>15.0</f>
        <v>0</v>
      </c>
      <c r="D154">
        <f>15.0</f>
        <v>0</v>
      </c>
      <c r="E154">
        <f>E137*-40.9921</f>
        <v>0</v>
      </c>
      <c r="F154">
        <f>F137*-301.6129</f>
        <v>0</v>
      </c>
      <c r="G154">
        <f>G137*-42.3237</f>
        <v>0</v>
      </c>
      <c r="H154">
        <f>H137*0.0</f>
        <v>0</v>
      </c>
      <c r="I154">
        <f>I137*0.0101</f>
        <v>0</v>
      </c>
      <c r="J154">
        <f>J137*-121.3126</f>
        <v>0</v>
      </c>
      <c r="K154">
        <f>K137*90.9844</f>
        <v>0</v>
      </c>
      <c r="L154">
        <f>L137*16.9769</f>
        <v>0</v>
      </c>
      <c r="M154">
        <f>M137*-390.5935</f>
        <v>0</v>
      </c>
      <c r="N154">
        <f>E154+F154+G154+H154+I154+J154+K154+L154</f>
        <v>0</v>
      </c>
    </row>
    <row r="155" spans="3:14">
      <c r="C155">
        <f>15.91</f>
        <v>0</v>
      </c>
      <c r="D155">
        <f>15.91</f>
        <v>0</v>
      </c>
      <c r="E155">
        <f>E137*-25.2799</f>
        <v>0</v>
      </c>
      <c r="F155">
        <f>F137*-250.632</f>
        <v>0</v>
      </c>
      <c r="G155">
        <f>G137*-35.8077</f>
        <v>0</v>
      </c>
      <c r="H155">
        <f>H137*0.0</f>
        <v>0</v>
      </c>
      <c r="I155">
        <f>I137*0.0141</f>
        <v>0</v>
      </c>
      <c r="J155">
        <f>J137*52.1748</f>
        <v>0</v>
      </c>
      <c r="K155">
        <f>K137*-39.1311</f>
        <v>0</v>
      </c>
      <c r="L155">
        <f>L137*21.6404</f>
        <v>0</v>
      </c>
      <c r="M155">
        <f>M137*-345.1629</f>
        <v>0</v>
      </c>
      <c r="N155">
        <f>E155+F155+G155+H155+I155+J155+K155+L155</f>
        <v>0</v>
      </c>
    </row>
    <row r="156" spans="3:14">
      <c r="C156">
        <f>16.82</f>
        <v>0</v>
      </c>
      <c r="D156">
        <f>16.82</f>
        <v>0</v>
      </c>
      <c r="E156">
        <f>E137*-17.0034</f>
        <v>0</v>
      </c>
      <c r="F156">
        <f>F137*-192.5138</f>
        <v>0</v>
      </c>
      <c r="G156">
        <f>G137*-27.7408</f>
        <v>0</v>
      </c>
      <c r="H156">
        <f>H137*0.0</f>
        <v>0</v>
      </c>
      <c r="I156">
        <f>I137*0.015</f>
        <v>0</v>
      </c>
      <c r="J156">
        <f>J137*84.3794</f>
        <v>0</v>
      </c>
      <c r="K156">
        <f>K137*-63.2845</f>
        <v>0</v>
      </c>
      <c r="L156">
        <f>L137*23.3445</f>
        <v>0</v>
      </c>
      <c r="M156">
        <f>M137*-273.1758</f>
        <v>0</v>
      </c>
      <c r="N156">
        <f>E156+F156+G156+H156+I156+J156+K156+L156</f>
        <v>0</v>
      </c>
    </row>
    <row r="157" spans="3:14">
      <c r="C157">
        <f>17.73</f>
        <v>0</v>
      </c>
      <c r="D157">
        <f>17.73</f>
        <v>0</v>
      </c>
      <c r="E157">
        <f>E137*-9.3662</f>
        <v>0</v>
      </c>
      <c r="F157">
        <f>F137*-126.04</f>
        <v>0</v>
      </c>
      <c r="G157">
        <f>G137*-18.3769</f>
        <v>0</v>
      </c>
      <c r="H157">
        <f>H137*0.0</f>
        <v>0</v>
      </c>
      <c r="I157">
        <f>I137*0.0194</f>
        <v>0</v>
      </c>
      <c r="J157">
        <f>J137*124.3847</f>
        <v>0</v>
      </c>
      <c r="K157">
        <f>K137*-93.2886</f>
        <v>0</v>
      </c>
      <c r="L157">
        <f>L137*23.0997</f>
        <v>0</v>
      </c>
      <c r="M157">
        <f>M137*-187.3271</f>
        <v>0</v>
      </c>
      <c r="N157">
        <f>E157+F157+G157+H157+I157+J157+K157+L157</f>
        <v>0</v>
      </c>
    </row>
    <row r="158" spans="3:14">
      <c r="C158">
        <f>18.64</f>
        <v>0</v>
      </c>
      <c r="D158">
        <f>18.64</f>
        <v>0</v>
      </c>
      <c r="E158">
        <f>E137*-2.9038</f>
        <v>0</v>
      </c>
      <c r="F158">
        <f>F137*-59.8115</f>
        <v>0</v>
      </c>
      <c r="G158">
        <f>G137*-8.8069</f>
        <v>0</v>
      </c>
      <c r="H158">
        <f>H137*0.0</f>
        <v>0</v>
      </c>
      <c r="I158">
        <f>I137*0.0184</f>
        <v>0</v>
      </c>
      <c r="J158">
        <f>J137*141.1316</f>
        <v>0</v>
      </c>
      <c r="K158">
        <f>K137*-105.8487</f>
        <v>0</v>
      </c>
      <c r="L158">
        <f>L137*21.7802</f>
        <v>0</v>
      </c>
      <c r="M158">
        <f>M137*-94.3409</f>
        <v>0</v>
      </c>
      <c r="N158">
        <f>E158+F158+G158+H158+I158+J158+K158+L158</f>
        <v>0</v>
      </c>
    </row>
    <row r="159" spans="3:14">
      <c r="C159">
        <f>19.55</f>
        <v>0</v>
      </c>
      <c r="D159">
        <f>19.55</f>
        <v>0</v>
      </c>
      <c r="E159">
        <f>E137*-5.2895</f>
        <v>0</v>
      </c>
      <c r="F159">
        <f>F137*-23.0247</f>
        <v>0</v>
      </c>
      <c r="G159">
        <f>G137*-2.9771</f>
        <v>0</v>
      </c>
      <c r="H159">
        <f>H137*0.0</f>
        <v>0</v>
      </c>
      <c r="I159">
        <f>I137*-0.0052</f>
        <v>0</v>
      </c>
      <c r="J159">
        <f>J137*-108.7281</f>
        <v>0</v>
      </c>
      <c r="K159">
        <f>K137*81.5461</f>
        <v>0</v>
      </c>
      <c r="L159">
        <f>L137*21.0855</f>
        <v>0</v>
      </c>
      <c r="M159">
        <f>M137*-40.6656</f>
        <v>0</v>
      </c>
      <c r="N159">
        <f>E159+F159+G159+H159+I159+J159+K159+L159</f>
        <v>0</v>
      </c>
    </row>
    <row r="160" spans="3:14">
      <c r="C160">
        <f>20.0</f>
        <v>0</v>
      </c>
      <c r="D160">
        <f>20.0</f>
        <v>0</v>
      </c>
      <c r="E160">
        <f>E137*-0.4799</f>
        <v>0</v>
      </c>
      <c r="F160">
        <f>F137*-3.8453</f>
        <v>0</v>
      </c>
      <c r="G160">
        <f>G137*-0.5073</f>
        <v>0</v>
      </c>
      <c r="H160">
        <f>H137*0.0</f>
        <v>0</v>
      </c>
      <c r="I160">
        <f>I137*0.0057</f>
        <v>0</v>
      </c>
      <c r="J160">
        <f>J137*-22.9796</f>
        <v>0</v>
      </c>
      <c r="K160">
        <f>K137*17.2347</f>
        <v>0</v>
      </c>
      <c r="L160">
        <f>L137*2.5684</f>
        <v>0</v>
      </c>
      <c r="M160">
        <f>M137*-5.1645</f>
        <v>0</v>
      </c>
      <c r="N160">
        <f>E160+F160+G160+H160+I160+J160+K160+L160</f>
        <v>0</v>
      </c>
    </row>
    <row r="161" spans="3:14">
      <c r="C161">
        <f>20.0</f>
        <v>0</v>
      </c>
      <c r="D161">
        <f>0.0</f>
        <v>0</v>
      </c>
      <c r="E161">
        <f>E137*-0.4559</f>
        <v>0</v>
      </c>
      <c r="F161">
        <f>F137*-4.5403</f>
        <v>0</v>
      </c>
      <c r="G161">
        <f>G137*-0.6084</f>
        <v>0</v>
      </c>
      <c r="H161">
        <f>H137*0.0</f>
        <v>0</v>
      </c>
      <c r="I161">
        <f>I137*-0.1569</f>
        <v>0</v>
      </c>
      <c r="J161">
        <f>J137*-23.6148</f>
        <v>0</v>
      </c>
      <c r="K161">
        <f>K137*17.7111</f>
        <v>0</v>
      </c>
      <c r="L161">
        <f>L137*4.1603</f>
        <v>0</v>
      </c>
      <c r="M161">
        <f>M137*-8.1196</f>
        <v>0</v>
      </c>
      <c r="N161">
        <f>E161+F161+G161+H161+I161+J161+K161+L161</f>
        <v>0</v>
      </c>
    </row>
    <row r="162" spans="3:14">
      <c r="C162">
        <f>20.45</f>
        <v>0</v>
      </c>
      <c r="D162">
        <f>0.45</f>
        <v>0</v>
      </c>
      <c r="E162">
        <f>E137*-5.1337</f>
        <v>0</v>
      </c>
      <c r="F162">
        <f>F137*-24.9821</f>
        <v>0</v>
      </c>
      <c r="G162">
        <f>G137*-3.2655</f>
        <v>0</v>
      </c>
      <c r="H162">
        <f>H137*0.0</f>
        <v>0</v>
      </c>
      <c r="I162">
        <f>I137*0.0822</f>
        <v>0</v>
      </c>
      <c r="J162">
        <f>J137*-111.4046</f>
        <v>0</v>
      </c>
      <c r="K162">
        <f>K137*83.5534</f>
        <v>0</v>
      </c>
      <c r="L162">
        <f>L137*12.4504</f>
        <v>0</v>
      </c>
      <c r="M162">
        <f>M137*-36.0184</f>
        <v>0</v>
      </c>
      <c r="N162">
        <f>E162+F162+G162+H162+I162+J162+K162+L162</f>
        <v>0</v>
      </c>
    </row>
    <row r="163" spans="3:14">
      <c r="C163">
        <f>21.36</f>
        <v>0</v>
      </c>
      <c r="D163">
        <f>1.36</f>
        <v>0</v>
      </c>
      <c r="E163">
        <f>E137*-2.7628</f>
        <v>0</v>
      </c>
      <c r="F163">
        <f>F137*-59.8308</f>
        <v>0</v>
      </c>
      <c r="G163">
        <f>G137*-8.8049</f>
        <v>0</v>
      </c>
      <c r="H163">
        <f>H137*0.0</f>
        <v>0</v>
      </c>
      <c r="I163">
        <f>I137*-0.5851</f>
        <v>0</v>
      </c>
      <c r="J163">
        <f>J137*141.3151</f>
        <v>0</v>
      </c>
      <c r="K163">
        <f>K137*-105.9863</f>
        <v>0</v>
      </c>
      <c r="L163">
        <f>L137*15.2464</f>
        <v>0</v>
      </c>
      <c r="M163">
        <f>M137*-93.1958</f>
        <v>0</v>
      </c>
      <c r="N163">
        <f>E163+F163+G163+H163+I163+J163+K163+L163</f>
        <v>0</v>
      </c>
    </row>
    <row r="164" spans="3:14">
      <c r="C164">
        <f>22.27</f>
        <v>0</v>
      </c>
      <c r="D164">
        <f>2.27</f>
        <v>0</v>
      </c>
      <c r="E164">
        <f>E137*-9.0922</f>
        <v>0</v>
      </c>
      <c r="F164">
        <f>F137*-120.4759</f>
        <v>0</v>
      </c>
      <c r="G164">
        <f>G137*-17.572</f>
        <v>0</v>
      </c>
      <c r="H164">
        <f>H137*0.0</f>
        <v>0</v>
      </c>
      <c r="I164">
        <f>I137*-0.6724</f>
        <v>0</v>
      </c>
      <c r="J164">
        <f>J137*126.5665</f>
        <v>0</v>
      </c>
      <c r="K164">
        <f>K137*-94.9249</f>
        <v>0</v>
      </c>
      <c r="L164">
        <f>L137*12.1924</f>
        <v>0</v>
      </c>
      <c r="M164">
        <f>M137*-183.1764</f>
        <v>0</v>
      </c>
      <c r="N164">
        <f>E164+F164+G164+H164+I164+J164+K164+L164</f>
        <v>0</v>
      </c>
    </row>
    <row r="165" spans="3:14">
      <c r="C165">
        <f>23.18</f>
        <v>0</v>
      </c>
      <c r="D165">
        <f>3.18</f>
        <v>0</v>
      </c>
      <c r="E165">
        <f>E137*-16.5532</f>
        <v>0</v>
      </c>
      <c r="F165">
        <f>F137*-184.9175</f>
        <v>0</v>
      </c>
      <c r="G165">
        <f>G137*-26.6437</f>
        <v>0</v>
      </c>
      <c r="H165">
        <f>H137*0.0</f>
        <v>0</v>
      </c>
      <c r="I165">
        <f>I137*-0.6579</f>
        <v>0</v>
      </c>
      <c r="J165">
        <f>J137*86.1014</f>
        <v>0</v>
      </c>
      <c r="K165">
        <f>K137*-64.5761</f>
        <v>0</v>
      </c>
      <c r="L165">
        <f>L137*7.254</f>
        <v>0</v>
      </c>
      <c r="M165">
        <f>M137*-267.4821</f>
        <v>0</v>
      </c>
      <c r="N165">
        <f>E165+F165+G165+H165+I165+J165+K165+L165</f>
        <v>0</v>
      </c>
    </row>
    <row r="166" spans="3:14">
      <c r="C166">
        <f>24.09</f>
        <v>0</v>
      </c>
      <c r="D166">
        <f>4.09</f>
        <v>0</v>
      </c>
      <c r="E166">
        <f>E137*-24.5962</f>
        <v>0</v>
      </c>
      <c r="F166">
        <f>F137*-241.3697</f>
        <v>0</v>
      </c>
      <c r="G166">
        <f>G137*-34.4747</f>
        <v>0</v>
      </c>
      <c r="H166">
        <f>H137*0.0</f>
        <v>0</v>
      </c>
      <c r="I166">
        <f>I137*-0.7034</f>
        <v>0</v>
      </c>
      <c r="J166">
        <f>J137*53.708</f>
        <v>0</v>
      </c>
      <c r="K166">
        <f>K137*-40.281</f>
        <v>0</v>
      </c>
      <c r="L166">
        <f>L137*5.3724</f>
        <v>0</v>
      </c>
      <c r="M166">
        <f>M137*-338.3157</f>
        <v>0</v>
      </c>
      <c r="N166">
        <f>E166+F166+G166+H166+I166+J166+K166+L166</f>
        <v>0</v>
      </c>
    </row>
    <row r="167" spans="3:14">
      <c r="C167">
        <f>25.0</f>
        <v>0</v>
      </c>
      <c r="D167">
        <f>5.0</f>
        <v>0</v>
      </c>
      <c r="E167">
        <f>E137*-39.9617</f>
        <v>0</v>
      </c>
      <c r="F167">
        <f>F137*-291.4006</f>
        <v>0</v>
      </c>
      <c r="G167">
        <f>G137*-40.8654</f>
        <v>0</v>
      </c>
      <c r="H167">
        <f>H137*0.0</f>
        <v>0</v>
      </c>
      <c r="I167">
        <f>I137*0.2811</f>
        <v>0</v>
      </c>
      <c r="J167">
        <f>J137*-122.0487</f>
        <v>0</v>
      </c>
      <c r="K167">
        <f>K137*91.5365</f>
        <v>0</v>
      </c>
      <c r="L167">
        <f>L137*6.4194</f>
        <v>0</v>
      </c>
      <c r="M167">
        <f>M137*-382.0564</f>
        <v>0</v>
      </c>
      <c r="N167">
        <f>E167+F167+G167+H167+I167+J167+K167+L167</f>
        <v>0</v>
      </c>
    </row>
    <row r="168" spans="3:14">
      <c r="C168">
        <f>26.0</f>
        <v>0</v>
      </c>
      <c r="D168">
        <f>6.0</f>
        <v>0</v>
      </c>
      <c r="E168">
        <f>E137*-30.4275</f>
        <v>0</v>
      </c>
      <c r="F168">
        <f>F137*-327.9011</f>
        <v>0</v>
      </c>
      <c r="G168">
        <f>G137*-46.9975</f>
        <v>0</v>
      </c>
      <c r="H168">
        <f>H137*0.0</f>
        <v>0</v>
      </c>
      <c r="I168">
        <f>I137*-0.6522</f>
        <v>0</v>
      </c>
      <c r="J168">
        <f>J137*46.9262</f>
        <v>0</v>
      </c>
      <c r="K168">
        <f>K137*-35.1947</f>
        <v>0</v>
      </c>
      <c r="L168">
        <f>L137*7.8912</f>
        <v>0</v>
      </c>
      <c r="M168">
        <f>M137*-462.4874</f>
        <v>0</v>
      </c>
      <c r="N168">
        <f>E168+F168+G168+H168+I168+J168+K168+L168</f>
        <v>0</v>
      </c>
    </row>
    <row r="169" spans="3:14">
      <c r="C169">
        <f>27.0</f>
        <v>0</v>
      </c>
      <c r="D169">
        <f>7.0</f>
        <v>0</v>
      </c>
      <c r="E169">
        <f>E137*-31.5967</f>
        <v>0</v>
      </c>
      <c r="F169">
        <f>F137*-358.149</f>
        <v>0</v>
      </c>
      <c r="G169">
        <f>G137*-51.4209</f>
        <v>0</v>
      </c>
      <c r="H169">
        <f>H137*0.0</f>
        <v>0</v>
      </c>
      <c r="I169">
        <f>I137*-0.7092</f>
        <v>0</v>
      </c>
      <c r="J169">
        <f>J137*57.2128</f>
        <v>0</v>
      </c>
      <c r="K169">
        <f>K137*-42.9096</f>
        <v>0</v>
      </c>
      <c r="L169">
        <f>L137*8.9866</f>
        <v>0</v>
      </c>
      <c r="M169">
        <f>M137*-501.3833</f>
        <v>0</v>
      </c>
      <c r="N169">
        <f>E169+F169+G169+H169+I169+J169+K169+L169</f>
        <v>0</v>
      </c>
    </row>
    <row r="170" spans="3:14">
      <c r="C170">
        <f>28.0</f>
        <v>0</v>
      </c>
      <c r="D170">
        <f>8.0</f>
        <v>0</v>
      </c>
      <c r="E170">
        <f>E137*-34.8211</f>
        <v>0</v>
      </c>
      <c r="F170">
        <f>F137*-378.958</f>
        <v>0</v>
      </c>
      <c r="G170">
        <f>G137*-54.3025</f>
        <v>0</v>
      </c>
      <c r="H170">
        <f>H137*0.0</f>
        <v>0</v>
      </c>
      <c r="I170">
        <f>I137*-0.7303</f>
        <v>0</v>
      </c>
      <c r="J170">
        <f>J137*55.5469</f>
        <v>0</v>
      </c>
      <c r="K170">
        <f>K137*-41.6601</f>
        <v>0</v>
      </c>
      <c r="L170">
        <f>L137*10.1185</f>
        <v>0</v>
      </c>
      <c r="M170">
        <f>M137*-525.5308</f>
        <v>0</v>
      </c>
      <c r="N170">
        <f>E170+F170+G170+H170+I170+J170+K170+L170</f>
        <v>0</v>
      </c>
    </row>
    <row r="171" spans="3:14">
      <c r="C171">
        <f>29.0</f>
        <v>0</v>
      </c>
      <c r="D171">
        <f>9.0</f>
        <v>0</v>
      </c>
      <c r="E171">
        <f>E137*-38.7175</f>
        <v>0</v>
      </c>
      <c r="F171">
        <f>F137*-389.9861</f>
        <v>0</v>
      </c>
      <c r="G171">
        <f>G137*-55.6997</f>
        <v>0</v>
      </c>
      <c r="H171">
        <f>H137*0.0</f>
        <v>0</v>
      </c>
      <c r="I171">
        <f>I137*-0.85</f>
        <v>0</v>
      </c>
      <c r="J171">
        <f>J137*40.1304</f>
        <v>0</v>
      </c>
      <c r="K171">
        <f>K137*-30.0978</f>
        <v>0</v>
      </c>
      <c r="L171">
        <f>L137*11.3754</f>
        <v>0</v>
      </c>
      <c r="M171">
        <f>M137*-540.1373</f>
        <v>0</v>
      </c>
      <c r="N171">
        <f>E171+F171+G171+H171+I171+J171+K171+L171</f>
        <v>0</v>
      </c>
    </row>
    <row r="172" spans="3:14">
      <c r="C172">
        <f>30.0</f>
        <v>0</v>
      </c>
      <c r="D172">
        <f>10.0</f>
        <v>0</v>
      </c>
      <c r="E172">
        <f>E137*-51.6209</f>
        <v>0</v>
      </c>
      <c r="F172">
        <f>F137*-386.3247</f>
        <v>0</v>
      </c>
      <c r="G172">
        <f>G137*-54.3097</f>
        <v>0</v>
      </c>
      <c r="H172">
        <f>H137*0.0</f>
        <v>0</v>
      </c>
      <c r="I172">
        <f>I137*-1.0842</f>
        <v>0</v>
      </c>
      <c r="J172">
        <f>J137*-106.5317</f>
        <v>0</v>
      </c>
      <c r="K172">
        <f>K137*79.8988</f>
        <v>0</v>
      </c>
      <c r="L172">
        <f>L137*12.6409</f>
        <v>0</v>
      </c>
      <c r="M172">
        <f>M137*-511.3027</f>
        <v>0</v>
      </c>
      <c r="N172">
        <f>E172+F172+G172+H172+I172+J172+K172+L172</f>
        <v>0</v>
      </c>
    </row>
    <row r="173" spans="3:14">
      <c r="C173">
        <f>31.0</f>
        <v>0</v>
      </c>
      <c r="D173">
        <f>11.0</f>
        <v>0</v>
      </c>
      <c r="E173">
        <f>E137*-38.5526</f>
        <v>0</v>
      </c>
      <c r="F173">
        <f>F137*-389.9934</f>
        <v>0</v>
      </c>
      <c r="G173">
        <f>G137*-55.7373</f>
        <v>0</v>
      </c>
      <c r="H173">
        <f>H137*0.0</f>
        <v>0</v>
      </c>
      <c r="I173">
        <f>I137*0.7748</f>
        <v>0</v>
      </c>
      <c r="J173">
        <f>J137*41.1728</f>
        <v>0</v>
      </c>
      <c r="K173">
        <f>K137*-30.8796</f>
        <v>0</v>
      </c>
      <c r="L173">
        <f>L137*14.1124</f>
        <v>0</v>
      </c>
      <c r="M173">
        <f>M137*-540.5165</f>
        <v>0</v>
      </c>
      <c r="N173">
        <f>E173+F173+G173+H173+I173+J173+K173+L173</f>
        <v>0</v>
      </c>
    </row>
    <row r="174" spans="3:14">
      <c r="C174">
        <f>32.0</f>
        <v>0</v>
      </c>
      <c r="D174">
        <f>12.0</f>
        <v>0</v>
      </c>
      <c r="E174">
        <f>E137*-34.6448</f>
        <v>0</v>
      </c>
      <c r="F174">
        <f>F137*-379.4098</f>
        <v>0</v>
      </c>
      <c r="G174">
        <f>G137*-54.3758</f>
        <v>0</v>
      </c>
      <c r="H174">
        <f>H137*0.0</f>
        <v>0</v>
      </c>
      <c r="I174">
        <f>I137*0.8118</f>
        <v>0</v>
      </c>
      <c r="J174">
        <f>J137*56.4837</f>
        <v>0</v>
      </c>
      <c r="K174">
        <f>K137*-42.3628</f>
        <v>0</v>
      </c>
      <c r="L174">
        <f>L137*15.4778</f>
        <v>0</v>
      </c>
      <c r="M174">
        <f>M137*-525.5411</f>
        <v>0</v>
      </c>
      <c r="N174">
        <f>E174+F174+G174+H174+I174+J174+K174+L174</f>
        <v>0</v>
      </c>
    </row>
    <row r="175" spans="3:14">
      <c r="C175">
        <f>33.0</f>
        <v>0</v>
      </c>
      <c r="D175">
        <f>13.0</f>
        <v>0</v>
      </c>
      <c r="E175">
        <f>E137*-31.4125</f>
        <v>0</v>
      </c>
      <c r="F175">
        <f>F137*-359.1978</f>
        <v>0</v>
      </c>
      <c r="G175">
        <f>G137*-51.5821</f>
        <v>0</v>
      </c>
      <c r="H175">
        <f>H137*0.0</f>
        <v>0</v>
      </c>
      <c r="I175">
        <f>I137*0.7524</f>
        <v>0</v>
      </c>
      <c r="J175">
        <f>J137*54.5505</f>
        <v>0</v>
      </c>
      <c r="K175">
        <f>K137*-40.9129</f>
        <v>0</v>
      </c>
      <c r="L175">
        <f>L137*17.0706</f>
        <v>0</v>
      </c>
      <c r="M175">
        <f>M137*-501.7297</f>
        <v>0</v>
      </c>
      <c r="N175">
        <f>E175+F175+G175+H175+I175+J175+K175+L175</f>
        <v>0</v>
      </c>
    </row>
    <row r="176" spans="3:14">
      <c r="C176">
        <f>34.0</f>
        <v>0</v>
      </c>
      <c r="D176">
        <f>14.0</f>
        <v>0</v>
      </c>
      <c r="E176">
        <f>E137*-30.5726</f>
        <v>0</v>
      </c>
      <c r="F176">
        <f>F137*-329.338</f>
        <v>0</v>
      </c>
      <c r="G176">
        <f>G137*-47.2158</f>
        <v>0</v>
      </c>
      <c r="H176">
        <f>H137*0.0</f>
        <v>0</v>
      </c>
      <c r="I176">
        <f>I137*0.7015</f>
        <v>0</v>
      </c>
      <c r="J176">
        <f>J137*43.8804</f>
        <v>0</v>
      </c>
      <c r="K176">
        <f>K137*-32.9103</f>
        <v>0</v>
      </c>
      <c r="L176">
        <f>L137*18.7084</f>
        <v>0</v>
      </c>
      <c r="M176">
        <f>M137*-463.0034</f>
        <v>0</v>
      </c>
      <c r="N176">
        <f>E176+F176+G176+H176+I176+J176+K176+L176</f>
        <v>0</v>
      </c>
    </row>
    <row r="177" spans="3:14">
      <c r="C177">
        <f>35.0</f>
        <v>0</v>
      </c>
      <c r="D177">
        <f>15.0</f>
        <v>0</v>
      </c>
      <c r="E177">
        <f>E137*-39.7074</f>
        <v>0</v>
      </c>
      <c r="F177">
        <f>F137*-288.785</f>
        <v>0</v>
      </c>
      <c r="G177">
        <f>G137*-40.492</f>
        <v>0</v>
      </c>
      <c r="H177">
        <f>H137*0.0</f>
        <v>0</v>
      </c>
      <c r="I177">
        <f>I137*-2.5555</f>
        <v>0</v>
      </c>
      <c r="J177">
        <f>J137*-122.0193</f>
        <v>0</v>
      </c>
      <c r="K177">
        <f>K137*91.5145</f>
        <v>0</v>
      </c>
      <c r="L177">
        <f>L137*17.022000000000002</f>
        <v>0</v>
      </c>
      <c r="M177">
        <f>M137*-380.4241</f>
        <v>0</v>
      </c>
      <c r="N177">
        <f>E177+F177+G177+H177+I177+J177+K177+L177</f>
        <v>0</v>
      </c>
    </row>
    <row r="178" spans="3:14">
      <c r="C178">
        <f>35.91</f>
        <v>0</v>
      </c>
      <c r="D178">
        <f>15.91</f>
        <v>0</v>
      </c>
      <c r="E178">
        <f>E137*-24.4587</f>
        <v>0</v>
      </c>
      <c r="F178">
        <f>F137*-242.9234</f>
        <v>0</v>
      </c>
      <c r="G178">
        <f>G137*-34.7079</f>
        <v>0</v>
      </c>
      <c r="H178">
        <f>H137*0.0</f>
        <v>0</v>
      </c>
      <c r="I178">
        <f>I137*1.2341</f>
        <v>0</v>
      </c>
      <c r="J178">
        <f>J137*54.4896</f>
        <v>0</v>
      </c>
      <c r="K178">
        <f>K137*-40.8672</f>
        <v>0</v>
      </c>
      <c r="L178">
        <f>L137*19.9808</f>
        <v>0</v>
      </c>
      <c r="M178">
        <f>M137*-339.1401</f>
        <v>0</v>
      </c>
      <c r="N178">
        <f>E178+F178+G178+H178+I178+J178+K178+L178</f>
        <v>0</v>
      </c>
    </row>
    <row r="179" spans="3:14">
      <c r="C179">
        <f>36.82</f>
        <v>0</v>
      </c>
      <c r="D179">
        <f>16.82</f>
        <v>0</v>
      </c>
      <c r="E179">
        <f>E137*-16.5236</f>
        <v>0</v>
      </c>
      <c r="F179">
        <f>F137*-188.2736</f>
        <v>0</v>
      </c>
      <c r="G179">
        <f>G137*-27.1368</f>
        <v>0</v>
      </c>
      <c r="H179">
        <f>H137*0.0</f>
        <v>0</v>
      </c>
      <c r="I179">
        <f>I137*0.439</f>
        <v>0</v>
      </c>
      <c r="J179">
        <f>J137*86.6965</f>
        <v>0</v>
      </c>
      <c r="K179">
        <f>K137*-65.0224</f>
        <v>0</v>
      </c>
      <c r="L179">
        <f>L137*21.1382</f>
        <v>0</v>
      </c>
      <c r="M179">
        <f>M137*-269.0127</f>
        <v>0</v>
      </c>
      <c r="N179">
        <f>E179+F179+G179+H179+I179+J179+K179+L179</f>
        <v>0</v>
      </c>
    </row>
    <row r="180" spans="3:14">
      <c r="C180">
        <f>37.73</f>
        <v>0</v>
      </c>
      <c r="D180">
        <f>17.73</f>
        <v>0</v>
      </c>
      <c r="E180">
        <f>E137*-9.2504</f>
        <v>0</v>
      </c>
      <c r="F180">
        <f>F137*-125.4453</f>
        <v>0</v>
      </c>
      <c r="G180">
        <f>G137*-18.294</f>
        <v>0</v>
      </c>
      <c r="H180">
        <f>H137*0.0</f>
        <v>0</v>
      </c>
      <c r="I180">
        <f>I137*-1.6475</f>
        <v>0</v>
      </c>
      <c r="J180">
        <f>J137*123.5583</f>
        <v>0</v>
      </c>
      <c r="K180">
        <f>K137*-92.6687</f>
        <v>0</v>
      </c>
      <c r="L180">
        <f>L137*20.4461</f>
        <v>0</v>
      </c>
      <c r="M180">
        <f>M137*-184.9435</f>
        <v>0</v>
      </c>
      <c r="N180">
        <f>E180+F180+G180+H180+I180+J180+K180+L180</f>
        <v>0</v>
      </c>
    </row>
    <row r="181" spans="3:14">
      <c r="C181">
        <f>38.64</f>
        <v>0</v>
      </c>
      <c r="D181">
        <f>18.64</f>
        <v>0</v>
      </c>
      <c r="E181">
        <f>E137*-3.0915</f>
        <v>0</v>
      </c>
      <c r="F181">
        <f>F137*-60.0637</f>
        <v>0</v>
      </c>
      <c r="G181">
        <f>G137*-8.8289</f>
        <v>0</v>
      </c>
      <c r="H181">
        <f>H137*0.0</f>
        <v>0</v>
      </c>
      <c r="I181">
        <f>I137*-2.8221</f>
        <v>0</v>
      </c>
      <c r="J181">
        <f>J137*140.1687</f>
        <v>0</v>
      </c>
      <c r="K181">
        <f>K137*-105.1266</f>
        <v>0</v>
      </c>
      <c r="L181">
        <f>L137*18.4223</f>
        <v>0</v>
      </c>
      <c r="M181">
        <f>M137*-94.0954</f>
        <v>0</v>
      </c>
      <c r="N181">
        <f>E181+F181+G181+H181+I181+J181+K181+L181</f>
        <v>0</v>
      </c>
    </row>
    <row r="182" spans="3:14">
      <c r="C182">
        <f>39.55</f>
        <v>0</v>
      </c>
      <c r="D182">
        <f>19.55</f>
        <v>0</v>
      </c>
      <c r="E182">
        <f>E137*-4.96</f>
        <v>0</v>
      </c>
      <c r="F182">
        <f>F137*-19.0052</f>
        <v>0</v>
      </c>
      <c r="G182">
        <f>G137*-2.396</f>
        <v>0</v>
      </c>
      <c r="H182">
        <f>H137*0.0</f>
        <v>0</v>
      </c>
      <c r="I182">
        <f>I137*-5.0042</f>
        <v>0</v>
      </c>
      <c r="J182">
        <f>J137*-107.5718</f>
        <v>0</v>
      </c>
      <c r="K182">
        <f>K137*80.6789</f>
        <v>0</v>
      </c>
      <c r="L182">
        <f>L137*15.0055</f>
        <v>0</v>
      </c>
      <c r="M182">
        <f>M137*-34.0272</f>
        <v>0</v>
      </c>
      <c r="N182">
        <f>E182+F182+G182+H182+I182+J182+K182+L182</f>
        <v>0</v>
      </c>
    </row>
    <row r="183" spans="3:14">
      <c r="C183">
        <f>40.0</f>
        <v>0</v>
      </c>
      <c r="D183">
        <f>20.0</f>
        <v>0</v>
      </c>
      <c r="E183">
        <f>E137*-0.4112</f>
        <v>0</v>
      </c>
      <c r="F183">
        <f>F137*-2.9203</f>
        <v>0</v>
      </c>
      <c r="G183">
        <f>G137*-0.3725</f>
        <v>0</v>
      </c>
      <c r="H183">
        <f>H137*0.0</f>
        <v>0</v>
      </c>
      <c r="I183">
        <f>I137*-1.9872</f>
        <v>0</v>
      </c>
      <c r="J183">
        <f>J137*-22.5408</f>
        <v>0</v>
      </c>
      <c r="K183">
        <f>K137*16.9056</f>
        <v>0</v>
      </c>
      <c r="L183">
        <f>L137*3.9306</f>
        <v>0</v>
      </c>
      <c r="M183">
        <f>M137*-6.8576</f>
        <v>0</v>
      </c>
      <c r="N183">
        <f>E183+F183+G183+H183+I183+J183+K183+L183</f>
        <v>0</v>
      </c>
    </row>
    <row r="184" spans="3:14">
      <c r="C184">
        <f>40.0</f>
        <v>0</v>
      </c>
      <c r="D184">
        <f>0.0</f>
        <v>0</v>
      </c>
      <c r="E184">
        <f>E137*-0.4168</f>
        <v>0</v>
      </c>
      <c r="F184">
        <f>F137*-3.7426</f>
        <v>0</v>
      </c>
      <c r="G184">
        <f>G137*-0.4945</f>
        <v>0</v>
      </c>
      <c r="H184">
        <f>H137*0.0</f>
        <v>0</v>
      </c>
      <c r="I184">
        <f>I137*-1.6476</f>
        <v>0</v>
      </c>
      <c r="J184">
        <f>J137*-23.8543</f>
        <v>0</v>
      </c>
      <c r="K184">
        <f>K137*17.8907</f>
        <v>0</v>
      </c>
      <c r="L184">
        <f>L137*1.6721</f>
        <v>0</v>
      </c>
      <c r="M184">
        <f>M137*-5.0787</f>
        <v>0</v>
      </c>
      <c r="N184">
        <f>E184+F184+G184+H184+I184+J184+K184+L184</f>
        <v>0</v>
      </c>
    </row>
    <row r="185" spans="3:14">
      <c r="C185">
        <f>40.45</f>
        <v>0</v>
      </c>
      <c r="D185">
        <f>0.45</f>
        <v>0</v>
      </c>
      <c r="E185">
        <f>E137*-3.8516</f>
        <v>0</v>
      </c>
      <c r="F185">
        <f>F137*-16.3782</f>
        <v>0</v>
      </c>
      <c r="G185">
        <f>G137*-2.0755</f>
        <v>0</v>
      </c>
      <c r="H185">
        <f>H137*0.0</f>
        <v>0</v>
      </c>
      <c r="I185">
        <f>I137*-2.4783</f>
        <v>0</v>
      </c>
      <c r="J185">
        <f>J137*-121.527</f>
        <v>0</v>
      </c>
      <c r="K185">
        <f>K137*91.1453</f>
        <v>0</v>
      </c>
      <c r="L185">
        <f>L137*5.0096</f>
        <v>0</v>
      </c>
      <c r="M185">
        <f>M137*-21.5628</f>
        <v>0</v>
      </c>
      <c r="N185">
        <f>E185+F185+G185+H185+I185+J185+K185+L185</f>
        <v>0</v>
      </c>
    </row>
    <row r="186" spans="3:14">
      <c r="C186">
        <f>41.36</f>
        <v>0</v>
      </c>
      <c r="D186">
        <f>1.36</f>
        <v>0</v>
      </c>
      <c r="E186">
        <f>E137*0.8541</f>
        <v>0</v>
      </c>
      <c r="F186">
        <f>F137*-26.2006</f>
        <v>0</v>
      </c>
      <c r="G186">
        <f>G137*-4.0508</f>
        <v>0</v>
      </c>
      <c r="H186">
        <f>H137*0.0</f>
        <v>0</v>
      </c>
      <c r="I186">
        <f>I137*3.0707</f>
        <v>0</v>
      </c>
      <c r="J186">
        <f>J137*145.4135</f>
        <v>0</v>
      </c>
      <c r="K186">
        <f>K137*-109.0601</f>
        <v>0</v>
      </c>
      <c r="L186">
        <f>L137*15.3236</f>
        <v>0</v>
      </c>
      <c r="M186">
        <f>M137*-61.1468</f>
        <v>0</v>
      </c>
      <c r="N186">
        <f>E186+F186+G186+H186+I186+J186+K186+L186</f>
        <v>0</v>
      </c>
    </row>
    <row r="187" spans="3:14">
      <c r="C187">
        <f>42.27</f>
        <v>0</v>
      </c>
      <c r="D187">
        <f>2.27</f>
        <v>0</v>
      </c>
      <c r="E187">
        <f>E137*-1.8242</f>
        <v>0</v>
      </c>
      <c r="F187">
        <f>F137*-47.5636</f>
        <v>0</v>
      </c>
      <c r="G187">
        <f>G137*-7.2331</f>
        <v>0</v>
      </c>
      <c r="H187">
        <f>H137*0.0</f>
        <v>0</v>
      </c>
      <c r="I187">
        <f>I137*8.0322</f>
        <v>0</v>
      </c>
      <c r="J187">
        <f>J137*132.3022</f>
        <v>0</v>
      </c>
      <c r="K187">
        <f>K137*-99.2267</f>
        <v>0</v>
      </c>
      <c r="L187">
        <f>L137*12.1907</f>
        <v>0</v>
      </c>
      <c r="M187">
        <f>M137*-107.6358</f>
        <v>0</v>
      </c>
      <c r="N187">
        <f>E187+F187+G187+H187+I187+J187+K187+L187</f>
        <v>0</v>
      </c>
    </row>
    <row r="188" spans="3:14">
      <c r="C188">
        <f>43.18</f>
        <v>0</v>
      </c>
      <c r="D188">
        <f>3.18</f>
        <v>0</v>
      </c>
      <c r="E188">
        <f>E137*-5.122000000000001</f>
        <v>0</v>
      </c>
      <c r="F188">
        <f>F137*-66.7761</f>
        <v>0</v>
      </c>
      <c r="G188">
        <f>G137*-9.9915</f>
        <v>0</v>
      </c>
      <c r="H188">
        <f>H137*0.0</f>
        <v>0</v>
      </c>
      <c r="I188">
        <f>I137*13.8871</f>
        <v>0</v>
      </c>
      <c r="J188">
        <f>J137*91.6548</f>
        <v>0</v>
      </c>
      <c r="K188">
        <f>K137*-68.7411</f>
        <v>0</v>
      </c>
      <c r="L188">
        <f>L137*8.4413</f>
        <v>0</v>
      </c>
      <c r="M188">
        <f>M137*-146.0671</f>
        <v>0</v>
      </c>
      <c r="N188">
        <f>E188+F188+G188+H188+I188+J188+K188+L188</f>
        <v>0</v>
      </c>
    </row>
    <row r="189" spans="3:14">
      <c r="C189">
        <f>44.09</f>
        <v>0</v>
      </c>
      <c r="D189">
        <f>4.09</f>
        <v>0</v>
      </c>
      <c r="E189">
        <f>E137*-8.7253</f>
        <v>0</v>
      </c>
      <c r="F189">
        <f>F137*-81.3559</f>
        <v>0</v>
      </c>
      <c r="G189">
        <f>G137*-11.7844</f>
        <v>0</v>
      </c>
      <c r="H189">
        <f>H137*0.0</f>
        <v>0</v>
      </c>
      <c r="I189">
        <f>I137*14.1578</f>
        <v>0</v>
      </c>
      <c r="J189">
        <f>J137*49.5231</f>
        <v>0</v>
      </c>
      <c r="K189">
        <f>K137*-37.1423</f>
        <v>0</v>
      </c>
      <c r="L189">
        <f>L137*5.8783</f>
        <v>0</v>
      </c>
      <c r="M189">
        <f>M137*-169.2691</f>
        <v>0</v>
      </c>
      <c r="N189">
        <f>E189+F189+G189+H189+I189+J189+K189+L189</f>
        <v>0</v>
      </c>
    </row>
    <row r="190" spans="3:14">
      <c r="C190">
        <f>45.0</f>
        <v>0</v>
      </c>
      <c r="D190">
        <f>5.0</f>
        <v>0</v>
      </c>
      <c r="E190">
        <f>E137*-17.9533</f>
        <v>0</v>
      </c>
      <c r="F190">
        <f>F137*-89.5966</f>
        <v>0</v>
      </c>
      <c r="G190">
        <f>G137*-12.2206</f>
        <v>0</v>
      </c>
      <c r="H190">
        <f>H137*0.0</f>
        <v>0</v>
      </c>
      <c r="I190">
        <f>I137*-23.4051</f>
        <v>0</v>
      </c>
      <c r="J190">
        <f>J137*-158.1745</f>
        <v>0</v>
      </c>
      <c r="K190">
        <f>K137*118.6309</f>
        <v>0</v>
      </c>
      <c r="L190">
        <f>L137*1.6279</f>
        <v>0</v>
      </c>
      <c r="M190">
        <f>M137*-157.315</f>
        <v>0</v>
      </c>
      <c r="N190">
        <f>E190+F190+G190+H190+I190+J190+K190+L190</f>
        <v>0</v>
      </c>
    </row>
    <row r="191" spans="3:14">
      <c r="C191">
        <f>46.0</f>
        <v>0</v>
      </c>
      <c r="D191">
        <f>6.0</f>
        <v>0</v>
      </c>
      <c r="E191">
        <f>E137*-8.381</f>
        <v>0</v>
      </c>
      <c r="F191">
        <f>F137*-85.6835</f>
        <v>0</v>
      </c>
      <c r="G191">
        <f>G137*-12.4484</f>
        <v>0</v>
      </c>
      <c r="H191">
        <f>H137*0.0</f>
        <v>0</v>
      </c>
      <c r="I191">
        <f>I137*13.0313</f>
        <v>0</v>
      </c>
      <c r="J191">
        <f>J137*77.5746</f>
        <v>0</v>
      </c>
      <c r="K191">
        <f>K137*-58.181000000000004</f>
        <v>0</v>
      </c>
      <c r="L191">
        <f>L137*4.9446</f>
        <v>0</v>
      </c>
      <c r="M191">
        <f>M137*-175.3062</f>
        <v>0</v>
      </c>
      <c r="N191">
        <f>E191+F191+G191+H191+I191+J191+K191+L191</f>
        <v>0</v>
      </c>
    </row>
    <row r="192" spans="3:14">
      <c r="C192">
        <f>47.0</f>
        <v>0</v>
      </c>
      <c r="D192">
        <f>7.0</f>
        <v>0</v>
      </c>
      <c r="E192">
        <f>E137*-5.8636</f>
        <v>0</v>
      </c>
      <c r="F192">
        <f>F137*-74.6491</f>
        <v>0</v>
      </c>
      <c r="G192">
        <f>G137*-10.9823</f>
        <v>0</v>
      </c>
      <c r="H192">
        <f>H137*0.0</f>
        <v>0</v>
      </c>
      <c r="I192">
        <f>I137*12.7891</f>
        <v>0</v>
      </c>
      <c r="J192">
        <f>J137*107.1524</f>
        <v>0</v>
      </c>
      <c r="K192">
        <f>K137*-80.3643</f>
        <v>0</v>
      </c>
      <c r="L192">
        <f>L137*5.2935</f>
        <v>0</v>
      </c>
      <c r="M192">
        <f>M137*-153.2867</f>
        <v>0</v>
      </c>
      <c r="N192">
        <f>E192+F192+G192+H192+I192+J192+K192+L192</f>
        <v>0</v>
      </c>
    </row>
    <row r="193" spans="3:14">
      <c r="C193">
        <f>48.0</f>
        <v>0</v>
      </c>
      <c r="D193">
        <f>8.0</f>
        <v>0</v>
      </c>
      <c r="E193">
        <f>E137*-3.6567</f>
        <v>0</v>
      </c>
      <c r="F193">
        <f>F137*-54.5396</f>
        <v>0</v>
      </c>
      <c r="G193">
        <f>G137*-8.0492</f>
        <v>0</v>
      </c>
      <c r="H193">
        <f>H137*0.0</f>
        <v>0</v>
      </c>
      <c r="I193">
        <f>I137*8.3867</f>
        <v>0</v>
      </c>
      <c r="J193">
        <f>J137*199.7077</f>
        <v>0</v>
      </c>
      <c r="K193">
        <f>K137*-149.7808</f>
        <v>0</v>
      </c>
      <c r="L193">
        <f>L137*5.2893</f>
        <v>0</v>
      </c>
      <c r="M193">
        <f>M137*-111.6531</f>
        <v>0</v>
      </c>
      <c r="N193">
        <f>E193+F193+G193+H193+I193+J193+K193+L193</f>
        <v>0</v>
      </c>
    </row>
    <row r="194" spans="3:14">
      <c r="C194">
        <f>49.0</f>
        <v>0</v>
      </c>
      <c r="D194">
        <f>9.0</f>
        <v>0</v>
      </c>
      <c r="E194">
        <f>E137*-2.0165</f>
        <v>0</v>
      </c>
      <c r="F194">
        <f>F137*-26.2296</f>
        <v>0</v>
      </c>
      <c r="G194">
        <f>G137*-3.8455</f>
        <v>0</v>
      </c>
      <c r="H194">
        <f>H137*0.0</f>
        <v>0</v>
      </c>
      <c r="I194">
        <f>I137*4.3534</f>
        <v>0</v>
      </c>
      <c r="J194">
        <f>J137*298.8822</f>
        <v>0</v>
      </c>
      <c r="K194">
        <f>K137*-224.1617</f>
        <v>0</v>
      </c>
      <c r="L194">
        <f>L137*4.7752</f>
        <v>0</v>
      </c>
      <c r="M194">
        <f>M137*-54.6627</f>
        <v>0</v>
      </c>
      <c r="N194">
        <f>E194+F194+G194+H194+I194+J194+K194+L194</f>
        <v>0</v>
      </c>
    </row>
    <row r="195" spans="3:14">
      <c r="C195">
        <f>50.0</f>
        <v>0</v>
      </c>
      <c r="D195">
        <f>10.0</f>
        <v>0</v>
      </c>
      <c r="E195">
        <f>E137*-2.2614</f>
        <v>0</v>
      </c>
      <c r="F195">
        <f>F137*1.3011</f>
        <v>0</v>
      </c>
      <c r="G195">
        <f>G137*0.3495</f>
        <v>0</v>
      </c>
      <c r="H195">
        <f>H137*0.0</f>
        <v>0</v>
      </c>
      <c r="I195">
        <f>I137*5.2344</f>
        <v>0</v>
      </c>
      <c r="J195">
        <f>J137*-116.5114</f>
        <v>0</v>
      </c>
      <c r="K195">
        <f>K137*87.3836</f>
        <v>0</v>
      </c>
      <c r="L195">
        <f>L137*15.1819</f>
        <v>0</v>
      </c>
      <c r="M195">
        <f>M137*-6.6819</f>
        <v>0</v>
      </c>
      <c r="N195">
        <f>E195+F195+G195+H195+I195+J195+K195+L195</f>
        <v>0</v>
      </c>
    </row>
    <row r="202" spans="3:14">
      <c r="C202" t="s">
        <v>0</v>
      </c>
      <c r="D202" t="s">
        <v>1</v>
      </c>
      <c r="E202" t="s">
        <v>2</v>
      </c>
      <c r="F202" t="s">
        <v>3</v>
      </c>
      <c r="G202" t="s">
        <v>4</v>
      </c>
      <c r="H202" t="s">
        <v>5</v>
      </c>
      <c r="I202" t="s">
        <v>6</v>
      </c>
      <c r="J202" t="s">
        <v>7</v>
      </c>
      <c r="K202" t="s">
        <v>8</v>
      </c>
      <c r="L202" t="s">
        <v>9</v>
      </c>
      <c r="M202" t="s">
        <v>10</v>
      </c>
      <c r="N202" t="s">
        <v>11</v>
      </c>
    </row>
    <row r="203" spans="3:14">
      <c r="C203">
        <f>0.0</f>
        <v>0</v>
      </c>
      <c r="D203">
        <f>0.0</f>
        <v>0</v>
      </c>
      <c r="E203">
        <f>E201*3.5269999999999997</f>
        <v>0</v>
      </c>
      <c r="F203">
        <f>F201*55.077</f>
        <v>0</v>
      </c>
      <c r="G203">
        <f>G201*7.792999999999999</f>
        <v>0</v>
      </c>
      <c r="H203">
        <f>H201*0.0</f>
        <v>0</v>
      </c>
      <c r="I203">
        <f>I201*-0.008272</f>
        <v>0</v>
      </c>
      <c r="J203">
        <f>J201*-634.798</f>
        <v>0</v>
      </c>
      <c r="K203">
        <f>K201*476.098</f>
        <v>0</v>
      </c>
      <c r="L203">
        <f>L201*87.428</f>
        <v>0</v>
      </c>
      <c r="M203">
        <f>M201*-14.382</f>
        <v>0</v>
      </c>
      <c r="N203">
        <f>E203+F203+G203+H203+I203+J203+K203+L203</f>
        <v>0</v>
      </c>
    </row>
    <row r="204" spans="3:14">
      <c r="C204">
        <f>1.0</f>
        <v>0</v>
      </c>
      <c r="D204">
        <f>1.0</f>
        <v>0</v>
      </c>
      <c r="E204">
        <f>E201*14.715</f>
        <v>0</v>
      </c>
      <c r="F204">
        <f>F201*95.815</f>
        <v>0</v>
      </c>
      <c r="G204">
        <f>G201*13.360999999999999</f>
        <v>0</v>
      </c>
      <c r="H204">
        <f>H201*0.0</f>
        <v>0</v>
      </c>
      <c r="I204">
        <f>I201*-0.015</f>
        <v>0</v>
      </c>
      <c r="J204">
        <f>J201*-440.57599999999996</f>
        <v>0</v>
      </c>
      <c r="K204">
        <f>K201*330.43199999999996</f>
        <v>0</v>
      </c>
      <c r="L204">
        <f>L201*141.378</f>
        <v>0</v>
      </c>
      <c r="M204">
        <f>M201*-12.455</f>
        <v>0</v>
      </c>
      <c r="N204">
        <f>E204+F204+G204+H204+I204+J204+K204+L204</f>
        <v>0</v>
      </c>
    </row>
    <row r="205" spans="3:14">
      <c r="C205">
        <f>2.0</f>
        <v>0</v>
      </c>
      <c r="D205">
        <f>2.0</f>
        <v>0</v>
      </c>
      <c r="E205">
        <f>E201*18.658</f>
        <v>0</v>
      </c>
      <c r="F205">
        <f>F201*96.575</f>
        <v>0</v>
      </c>
      <c r="G205">
        <f>G201*13.356</f>
        <v>0</v>
      </c>
      <c r="H205">
        <f>H201*0.0</f>
        <v>0</v>
      </c>
      <c r="I205">
        <f>I201*-0.018000000000000002</f>
        <v>0</v>
      </c>
      <c r="J205">
        <f>J201*-178.135</f>
        <v>0</v>
      </c>
      <c r="K205">
        <f>K201*133.601</f>
        <v>0</v>
      </c>
      <c r="L205">
        <f>L201*148.52100000000002</f>
        <v>0</v>
      </c>
      <c r="M205">
        <f>M201*-24.7</f>
        <v>0</v>
      </c>
      <c r="N205">
        <f>E205+F205+G205+H205+I205+J205+K205+L205</f>
        <v>0</v>
      </c>
    </row>
    <row r="206" spans="3:14">
      <c r="C206">
        <f>3.0</f>
        <v>0</v>
      </c>
      <c r="D206">
        <f>3.0</f>
        <v>0</v>
      </c>
      <c r="E206">
        <f>E201*21.25</f>
        <v>0</v>
      </c>
      <c r="F206">
        <f>F201*91.152</f>
        <v>0</v>
      </c>
      <c r="G206">
        <f>G201*12.331</f>
        <v>0</v>
      </c>
      <c r="H206">
        <f>H201*0.0</f>
        <v>0</v>
      </c>
      <c r="I206">
        <f>I201*-0.018000000000000002</f>
        <v>0</v>
      </c>
      <c r="J206">
        <f>J201*-33.778</f>
        <v>0</v>
      </c>
      <c r="K206">
        <f>K201*25.334</f>
        <v>0</v>
      </c>
      <c r="L206">
        <f>L201*146.806</f>
        <v>0</v>
      </c>
      <c r="M206">
        <f>M201*-32.158</f>
        <v>0</v>
      </c>
      <c r="N206">
        <f>E206+F206+G206+H206+I206+J206+K206+L206</f>
        <v>0</v>
      </c>
    </row>
    <row r="207" spans="3:14">
      <c r="C207">
        <f>4.0</f>
        <v>0</v>
      </c>
      <c r="D207">
        <f>4.0</f>
        <v>0</v>
      </c>
      <c r="E207">
        <f>E201*25.246</f>
        <v>0</v>
      </c>
      <c r="F207">
        <f>F201*78.506</f>
        <v>0</v>
      </c>
      <c r="G207">
        <f>G201*10.225</f>
        <v>0</v>
      </c>
      <c r="H207">
        <f>H201*0.0</f>
        <v>0</v>
      </c>
      <c r="I207">
        <f>I201*-0.018000000000000002</f>
        <v>0</v>
      </c>
      <c r="J207">
        <f>J201*165.203</f>
        <v>0</v>
      </c>
      <c r="K207">
        <f>K201*-123.902</f>
        <v>0</v>
      </c>
      <c r="L207">
        <f>L201*135.564</f>
        <v>0</v>
      </c>
      <c r="M207">
        <f>M201*-43.092</f>
        <v>0</v>
      </c>
      <c r="N207">
        <f>E207+F207+G207+H207+I207+J207+K207+L207</f>
        <v>0</v>
      </c>
    </row>
    <row r="208" spans="3:14">
      <c r="C208">
        <f>5.0</f>
        <v>0</v>
      </c>
      <c r="D208">
        <f>5.0</f>
        <v>0</v>
      </c>
      <c r="E208">
        <f>E201*28.09</f>
        <v>0</v>
      </c>
      <c r="F208">
        <f>F201*74.355</f>
        <v>0</v>
      </c>
      <c r="G208">
        <f>G201*11.267000000000001</f>
        <v>0</v>
      </c>
      <c r="H208">
        <f>H201*0.0</f>
        <v>0</v>
      </c>
      <c r="I208">
        <f>I201*-0.017</f>
        <v>0</v>
      </c>
      <c r="J208">
        <f>J201*-277.789</f>
        <v>0</v>
      </c>
      <c r="K208">
        <f>K201*208.342</f>
        <v>0</v>
      </c>
      <c r="L208">
        <f>L201*154.704</f>
        <v>0</v>
      </c>
      <c r="M208">
        <f>M201*-52.246</f>
        <v>0</v>
      </c>
      <c r="N208">
        <f>E208+F208+G208+H208+I208+J208+K208+L208</f>
        <v>0</v>
      </c>
    </row>
    <row r="209" spans="3:14">
      <c r="C209">
        <f>6.0</f>
        <v>0</v>
      </c>
      <c r="D209">
        <f>6.0</f>
        <v>0</v>
      </c>
      <c r="E209">
        <f>E201*1.972</f>
        <v>0</v>
      </c>
      <c r="F209">
        <f>F201*64.233</f>
        <v>0</v>
      </c>
      <c r="G209">
        <f>G201*9.622</f>
        <v>0</v>
      </c>
      <c r="H209">
        <f>H201*0.0</f>
        <v>0</v>
      </c>
      <c r="I209">
        <f>I201*-0.017</f>
        <v>0</v>
      </c>
      <c r="J209">
        <f>J201*-198.46</f>
        <v>0</v>
      </c>
      <c r="K209">
        <f>K201*148.845</f>
        <v>0</v>
      </c>
      <c r="L209">
        <f>L201*133.983</f>
        <v>0</v>
      </c>
      <c r="M209">
        <f>M201*-34.376</f>
        <v>0</v>
      </c>
      <c r="N209">
        <f>E209+F209+G209+H209+I209+J209+K209+L209</f>
        <v>0</v>
      </c>
    </row>
    <row r="210" spans="3:14">
      <c r="C210">
        <f>7.0</f>
        <v>0</v>
      </c>
      <c r="D210">
        <f>7.0</f>
        <v>0</v>
      </c>
      <c r="E210">
        <f>E201*5.716</f>
        <v>0</v>
      </c>
      <c r="F210">
        <f>F201*43.586000000000006</f>
        <v>0</v>
      </c>
      <c r="G210">
        <f>G201*6.307</f>
        <v>0</v>
      </c>
      <c r="H210">
        <f>H201*0.0</f>
        <v>0</v>
      </c>
      <c r="I210">
        <f>I201*-0.017</f>
        <v>0</v>
      </c>
      <c r="J210">
        <f>J201*-78.682</f>
        <v>0</v>
      </c>
      <c r="K210">
        <f>K201*59.011</f>
        <v>0</v>
      </c>
      <c r="L210">
        <f>L201*100.145</f>
        <v>0</v>
      </c>
      <c r="M210">
        <f>M201*-31.211</f>
        <v>0</v>
      </c>
      <c r="N210">
        <f>E210+F210+G210+H210+I210+J210+K210+L210</f>
        <v>0</v>
      </c>
    </row>
    <row r="211" spans="3:14">
      <c r="C211">
        <f>8.0</f>
        <v>0</v>
      </c>
      <c r="D211">
        <f>8.0</f>
        <v>0</v>
      </c>
      <c r="E211">
        <f>E201*9.452</f>
        <v>0</v>
      </c>
      <c r="F211">
        <f>F201*23.73</f>
        <v>0</v>
      </c>
      <c r="G211">
        <f>G201*3.1010000000000004</f>
        <v>0</v>
      </c>
      <c r="H211">
        <f>H201*0.0</f>
        <v>0</v>
      </c>
      <c r="I211">
        <f>I201*-0.016</f>
        <v>0</v>
      </c>
      <c r="J211">
        <f>J201*35.955</f>
        <v>0</v>
      </c>
      <c r="K211">
        <f>K201*-26.965999999999998</f>
        <v>0</v>
      </c>
      <c r="L211">
        <f>L201*75.722</f>
        <v>0</v>
      </c>
      <c r="M211">
        <f>M201*-41.466</f>
        <v>0</v>
      </c>
      <c r="N211">
        <f>E211+F211+G211+H211+I211+J211+K211+L211</f>
        <v>0</v>
      </c>
    </row>
    <row r="212" spans="3:14">
      <c r="C212">
        <f>9.0</f>
        <v>0</v>
      </c>
      <c r="D212">
        <f>9.0</f>
        <v>0</v>
      </c>
      <c r="E212">
        <f>E201*15.835</f>
        <v>0</v>
      </c>
      <c r="F212">
        <f>F201*-8.437000000000001</f>
        <v>0</v>
      </c>
      <c r="G212">
        <f>G201*-2.224</f>
        <v>0</v>
      </c>
      <c r="H212">
        <f>H201*0.0</f>
        <v>0</v>
      </c>
      <c r="I212">
        <f>I201*-0.016</f>
        <v>0</v>
      </c>
      <c r="J212">
        <f>J201*131.075</f>
        <v>0</v>
      </c>
      <c r="K212">
        <f>K201*-98.306</f>
        <v>0</v>
      </c>
      <c r="L212">
        <f>L201*60.754</f>
        <v>0</v>
      </c>
      <c r="M212">
        <f>M201*-70.92399999999999</f>
        <v>0</v>
      </c>
      <c r="N212">
        <f>E212+F212+G212+H212+I212+J212+K212+L212</f>
        <v>0</v>
      </c>
    </row>
    <row r="213" spans="3:14">
      <c r="C213">
        <f>10.0</f>
        <v>0</v>
      </c>
      <c r="D213">
        <f>10.0</f>
        <v>0</v>
      </c>
      <c r="E213">
        <f>E201*-20.906</f>
        <v>0</v>
      </c>
      <c r="F213">
        <f>F201*-19.544</f>
        <v>0</v>
      </c>
      <c r="G213">
        <f>G201*-4.114</f>
        <v>0</v>
      </c>
      <c r="H213">
        <f>H201*0.0</f>
        <v>0</v>
      </c>
      <c r="I213">
        <f>I201*-0.017</f>
        <v>0</v>
      </c>
      <c r="J213">
        <f>J201*-200.041</f>
        <v>0</v>
      </c>
      <c r="K213">
        <f>K201*150.031</f>
        <v>0</v>
      </c>
      <c r="L213">
        <f>L201*96.66</f>
        <v>0</v>
      </c>
      <c r="M213">
        <f>M201*-92.89299999999999</f>
        <v>0</v>
      </c>
      <c r="N213">
        <f>E213+F213+G213+H213+I213+J213+K213+L213</f>
        <v>0</v>
      </c>
    </row>
    <row r="214" spans="3:14">
      <c r="C214">
        <f>11.0</f>
        <v>0</v>
      </c>
      <c r="D214">
        <f>11.0</f>
        <v>0</v>
      </c>
      <c r="E214">
        <f>E201*-16.414</f>
        <v>0</v>
      </c>
      <c r="F214">
        <f>F201*-25.506999999999998</f>
        <v>0</v>
      </c>
      <c r="G214">
        <f>G201*-2.906</f>
        <v>0</v>
      </c>
      <c r="H214">
        <f>H201*0.0</f>
        <v>0</v>
      </c>
      <c r="I214">
        <f>I201*-0.016</f>
        <v>0</v>
      </c>
      <c r="J214">
        <f>J201*-140.625</f>
        <v>0</v>
      </c>
      <c r="K214">
        <f>K201*105.46799999999999</f>
        <v>0</v>
      </c>
      <c r="L214">
        <f>L201*71.736</f>
        <v>0</v>
      </c>
      <c r="M214">
        <f>M201*-63.559</f>
        <v>0</v>
      </c>
      <c r="N214">
        <f>E214+F214+G214+H214+I214+J214+K214+L214</f>
        <v>0</v>
      </c>
    </row>
    <row r="215" spans="3:14">
      <c r="C215">
        <f>12.0</f>
        <v>0</v>
      </c>
      <c r="D215">
        <f>12.0</f>
        <v>0</v>
      </c>
      <c r="E215">
        <f>E201*-9.442</f>
        <v>0</v>
      </c>
      <c r="F215">
        <f>F201*-44.327</f>
        <v>0</v>
      </c>
      <c r="G215">
        <f>G201*-6.119</f>
        <v>0</v>
      </c>
      <c r="H215">
        <f>H201*0.0</f>
        <v>0</v>
      </c>
      <c r="I215">
        <f>I201*-0.017</f>
        <v>0</v>
      </c>
      <c r="J215">
        <f>J201*-51.857</f>
        <v>0</v>
      </c>
      <c r="K215">
        <f>K201*38.893</f>
        <v>0</v>
      </c>
      <c r="L215">
        <f>L201*34.510999999999996</f>
        <v>0</v>
      </c>
      <c r="M215">
        <f>M201*-69.08</f>
        <v>0</v>
      </c>
      <c r="N215">
        <f>E215+F215+G215+H215+I215+J215+K215+L215</f>
        <v>0</v>
      </c>
    </row>
    <row r="216" spans="3:14">
      <c r="C216">
        <f>13.0</f>
        <v>0</v>
      </c>
      <c r="D216">
        <f>13.0</f>
        <v>0</v>
      </c>
      <c r="E216">
        <f>E201*-4.54</f>
        <v>0</v>
      </c>
      <c r="F216">
        <f>F201*-60.566</f>
        <v>0</v>
      </c>
      <c r="G216">
        <f>G201*-8.918</f>
        <v>0</v>
      </c>
      <c r="H216">
        <f>H201*0.0</f>
        <v>0</v>
      </c>
      <c r="I216">
        <f>I201*-0.018000000000000002</f>
        <v>0</v>
      </c>
      <c r="J216">
        <f>J201*41.492</f>
        <v>0</v>
      </c>
      <c r="K216">
        <f>K201*-31.119</f>
        <v>0</v>
      </c>
      <c r="L216">
        <f>L201*23.875999999999998</f>
        <v>0</v>
      </c>
      <c r="M216">
        <f>M201*-95.21600000000001</f>
        <v>0</v>
      </c>
      <c r="N216">
        <f>E216+F216+G216+H216+I216+J216+K216+L216</f>
        <v>0</v>
      </c>
    </row>
    <row r="217" spans="3:14">
      <c r="C217">
        <f>14.0</f>
        <v>0</v>
      </c>
      <c r="D217">
        <f>14.0</f>
        <v>0</v>
      </c>
      <c r="E217">
        <f>E201*4.84</f>
        <v>0</v>
      </c>
      <c r="F217">
        <f>F201*-74.818</f>
        <v>0</v>
      </c>
      <c r="G217">
        <f>G201*-11.491</f>
        <v>0</v>
      </c>
      <c r="H217">
        <f>H201*0.0</f>
        <v>0</v>
      </c>
      <c r="I217">
        <f>I201*-0.018000000000000002</f>
        <v>0</v>
      </c>
      <c r="J217">
        <f>J201*137.25799999999998</f>
        <v>0</v>
      </c>
      <c r="K217">
        <f>K201*-102.944</f>
        <v>0</v>
      </c>
      <c r="L217">
        <f>L201*26.932</f>
        <v>0</v>
      </c>
      <c r="M217">
        <f>M201*-128.267</f>
        <v>0</v>
      </c>
      <c r="N217">
        <f>E217+F217+G217+H217+I217+J217+K217+L217</f>
        <v>0</v>
      </c>
    </row>
    <row r="218" spans="3:14">
      <c r="C218">
        <f>15.0</f>
        <v>0</v>
      </c>
      <c r="D218">
        <f>15.0</f>
        <v>0</v>
      </c>
      <c r="E218">
        <f>E201*-29.487</f>
        <v>0</v>
      </c>
      <c r="F218">
        <f>F201*-90.855</f>
        <v>0</v>
      </c>
      <c r="G218">
        <f>G201*-12.659</f>
        <v>0</v>
      </c>
      <c r="H218">
        <f>H201*0.0</f>
        <v>0</v>
      </c>
      <c r="I218">
        <f>I201*-0.017</f>
        <v>0</v>
      </c>
      <c r="J218">
        <f>J201*-236.795</f>
        <v>0</v>
      </c>
      <c r="K218">
        <f>K201*177.59599999999998</f>
        <v>0</v>
      </c>
      <c r="L218">
        <f>L201*42.592</f>
        <v>0</v>
      </c>
      <c r="M218">
        <f>M201*-148.511</f>
        <v>0</v>
      </c>
      <c r="N218">
        <f>E218+F218+G218+H218+I218+J218+K218+L218</f>
        <v>0</v>
      </c>
    </row>
    <row r="219" spans="3:14">
      <c r="C219">
        <f>15.91</f>
        <v>0</v>
      </c>
      <c r="D219">
        <f>15.91</f>
        <v>0</v>
      </c>
      <c r="E219">
        <f>E201*-25.346999999999998</f>
        <v>0</v>
      </c>
      <c r="F219">
        <f>F201*-96.97200000000001</f>
        <v>0</v>
      </c>
      <c r="G219">
        <f>G201*-12.950999999999999</f>
        <v>0</v>
      </c>
      <c r="H219">
        <f>H201*0.0</f>
        <v>0</v>
      </c>
      <c r="I219">
        <f>I201*-0.018000000000000002</f>
        <v>0</v>
      </c>
      <c r="J219">
        <f>J201*-173.571</f>
        <v>0</v>
      </c>
      <c r="K219">
        <f>K201*130.179</f>
        <v>0</v>
      </c>
      <c r="L219">
        <f>L201*23.89</f>
        <v>0</v>
      </c>
      <c r="M219">
        <f>M201*-129.766</f>
        <v>0</v>
      </c>
      <c r="N219">
        <f>E219+F219+G219+H219+I219+J219+K219+L219</f>
        <v>0</v>
      </c>
    </row>
    <row r="220" spans="3:14">
      <c r="C220">
        <f>16.82</f>
        <v>0</v>
      </c>
      <c r="D220">
        <f>16.82</f>
        <v>0</v>
      </c>
      <c r="E220">
        <f>E201*-18.427</f>
        <v>0</v>
      </c>
      <c r="F220">
        <f>F201*-97.056</f>
        <v>0</v>
      </c>
      <c r="G220">
        <f>G201*-13.232000000000001</f>
        <v>0</v>
      </c>
      <c r="H220">
        <f>H201*0.0</f>
        <v>0</v>
      </c>
      <c r="I220">
        <f>I201*-0.02</f>
        <v>0</v>
      </c>
      <c r="J220">
        <f>J201*-64.309</f>
        <v>0</v>
      </c>
      <c r="K220">
        <f>K201*48.232</f>
        <v>0</v>
      </c>
      <c r="L220">
        <f>L201*7.556</f>
        <v>0</v>
      </c>
      <c r="M220">
        <f>M201*-127.228</f>
        <v>0</v>
      </c>
      <c r="N220">
        <f>E220+F220+G220+H220+I220+J220+K220+L220</f>
        <v>0</v>
      </c>
    </row>
    <row r="221" spans="3:14">
      <c r="C221">
        <f>17.73</f>
        <v>0</v>
      </c>
      <c r="D221">
        <f>17.73</f>
        <v>0</v>
      </c>
      <c r="E221">
        <f>E201*-12.588</f>
        <v>0</v>
      </c>
      <c r="F221">
        <f>F201*-90.167</f>
        <v>0</v>
      </c>
      <c r="G221">
        <f>G201*-12.706</f>
        <v>0</v>
      </c>
      <c r="H221">
        <f>H201*0.0</f>
        <v>0</v>
      </c>
      <c r="I221">
        <f>I201*-0.021</f>
        <v>0</v>
      </c>
      <c r="J221">
        <f>J201*95.66799999999999</f>
        <v>0</v>
      </c>
      <c r="K221">
        <f>K201*-71.751</f>
        <v>0</v>
      </c>
      <c r="L221">
        <f>L201*19.189</f>
        <v>0</v>
      </c>
      <c r="M221">
        <f>M201*-124.066</f>
        <v>0</v>
      </c>
      <c r="N221">
        <f>E221+F221+G221+H221+I221+J221+K221+L221</f>
        <v>0</v>
      </c>
    </row>
    <row r="222" spans="3:14">
      <c r="C222">
        <f>18.64</f>
        <v>0</v>
      </c>
      <c r="D222">
        <f>18.64</f>
        <v>0</v>
      </c>
      <c r="E222">
        <f>E201*-5.04</f>
        <v>0</v>
      </c>
      <c r="F222">
        <f>F201*-66.587</f>
        <v>0</v>
      </c>
      <c r="G222">
        <f>G201*-9.875</f>
        <v>0</v>
      </c>
      <c r="H222">
        <f>H201*0.0</f>
        <v>0</v>
      </c>
      <c r="I222">
        <f>I201*-0.016</f>
        <v>0</v>
      </c>
      <c r="J222">
        <f>J201*273.3</f>
        <v>0</v>
      </c>
      <c r="K222">
        <f>K201*-204.975</f>
        <v>0</v>
      </c>
      <c r="L222">
        <f>L201*38.056999999999995</f>
        <v>0</v>
      </c>
      <c r="M222">
        <f>M201*-109.666</f>
        <v>0</v>
      </c>
      <c r="N222">
        <f>E222+F222+G222+H222+I222+J222+K222+L222</f>
        <v>0</v>
      </c>
    </row>
    <row r="223" spans="3:14">
      <c r="C223">
        <f>19.55</f>
        <v>0</v>
      </c>
      <c r="D223">
        <f>19.55</f>
        <v>0</v>
      </c>
      <c r="E223">
        <f>E201*7.127000000000001</f>
        <v>0</v>
      </c>
      <c r="F223">
        <f>F201*-36.411</f>
        <v>0</v>
      </c>
      <c r="G223">
        <f>G201*-4.999</f>
        <v>0</v>
      </c>
      <c r="H223">
        <f>H201*0.0</f>
        <v>0</v>
      </c>
      <c r="I223">
        <f>I201*-0.012</f>
        <v>0</v>
      </c>
      <c r="J223">
        <f>J201*397.795</f>
        <v>0</v>
      </c>
      <c r="K223">
        <f>K201*-298.346</f>
        <v>0</v>
      </c>
      <c r="L223">
        <f>L201*52.757</f>
        <v>0</v>
      </c>
      <c r="M223">
        <f>M201*-85.04899999999999</f>
        <v>0</v>
      </c>
      <c r="N223">
        <f>E223+F223+G223+H223+I223+J223+K223+L223</f>
        <v>0</v>
      </c>
    </row>
    <row r="224" spans="3:14">
      <c r="C224">
        <f>20.0</f>
        <v>0</v>
      </c>
      <c r="D224">
        <f>20.0</f>
        <v>0</v>
      </c>
      <c r="E224">
        <f>E201*-6.234</f>
        <v>0</v>
      </c>
      <c r="F224">
        <f>F201*-36.411</f>
        <v>0</v>
      </c>
      <c r="G224">
        <f>G201*-4.999</f>
        <v>0</v>
      </c>
      <c r="H224">
        <f>H201*0.0</f>
        <v>0</v>
      </c>
      <c r="I224">
        <f>I201*-0.012</f>
        <v>0</v>
      </c>
      <c r="J224">
        <f>J201*-82.823</f>
        <v>0</v>
      </c>
      <c r="K224">
        <f>K201*62.117</f>
        <v>0</v>
      </c>
      <c r="L224">
        <f>L201*10.718</f>
        <v>0</v>
      </c>
      <c r="M224">
        <f>M201*-43.568999999999996</f>
        <v>0</v>
      </c>
      <c r="N224">
        <f>E224+F224+G224+H224+I224+J224+K224+L224</f>
        <v>0</v>
      </c>
    </row>
    <row r="225" spans="3:14">
      <c r="C225">
        <f>20.0</f>
        <v>0</v>
      </c>
      <c r="D225">
        <f>0.0</f>
        <v>0</v>
      </c>
      <c r="E225">
        <f>E201*6.135</f>
        <v>0</v>
      </c>
      <c r="F225">
        <f>F201*35.28</f>
        <v>0</v>
      </c>
      <c r="G225">
        <f>G201*4.8389999999999995</f>
        <v>0</v>
      </c>
      <c r="H225">
        <f>H201*0.0</f>
        <v>0</v>
      </c>
      <c r="I225">
        <f>I201*-0.204</f>
        <v>0</v>
      </c>
      <c r="J225">
        <f>J201*83.01299999999999</f>
        <v>0</v>
      </c>
      <c r="K225">
        <f>K201*-62.26</f>
        <v>0</v>
      </c>
      <c r="L225">
        <f>L201*43.695</f>
        <v>0</v>
      </c>
      <c r="M225">
        <f>M201*-6.218</f>
        <v>0</v>
      </c>
      <c r="N225">
        <f>E225+F225+G225+H225+I225+J225+K225+L225</f>
        <v>0</v>
      </c>
    </row>
    <row r="226" spans="3:14">
      <c r="C226">
        <f>20.45</f>
        <v>0</v>
      </c>
      <c r="D226">
        <f>0.45</f>
        <v>0</v>
      </c>
      <c r="E226">
        <f>E201*-7.181</f>
        <v>0</v>
      </c>
      <c r="F226">
        <f>F201*35.28</f>
        <v>0</v>
      </c>
      <c r="G226">
        <f>G201*4.8389999999999995</f>
        <v>0</v>
      </c>
      <c r="H226">
        <f>H201*0.0</f>
        <v>0</v>
      </c>
      <c r="I226">
        <f>I201*-0.204</f>
        <v>0</v>
      </c>
      <c r="J226">
        <f>J201*-401.764</f>
        <v>0</v>
      </c>
      <c r="K226">
        <f>K201*301.323</f>
        <v>0</v>
      </c>
      <c r="L226">
        <f>L201*67.115</f>
        <v>0</v>
      </c>
      <c r="M226">
        <f>M201*-48.153999999999996</f>
        <v>0</v>
      </c>
      <c r="N226">
        <f>E226+F226+G226+H226+I226+J226+K226+L226</f>
        <v>0</v>
      </c>
    </row>
    <row r="227" spans="3:14">
      <c r="C227">
        <f>21.36</f>
        <v>0</v>
      </c>
      <c r="D227">
        <f>1.36</f>
        <v>0</v>
      </c>
      <c r="E227">
        <f>E201*4.7989999999999995</f>
        <v>0</v>
      </c>
      <c r="F227">
        <f>F201*57.885</f>
        <v>0</v>
      </c>
      <c r="G227">
        <f>G201*8.631</f>
        <v>0</v>
      </c>
      <c r="H227">
        <f>H201*0.0</f>
        <v>0</v>
      </c>
      <c r="I227">
        <f>I201*-0.828</f>
        <v>0</v>
      </c>
      <c r="J227">
        <f>J201*-276.801</f>
        <v>0</v>
      </c>
      <c r="K227">
        <f>K201*207.601</f>
        <v>0</v>
      </c>
      <c r="L227">
        <f>L201*102.895</f>
        <v>0</v>
      </c>
      <c r="M227">
        <f>M201*-34.785</f>
        <v>0</v>
      </c>
      <c r="N227">
        <f>E227+F227+G227+H227+I227+J227+K227+L227</f>
        <v>0</v>
      </c>
    </row>
    <row r="228" spans="3:14">
      <c r="C228">
        <f>22.27</f>
        <v>0</v>
      </c>
      <c r="D228">
        <f>2.27</f>
        <v>0</v>
      </c>
      <c r="E228">
        <f>E201*12.197000000000001</f>
        <v>0</v>
      </c>
      <c r="F228">
        <f>F201*80.676</f>
        <v>0</v>
      </c>
      <c r="G228">
        <f>G201*11.357999999999999</f>
        <v>0</v>
      </c>
      <c r="H228">
        <f>H201*0.0</f>
        <v>0</v>
      </c>
      <c r="I228">
        <f>I201*-1.324</f>
        <v>0</v>
      </c>
      <c r="J228">
        <f>J201*-97.98899999999999</f>
        <v>0</v>
      </c>
      <c r="K228">
        <f>K201*73.492</f>
        <v>0</v>
      </c>
      <c r="L228">
        <f>L201*121.14399999999999</f>
        <v>0</v>
      </c>
      <c r="M228">
        <f>M201*-16.805</f>
        <v>0</v>
      </c>
      <c r="N228">
        <f>E228+F228+G228+H228+I228+J228+K228+L228</f>
        <v>0</v>
      </c>
    </row>
    <row r="229" spans="3:14">
      <c r="C229">
        <f>23.18</f>
        <v>0</v>
      </c>
      <c r="D229">
        <f>3.18</f>
        <v>0</v>
      </c>
      <c r="E229">
        <f>E201*17.898</f>
        <v>0</v>
      </c>
      <c r="F229">
        <f>F201*87.37799999999999</f>
        <v>0</v>
      </c>
      <c r="G229">
        <f>G201*11.865</f>
        <v>0</v>
      </c>
      <c r="H229">
        <f>H201*0.0</f>
        <v>0</v>
      </c>
      <c r="I229">
        <f>I201*-1.6580000000000001</f>
        <v>0</v>
      </c>
      <c r="J229">
        <f>J201*64.235</f>
        <v>0</v>
      </c>
      <c r="K229">
        <f>K201*-48.176</f>
        <v>0</v>
      </c>
      <c r="L229">
        <f>L201*124.45200000000001</f>
        <v>0</v>
      </c>
      <c r="M229">
        <f>M201*-9.292</f>
        <v>0</v>
      </c>
      <c r="N229">
        <f>E229+F229+G229+H229+I229+J229+K229+L229</f>
        <v>0</v>
      </c>
    </row>
    <row r="230" spans="3:14">
      <c r="C230">
        <f>24.09</f>
        <v>0</v>
      </c>
      <c r="D230">
        <f>4.09</f>
        <v>0</v>
      </c>
      <c r="E230">
        <f>E201*24.666999999999998</f>
        <v>0</v>
      </c>
      <c r="F230">
        <f>F201*87.35700000000001</f>
        <v>0</v>
      </c>
      <c r="G230">
        <f>G201*11.600999999999999</f>
        <v>0</v>
      </c>
      <c r="H230">
        <f>H201*0.0</f>
        <v>0</v>
      </c>
      <c r="I230">
        <f>I201*-1.9780000000000002</f>
        <v>0</v>
      </c>
      <c r="J230">
        <f>J201*175.467</f>
        <v>0</v>
      </c>
      <c r="K230">
        <f>K201*-131.6</f>
        <v>0</v>
      </c>
      <c r="L230">
        <f>L201*124.36</f>
        <v>0</v>
      </c>
      <c r="M230">
        <f>M201*-27.86</f>
        <v>0</v>
      </c>
      <c r="N230">
        <f>E230+F230+G230+H230+I230+J230+K230+L230</f>
        <v>0</v>
      </c>
    </row>
    <row r="231" spans="3:14">
      <c r="C231">
        <f>25.0</f>
        <v>0</v>
      </c>
      <c r="D231">
        <f>5.0</f>
        <v>0</v>
      </c>
      <c r="E231">
        <f>E201*28.733</f>
        <v>0</v>
      </c>
      <c r="F231">
        <f>F201*81.655</f>
        <v>0</v>
      </c>
      <c r="G231">
        <f>G201*10.987</f>
        <v>0</v>
      </c>
      <c r="H231">
        <f>H201*0.0</f>
        <v>0</v>
      </c>
      <c r="I231">
        <f>I201*-2.149</f>
        <v>0</v>
      </c>
      <c r="J231">
        <f>J201*239.735</f>
        <v>0</v>
      </c>
      <c r="K231">
        <f>K201*-179.801</f>
        <v>0</v>
      </c>
      <c r="L231">
        <f>L201*141.653</f>
        <v>0</v>
      </c>
      <c r="M231">
        <f>M201*-39.904</f>
        <v>0</v>
      </c>
      <c r="N231">
        <f>E231+F231+G231+H231+I231+J231+K231+L231</f>
        <v>0</v>
      </c>
    </row>
    <row r="232" spans="3:14">
      <c r="C232">
        <f>26.0</f>
        <v>0</v>
      </c>
      <c r="D232">
        <f>6.0</f>
        <v>0</v>
      </c>
      <c r="E232">
        <f>E201*-5.191</f>
        <v>0</v>
      </c>
      <c r="F232">
        <f>F201*63.393</f>
        <v>0</v>
      </c>
      <c r="G232">
        <f>G201*9.867</f>
        <v>0</v>
      </c>
      <c r="H232">
        <f>H201*0.0</f>
        <v>0</v>
      </c>
      <c r="I232">
        <f>I201*-1.953</f>
        <v>0</v>
      </c>
      <c r="J232">
        <f>J201*-140.433</f>
        <v>0</v>
      </c>
      <c r="K232">
        <f>K201*105.324</f>
        <v>0</v>
      </c>
      <c r="L232">
        <f>L201*121.904</f>
        <v>0</v>
      </c>
      <c r="M232">
        <f>M201*-24.958000000000002</f>
        <v>0</v>
      </c>
      <c r="N232">
        <f>E232+F232+G232+H232+I232+J232+K232+L232</f>
        <v>0</v>
      </c>
    </row>
    <row r="233" spans="3:14">
      <c r="C233">
        <f>27.0</f>
        <v>0</v>
      </c>
      <c r="D233">
        <f>7.0</f>
        <v>0</v>
      </c>
      <c r="E233">
        <f>E201*4.148</f>
        <v>0</v>
      </c>
      <c r="F233">
        <f>F201*49.601000000000006</f>
        <v>0</v>
      </c>
      <c r="G233">
        <f>G201*7.365</f>
        <v>0</v>
      </c>
      <c r="H233">
        <f>H201*0.0</f>
        <v>0</v>
      </c>
      <c r="I233">
        <f>I201*-2.247</f>
        <v>0</v>
      </c>
      <c r="J233">
        <f>J201*-43.722</f>
        <v>0</v>
      </c>
      <c r="K233">
        <f>K201*32.791</f>
        <v>0</v>
      </c>
      <c r="L233">
        <f>L201*86.927</f>
        <v>0</v>
      </c>
      <c r="M233">
        <f>M201*-16.922</f>
        <v>0</v>
      </c>
      <c r="N233">
        <f>E233+F233+G233+H233+I233+J233+K233+L233</f>
        <v>0</v>
      </c>
    </row>
    <row r="234" spans="3:14">
      <c r="C234">
        <f>28.0</f>
        <v>0</v>
      </c>
      <c r="D234">
        <f>8.0</f>
        <v>0</v>
      </c>
      <c r="E234">
        <f>E201*9.227</f>
        <v>0</v>
      </c>
      <c r="F234">
        <f>F201*33.586</f>
        <v>0</v>
      </c>
      <c r="G234">
        <f>G201*4.593</f>
        <v>0</v>
      </c>
      <c r="H234">
        <f>H201*0.0</f>
        <v>0</v>
      </c>
      <c r="I234">
        <f>I201*-2.405</f>
        <v>0</v>
      </c>
      <c r="J234">
        <f>J201*47.13</f>
        <v>0</v>
      </c>
      <c r="K234">
        <f>K201*-35.348</f>
        <v>0</v>
      </c>
      <c r="L234">
        <f>L201*63.099</f>
        <v>0</v>
      </c>
      <c r="M234">
        <f>M201*-22.476999999999997</f>
        <v>0</v>
      </c>
      <c r="N234">
        <f>E234+F234+G234+H234+I234+J234+K234+L234</f>
        <v>0</v>
      </c>
    </row>
    <row r="235" spans="3:14">
      <c r="C235">
        <f>29.0</f>
        <v>0</v>
      </c>
      <c r="D235">
        <f>9.0</f>
        <v>0</v>
      </c>
      <c r="E235">
        <f>E201*16.609</f>
        <v>0</v>
      </c>
      <c r="F235">
        <f>F201*14.817</f>
        <v>0</v>
      </c>
      <c r="G235">
        <f>G201*1.368</f>
        <v>0</v>
      </c>
      <c r="H235">
        <f>H201*0.0</f>
        <v>0</v>
      </c>
      <c r="I235">
        <f>I201*-2.406</f>
        <v>0</v>
      </c>
      <c r="J235">
        <f>J201*130.534</f>
        <v>0</v>
      </c>
      <c r="K235">
        <f>K201*-97.90100000000001</f>
        <v>0</v>
      </c>
      <c r="L235">
        <f>L201*58.678999999999995</f>
        <v>0</v>
      </c>
      <c r="M235">
        <f>M201*-60.02</f>
        <v>0</v>
      </c>
      <c r="N235">
        <f>E235+F235+G235+H235+I235+J235+K235+L235</f>
        <v>0</v>
      </c>
    </row>
    <row r="236" spans="3:14">
      <c r="C236">
        <f>30.0</f>
        <v>0</v>
      </c>
      <c r="D236">
        <f>10.0</f>
        <v>0</v>
      </c>
      <c r="E236">
        <f>E201*21.405</f>
        <v>0</v>
      </c>
      <c r="F236">
        <f>F201*8.213</f>
        <v>0</v>
      </c>
      <c r="G236">
        <f>G201*2.539</f>
        <v>0</v>
      </c>
      <c r="H236">
        <f>H201*0.0</f>
        <v>0</v>
      </c>
      <c r="I236">
        <f>I201*-3.391</f>
        <v>0</v>
      </c>
      <c r="J236">
        <f>J201*-190.24599999999998</f>
        <v>0</v>
      </c>
      <c r="K236">
        <f>K201*142.685</f>
        <v>0</v>
      </c>
      <c r="L236">
        <f>L201*86.77799999999999</f>
        <v>0</v>
      </c>
      <c r="M236">
        <f>M201*-86.296</f>
        <v>0</v>
      </c>
      <c r="N236">
        <f>E236+F236+G236+H236+I236+J236+K236+L236</f>
        <v>0</v>
      </c>
    </row>
    <row r="237" spans="3:14">
      <c r="C237">
        <f>31.0</f>
        <v>0</v>
      </c>
      <c r="D237">
        <f>11.0</f>
        <v>0</v>
      </c>
      <c r="E237">
        <f>E201*-16.039</f>
        <v>0</v>
      </c>
      <c r="F237">
        <f>F201*-14.152999999999999</f>
        <v>0</v>
      </c>
      <c r="G237">
        <f>G201*-1.2930000000000001</f>
        <v>0</v>
      </c>
      <c r="H237">
        <f>H201*0.0</f>
        <v>0</v>
      </c>
      <c r="I237">
        <f>I201*-3.1439999999999997</f>
        <v>0</v>
      </c>
      <c r="J237">
        <f>J201*-134.937</f>
        <v>0</v>
      </c>
      <c r="K237">
        <f>K201*101.20299999999999</f>
        <v>0</v>
      </c>
      <c r="L237">
        <f>L201*61.648</f>
        <v>0</v>
      </c>
      <c r="M237">
        <f>M201*-58.937</f>
        <v>0</v>
      </c>
      <c r="N237">
        <f>E237+F237+G237+H237+I237+J237+K237+L237</f>
        <v>0</v>
      </c>
    </row>
    <row r="238" spans="3:14">
      <c r="C238">
        <f>32.0</f>
        <v>0</v>
      </c>
      <c r="D238">
        <f>12.0</f>
        <v>0</v>
      </c>
      <c r="E238">
        <f>E201*-8.642000000000001</f>
        <v>0</v>
      </c>
      <c r="F238">
        <f>F201*-33.875</f>
        <v>0</v>
      </c>
      <c r="G238">
        <f>G201*-4.659</f>
        <v>0</v>
      </c>
      <c r="H238">
        <f>H201*0.0</f>
        <v>0</v>
      </c>
      <c r="I238">
        <f>I201*-2.517</f>
        <v>0</v>
      </c>
      <c r="J238">
        <f>J201*-52.276</f>
        <v>0</v>
      </c>
      <c r="K238">
        <f>K201*39.207</f>
        <v>0</v>
      </c>
      <c r="L238">
        <f>L201*23.493000000000002</f>
        <v>0</v>
      </c>
      <c r="M238">
        <f>M201*-63.578</f>
        <v>0</v>
      </c>
      <c r="N238">
        <f>E238+F238+G238+H238+I238+J238+K238+L238</f>
        <v>0</v>
      </c>
    </row>
    <row r="239" spans="3:14">
      <c r="C239">
        <f>33.0</f>
        <v>0</v>
      </c>
      <c r="D239">
        <f>13.0</f>
        <v>0</v>
      </c>
      <c r="E239">
        <f>E201*-3.5410000000000004</f>
        <v>0</v>
      </c>
      <c r="F239">
        <f>F201*-51.623000000000005</f>
        <v>0</v>
      </c>
      <c r="G239">
        <f>G201*-7.686</f>
        <v>0</v>
      </c>
      <c r="H239">
        <f>H201*0.0</f>
        <v>0</v>
      </c>
      <c r="I239">
        <f>I201*-1.531</f>
        <v>0</v>
      </c>
      <c r="J239">
        <f>J201*36.189</f>
        <v>0</v>
      </c>
      <c r="K239">
        <f>K201*-27.142</f>
        <v>0</v>
      </c>
      <c r="L239">
        <f>L201*19.843</f>
        <v>0</v>
      </c>
      <c r="M239">
        <f>M201*-87.65899999999999</f>
        <v>0</v>
      </c>
      <c r="N239">
        <f>E239+F239+G239+H239+I239+J239+K239+L239</f>
        <v>0</v>
      </c>
    </row>
    <row r="240" spans="3:14">
      <c r="C240">
        <f>34.0</f>
        <v>0</v>
      </c>
      <c r="D240">
        <f>14.0</f>
        <v>0</v>
      </c>
      <c r="E240">
        <f>E201*5.807</f>
        <v>0</v>
      </c>
      <c r="F240">
        <f>F201*-68.197</f>
        <v>0</v>
      </c>
      <c r="G240">
        <f>G201*-10.595999999999998</f>
        <v>0</v>
      </c>
      <c r="H240">
        <f>H201*0.0</f>
        <v>0</v>
      </c>
      <c r="I240">
        <f>I201*1.111</f>
        <v>0</v>
      </c>
      <c r="J240">
        <f>J201*130.37</f>
        <v>0</v>
      </c>
      <c r="K240">
        <f>K201*-97.777</f>
        <v>0</v>
      </c>
      <c r="L240">
        <f>L201*27.410999999999998</f>
        <v>0</v>
      </c>
      <c r="M240">
        <f>M201*-124.679</f>
        <v>0</v>
      </c>
      <c r="N240">
        <f>E240+F240+G240+H240+I240+J240+K240+L240</f>
        <v>0</v>
      </c>
    </row>
    <row r="241" spans="3:14">
      <c r="C241">
        <f>35.0</f>
        <v>0</v>
      </c>
      <c r="D241">
        <f>15.0</f>
        <v>0</v>
      </c>
      <c r="E241">
        <f>E201*-27.974</f>
        <v>0</v>
      </c>
      <c r="F241">
        <f>F201*-77.736</f>
        <v>0</v>
      </c>
      <c r="G241">
        <f>G201*-11.975</f>
        <v>0</v>
      </c>
      <c r="H241">
        <f>H201*0.0</f>
        <v>0</v>
      </c>
      <c r="I241">
        <f>I201*-6.308</f>
        <v>0</v>
      </c>
      <c r="J241">
        <f>J201*-243.149</f>
        <v>0</v>
      </c>
      <c r="K241">
        <f>K201*182.362</f>
        <v>0</v>
      </c>
      <c r="L241">
        <f>L201*40.442</f>
        <v>0</v>
      </c>
      <c r="M241">
        <f>M201*-145.028</f>
        <v>0</v>
      </c>
      <c r="N241">
        <f>E241+F241+G241+H241+I241+J241+K241+L241</f>
        <v>0</v>
      </c>
    </row>
    <row r="242" spans="3:14">
      <c r="C242">
        <f>35.91</f>
        <v>0</v>
      </c>
      <c r="D242">
        <f>15.91</f>
        <v>0</v>
      </c>
      <c r="E242">
        <f>E201*-23.949</f>
        <v>0</v>
      </c>
      <c r="F242">
        <f>F201*-87.066</f>
        <v>0</v>
      </c>
      <c r="G242">
        <f>G201*-11.584000000000001</f>
        <v>0</v>
      </c>
      <c r="H242">
        <f>H201*0.0</f>
        <v>0</v>
      </c>
      <c r="I242">
        <f>I201*-4.758</f>
        <v>0</v>
      </c>
      <c r="J242">
        <f>J201*-180.155</f>
        <v>0</v>
      </c>
      <c r="K242">
        <f>K201*135.116</f>
        <v>0</v>
      </c>
      <c r="L242">
        <f>L201*21.699</f>
        <v>0</v>
      </c>
      <c r="M242">
        <f>M201*-122.536</f>
        <v>0</v>
      </c>
      <c r="N242">
        <f>E242+F242+G242+H242+I242+J242+K242+L242</f>
        <v>0</v>
      </c>
    </row>
    <row r="243" spans="3:14">
      <c r="C243">
        <f>36.82</f>
        <v>0</v>
      </c>
      <c r="D243">
        <f>16.82</f>
        <v>0</v>
      </c>
      <c r="E243">
        <f>E201*-17.311</f>
        <v>0</v>
      </c>
      <c r="F243">
        <f>F201*-89.134</f>
        <v>0</v>
      </c>
      <c r="G243">
        <f>G201*-12.384</f>
        <v>0</v>
      </c>
      <c r="H243">
        <f>H201*0.0</f>
        <v>0</v>
      </c>
      <c r="I243">
        <f>I201*1.901</f>
        <v>0</v>
      </c>
      <c r="J243">
        <f>J201*-71.02</f>
        <v>0</v>
      </c>
      <c r="K243">
        <f>K201*53.265</f>
        <v>0</v>
      </c>
      <c r="L243">
        <f>L201*7.612</f>
        <v>0</v>
      </c>
      <c r="M243">
        <f>M201*-123.68299999999999</f>
        <v>0</v>
      </c>
      <c r="N243">
        <f>E243+F243+G243+H243+I243+J243+K243+L243</f>
        <v>0</v>
      </c>
    </row>
    <row r="244" spans="3:14">
      <c r="C244">
        <f>37.73</f>
        <v>0</v>
      </c>
      <c r="D244">
        <f>17.73</f>
        <v>0</v>
      </c>
      <c r="E244">
        <f>E201*-11.863</f>
        <v>0</v>
      </c>
      <c r="F244">
        <f>F201*-86.11</f>
        <v>0</v>
      </c>
      <c r="G244">
        <f>G201*-12.169</f>
        <v>0</v>
      </c>
      <c r="H244">
        <f>H201*0.0</f>
        <v>0</v>
      </c>
      <c r="I244">
        <f>I201*7.699</f>
        <v>0</v>
      </c>
      <c r="J244">
        <f>J201*89.57600000000001</f>
        <v>0</v>
      </c>
      <c r="K244">
        <f>K201*-67.182</f>
        <v>0</v>
      </c>
      <c r="L244">
        <f>L201*16.019000000000002</f>
        <v>0</v>
      </c>
      <c r="M244">
        <f>M201*-121.39</f>
        <v>0</v>
      </c>
      <c r="N244">
        <f>E244+F244+G244+H244+I244+J244+K244+L244</f>
        <v>0</v>
      </c>
    </row>
    <row r="245" spans="3:14">
      <c r="C245">
        <f>38.64</f>
        <v>0</v>
      </c>
      <c r="D245">
        <f>18.64</f>
        <v>0</v>
      </c>
      <c r="E245">
        <f>E201*-4.937</f>
        <v>0</v>
      </c>
      <c r="F245">
        <f>F201*-68.598</f>
        <v>0</v>
      </c>
      <c r="G245">
        <f>G201*-10.197000000000001</f>
        <v>0</v>
      </c>
      <c r="H245">
        <f>H201*0.0</f>
        <v>0</v>
      </c>
      <c r="I245">
        <f>I201*11.867</f>
        <v>0</v>
      </c>
      <c r="J245">
        <f>J201*268.52299999999997</f>
        <v>0</v>
      </c>
      <c r="K245">
        <f>K201*-201.392</f>
        <v>0</v>
      </c>
      <c r="L245">
        <f>L201*28.824</f>
        <v>0</v>
      </c>
      <c r="M245">
        <f>M201*-104.806</f>
        <v>0</v>
      </c>
      <c r="N245">
        <f>E245+F245+G245+H245+I245+J245+K245+L245</f>
        <v>0</v>
      </c>
    </row>
    <row r="246" spans="3:14">
      <c r="C246">
        <f>39.55</f>
        <v>0</v>
      </c>
      <c r="D246">
        <f>19.55</f>
        <v>0</v>
      </c>
      <c r="E246">
        <f>E201*6.212000000000001</f>
        <v>0</v>
      </c>
      <c r="F246">
        <f>F201*-32.556999999999995</f>
        <v>0</v>
      </c>
      <c r="G246">
        <f>G201*-5.131</f>
        <v>0</v>
      </c>
      <c r="H246">
        <f>H201*0.0</f>
        <v>0</v>
      </c>
      <c r="I246">
        <f>I201*13.151</f>
        <v>0</v>
      </c>
      <c r="J246">
        <f>J201*393.981</f>
        <v>0</v>
      </c>
      <c r="K246">
        <f>K201*-295.486</f>
        <v>0</v>
      </c>
      <c r="L246">
        <f>L201*39.745</f>
        <v>0</v>
      </c>
      <c r="M246">
        <f>M201*-71.473</f>
        <v>0</v>
      </c>
      <c r="N246">
        <f>E246+F246+G246+H246+I246+J246+K246+L246</f>
        <v>0</v>
      </c>
    </row>
    <row r="247" spans="3:14">
      <c r="C247">
        <f>40.0</f>
        <v>0</v>
      </c>
      <c r="D247">
        <f>20.0</f>
        <v>0</v>
      </c>
      <c r="E247">
        <f>E201*-5.819</f>
        <v>0</v>
      </c>
      <c r="F247">
        <f>F201*-32.556999999999995</f>
        <v>0</v>
      </c>
      <c r="G247">
        <f>G201*-4.453</f>
        <v>0</v>
      </c>
      <c r="H247">
        <f>H201*0.0</f>
        <v>0</v>
      </c>
      <c r="I247">
        <f>I201*0.604</f>
        <v>0</v>
      </c>
      <c r="J247">
        <f>J201*-83.514</f>
        <v>0</v>
      </c>
      <c r="K247">
        <f>K201*62.636</f>
        <v>0</v>
      </c>
      <c r="L247">
        <f>L201*10.712</f>
        <v>0</v>
      </c>
      <c r="M247">
        <f>M201*-42.968</f>
        <v>0</v>
      </c>
      <c r="N247">
        <f>E247+F247+G247+H247+I247+J247+K247+L247</f>
        <v>0</v>
      </c>
    </row>
    <row r="248" spans="3:14">
      <c r="C248">
        <f>40.0</f>
        <v>0</v>
      </c>
      <c r="D248">
        <f>0.0</f>
        <v>0</v>
      </c>
      <c r="E248">
        <f>E201*4.591</f>
        <v>0</v>
      </c>
      <c r="F248">
        <f>F201*16.857</f>
        <v>0</v>
      </c>
      <c r="G248">
        <f>G201*2.19</f>
        <v>0</v>
      </c>
      <c r="H248">
        <f>H201*0.0</f>
        <v>0</v>
      </c>
      <c r="I248">
        <f>I201*1.8459999999999999</f>
        <v>0</v>
      </c>
      <c r="J248">
        <f>J201*78.48899999999999</f>
        <v>0</v>
      </c>
      <c r="K248">
        <f>K201*-58.867</f>
        <v>0</v>
      </c>
      <c r="L248">
        <f>L201*24.879</f>
        <v>0</v>
      </c>
      <c r="M248">
        <f>M201*-6.7170000000000005</f>
        <v>0</v>
      </c>
      <c r="N248">
        <f>E248+F248+G248+H248+I248+J248+K248+L248</f>
        <v>0</v>
      </c>
    </row>
    <row r="249" spans="3:14">
      <c r="C249">
        <f>40.45</f>
        <v>0</v>
      </c>
      <c r="D249">
        <f>0.45</f>
        <v>0</v>
      </c>
      <c r="E249">
        <f>E201*-8.565</f>
        <v>0</v>
      </c>
      <c r="F249">
        <f>F201*16.857</f>
        <v>0</v>
      </c>
      <c r="G249">
        <f>G201*2.19</f>
        <v>0</v>
      </c>
      <c r="H249">
        <f>H201*0.0</f>
        <v>0</v>
      </c>
      <c r="I249">
        <f>I201*-2.312</f>
        <v>0</v>
      </c>
      <c r="J249">
        <f>J201*-425.796</f>
        <v>0</v>
      </c>
      <c r="K249">
        <f>K201*319.347</f>
        <v>0</v>
      </c>
      <c r="L249">
        <f>L201*40.666</f>
        <v>0</v>
      </c>
      <c r="M249">
        <f>M201*-47.915</f>
        <v>0</v>
      </c>
      <c r="N249">
        <f>E249+F249+G249+H249+I249+J249+K249+L249</f>
        <v>0</v>
      </c>
    </row>
    <row r="250" spans="3:14">
      <c r="C250">
        <f>41.36</f>
        <v>0</v>
      </c>
      <c r="D250">
        <f>1.36</f>
        <v>0</v>
      </c>
      <c r="E250">
        <f>E201*-3.02</f>
        <v>0</v>
      </c>
      <c r="F250">
        <f>F201*7.517</f>
        <v>0</v>
      </c>
      <c r="G250">
        <f>G201*1.3159999999999998</f>
        <v>0</v>
      </c>
      <c r="H250">
        <f>H201*0.0</f>
        <v>0</v>
      </c>
      <c r="I250">
        <f>I201*8.926</f>
        <v>0</v>
      </c>
      <c r="J250">
        <f>J201*-308.655</f>
        <v>0</v>
      </c>
      <c r="K250">
        <f>K201*231.49200000000002</f>
        <v>0</v>
      </c>
      <c r="L250">
        <f>L201*46.183</f>
        <v>0</v>
      </c>
      <c r="M250">
        <f>M201*-34.313</f>
        <v>0</v>
      </c>
      <c r="N250">
        <f>E250+F250+G250+H250+I250+J250+K250+L250</f>
        <v>0</v>
      </c>
    </row>
    <row r="251" spans="3:14">
      <c r="C251">
        <f>42.27</f>
        <v>0</v>
      </c>
      <c r="D251">
        <f>2.27</f>
        <v>0</v>
      </c>
      <c r="E251">
        <f>E201*6.848</f>
        <v>0</v>
      </c>
      <c r="F251">
        <f>F201*17.423</f>
        <v>0</v>
      </c>
      <c r="G251">
        <f>G201*2.222</f>
        <v>0</v>
      </c>
      <c r="H251">
        <f>H201*0.0</f>
        <v>0</v>
      </c>
      <c r="I251">
        <f>I201*23.008000000000003</f>
        <v>0</v>
      </c>
      <c r="J251">
        <f>J201*-138.382</f>
        <v>0</v>
      </c>
      <c r="K251">
        <f>K201*103.786</f>
        <v>0</v>
      </c>
      <c r="L251">
        <f>L201*48.401</f>
        <v>0</v>
      </c>
      <c r="M251">
        <f>M201*-15.237</f>
        <v>0</v>
      </c>
      <c r="N251">
        <f>E251+F251+G251+H251+I251+J251+K251+L251</f>
        <v>0</v>
      </c>
    </row>
    <row r="252" spans="3:14">
      <c r="C252">
        <f>43.18</f>
        <v>0</v>
      </c>
      <c r="D252">
        <f>3.18</f>
        <v>0</v>
      </c>
      <c r="E252">
        <f>E201*10.597000000000001</f>
        <v>0</v>
      </c>
      <c r="F252">
        <f>F201*18.942</f>
        <v>0</v>
      </c>
      <c r="G252">
        <f>G201*2.254</f>
        <v>0</v>
      </c>
      <c r="H252">
        <f>H201*0.0</f>
        <v>0</v>
      </c>
      <c r="I252">
        <f>I201*36.762</f>
        <v>0</v>
      </c>
      <c r="J252">
        <f>J201*32.639</f>
        <v>0</v>
      </c>
      <c r="K252">
        <f>K201*-24.479</f>
        <v>0</v>
      </c>
      <c r="L252">
        <f>L201*47.76</f>
        <v>0</v>
      </c>
      <c r="M252">
        <f>M201*-19.913</f>
        <v>0</v>
      </c>
      <c r="N252">
        <f>E252+F252+G252+H252+I252+J252+K252+L252</f>
        <v>0</v>
      </c>
    </row>
    <row r="253" spans="3:14">
      <c r="C253">
        <f>44.09</f>
        <v>0</v>
      </c>
      <c r="D253">
        <f>4.09</f>
        <v>0</v>
      </c>
      <c r="E253">
        <f>E201*14.82</f>
        <v>0</v>
      </c>
      <c r="F253">
        <f>F201*16.562</f>
        <v>0</v>
      </c>
      <c r="G253">
        <f>G201*1.517</f>
        <v>0</v>
      </c>
      <c r="H253">
        <f>H201*0.0</f>
        <v>0</v>
      </c>
      <c r="I253">
        <f>I201*49.391000000000005</f>
        <v>0</v>
      </c>
      <c r="J253">
        <f>J201*166.135</f>
        <v>0</v>
      </c>
      <c r="K253">
        <f>K201*-124.601</f>
        <v>0</v>
      </c>
      <c r="L253">
        <f>L201*49.891000000000005</f>
        <v>0</v>
      </c>
      <c r="M253">
        <f>M201*-42.851000000000006</f>
        <v>0</v>
      </c>
      <c r="N253">
        <f>E253+F253+G253+H253+I253+J253+K253+L253</f>
        <v>0</v>
      </c>
    </row>
    <row r="254" spans="3:14">
      <c r="C254">
        <f>45.0</f>
        <v>0</v>
      </c>
      <c r="D254">
        <f>5.0</f>
        <v>0</v>
      </c>
      <c r="E254">
        <f>E201*17.39</f>
        <v>0</v>
      </c>
      <c r="F254">
        <f>F201*9.677999999999999</f>
        <v>0</v>
      </c>
      <c r="G254">
        <f>G201*1.224</f>
        <v>0</v>
      </c>
      <c r="H254">
        <f>H201*0.0</f>
        <v>0</v>
      </c>
      <c r="I254">
        <f>I201*55.088</f>
        <v>0</v>
      </c>
      <c r="J254">
        <f>J201*-312.18</f>
        <v>0</v>
      </c>
      <c r="K254">
        <f>K201*234.135</f>
        <v>0</v>
      </c>
      <c r="L254">
        <f>L201*59.24100000000001</f>
        <v>0</v>
      </c>
      <c r="M254">
        <f>M201*-60.863</f>
        <v>0</v>
      </c>
      <c r="N254">
        <f>E254+F254+G254+H254+I254+J254+K254+L254</f>
        <v>0</v>
      </c>
    </row>
    <row r="255" spans="3:14">
      <c r="C255">
        <f>46.0</f>
        <v>0</v>
      </c>
      <c r="D255">
        <f>6.0</f>
        <v>0</v>
      </c>
      <c r="E255">
        <f>E201*-10.083</f>
        <v>0</v>
      </c>
      <c r="F255">
        <f>F201*-7.312</f>
        <v>0</v>
      </c>
      <c r="G255">
        <f>G201*-0.569</f>
        <v>0</v>
      </c>
      <c r="H255">
        <f>H201*0.0</f>
        <v>0</v>
      </c>
      <c r="I255">
        <f>I201*-36.215</f>
        <v>0</v>
      </c>
      <c r="J255">
        <f>J201*-224.907</f>
        <v>0</v>
      </c>
      <c r="K255">
        <f>K201*168.68</f>
        <v>0</v>
      </c>
      <c r="L255">
        <f>L201*40.352</f>
        <v>0</v>
      </c>
      <c r="M255">
        <f>M201*-37.039</f>
        <v>0</v>
      </c>
      <c r="N255">
        <f>E255+F255+G255+H255+I255+J255+K255+L255</f>
        <v>0</v>
      </c>
    </row>
    <row r="256" spans="3:14">
      <c r="C256">
        <f>47.0</f>
        <v>0</v>
      </c>
      <c r="D256">
        <f>7.0</f>
        <v>0</v>
      </c>
      <c r="E256">
        <f>E201*-6.891</f>
        <v>0</v>
      </c>
      <c r="F256">
        <f>F201*-16.472</f>
        <v>0</v>
      </c>
      <c r="G256">
        <f>G201*-2.149</f>
        <v>0</v>
      </c>
      <c r="H256">
        <f>H201*0.0</f>
        <v>0</v>
      </c>
      <c r="I256">
        <f>I201*-26.426</f>
        <v>0</v>
      </c>
      <c r="J256">
        <f>J201*-79.676</f>
        <v>0</v>
      </c>
      <c r="K256">
        <f>K201*59.757</f>
        <v>0</v>
      </c>
      <c r="L256">
        <f>L201*17.602</f>
        <v>0</v>
      </c>
      <c r="M256">
        <f>M201*-43.413999999999994</f>
        <v>0</v>
      </c>
      <c r="N256">
        <f>E256+F256+G256+H256+I256+J256+K256+L256</f>
        <v>0</v>
      </c>
    </row>
    <row r="257" spans="3:14">
      <c r="C257">
        <f>48.0</f>
        <v>0</v>
      </c>
      <c r="D257">
        <f>8.0</f>
        <v>0</v>
      </c>
      <c r="E257">
        <f>E201*-5.492999999999999</f>
        <v>0</v>
      </c>
      <c r="F257">
        <f>F201*-24.524</f>
        <v>0</v>
      </c>
      <c r="G257">
        <f>G201*-3.487</f>
        <v>0</v>
      </c>
      <c r="H257">
        <f>H201*0.0</f>
        <v>0</v>
      </c>
      <c r="I257">
        <f>I201*-18.5</f>
        <v>0</v>
      </c>
      <c r="J257">
        <f>J201*132.954</f>
        <v>0</v>
      </c>
      <c r="K257">
        <f>K201*-99.71600000000001</f>
        <v>0</v>
      </c>
      <c r="L257">
        <f>L201*9.293</f>
        <v>0</v>
      </c>
      <c r="M257">
        <f>M201*-54.942</f>
        <v>0</v>
      </c>
      <c r="N257">
        <f>E257+F257+G257+H257+I257+J257+K257+L257</f>
        <v>0</v>
      </c>
    </row>
    <row r="258" spans="3:14">
      <c r="C258">
        <f>49.0</f>
        <v>0</v>
      </c>
      <c r="D258">
        <f>9.0</f>
        <v>0</v>
      </c>
      <c r="E258">
        <f>E201*-3.557</f>
        <v>0</v>
      </c>
      <c r="F258">
        <f>F201*-30.385</f>
        <v>0</v>
      </c>
      <c r="G258">
        <f>G201*-4.463</f>
        <v>0</v>
      </c>
      <c r="H258">
        <f>H201*0.0</f>
        <v>0</v>
      </c>
      <c r="I258">
        <f>I201*-11.047</f>
        <v>0</v>
      </c>
      <c r="J258">
        <f>J201*404.035</f>
        <v>0</v>
      </c>
      <c r="K258">
        <f>K201*-303.026</f>
        <v>0</v>
      </c>
      <c r="L258">
        <f>L201*6.399</f>
        <v>0</v>
      </c>
      <c r="M258">
        <f>M201*-64.699</f>
        <v>0</v>
      </c>
      <c r="N258">
        <f>E258+F258+G258+H258+I258+J258+K258+L258</f>
        <v>0</v>
      </c>
    </row>
    <row r="259" spans="3:14">
      <c r="C259">
        <f>50.0</f>
        <v>0</v>
      </c>
      <c r="D259">
        <f>10.0</f>
        <v>0</v>
      </c>
      <c r="E259">
        <f>E201*2.494</f>
        <v>0</v>
      </c>
      <c r="F259">
        <f>F201*-20.879</f>
        <v>0</v>
      </c>
      <c r="G259">
        <f>G201*-3.137</f>
        <v>0</v>
      </c>
      <c r="H259">
        <f>H201*0.0</f>
        <v>0</v>
      </c>
      <c r="I259">
        <f>I201*-4.617</f>
        <v>0</v>
      </c>
      <c r="J259">
        <f>J201*607.021</f>
        <v>0</v>
      </c>
      <c r="K259">
        <f>K201*-455.26599999999996</f>
        <v>0</v>
      </c>
      <c r="L259">
        <f>L201*9.168</f>
        <v>0</v>
      </c>
      <c r="M259">
        <f>M201*-59.373000000000005</f>
        <v>0</v>
      </c>
      <c r="N259">
        <f>E259+F259+G259+H259+I259+J259+K259+L259</f>
        <v>0</v>
      </c>
    </row>
    <row r="266" spans="3:14">
      <c r="C266" t="s">
        <v>0</v>
      </c>
      <c r="D266" t="s">
        <v>1</v>
      </c>
      <c r="E266" t="s">
        <v>2</v>
      </c>
      <c r="F266" t="s">
        <v>3</v>
      </c>
      <c r="G266" t="s">
        <v>4</v>
      </c>
      <c r="H266" t="s">
        <v>5</v>
      </c>
      <c r="I266" t="s">
        <v>6</v>
      </c>
      <c r="J266" t="s">
        <v>7</v>
      </c>
      <c r="K266" t="s">
        <v>8</v>
      </c>
      <c r="L266" t="s">
        <v>9</v>
      </c>
      <c r="M266" t="s">
        <v>10</v>
      </c>
      <c r="N266" t="s">
        <v>11</v>
      </c>
    </row>
    <row r="267" spans="3:14">
      <c r="C267">
        <f>0.0</f>
        <v>0</v>
      </c>
      <c r="D267">
        <f>0.0</f>
        <v>0</v>
      </c>
      <c r="E267">
        <f>E265*-25.864</f>
        <v>0</v>
      </c>
      <c r="F267">
        <f>F265*0.095</f>
        <v>0</v>
      </c>
      <c r="G267">
        <f>G265*1.709</f>
        <v>0</v>
      </c>
      <c r="H267">
        <f>H265*0.0</f>
        <v>0</v>
      </c>
      <c r="I267">
        <f>I265*0.18</f>
        <v>0</v>
      </c>
      <c r="J267">
        <f>J265*469.337</f>
        <v>0</v>
      </c>
      <c r="K267">
        <f>K265*-352.00300000000004</f>
        <v>0</v>
      </c>
      <c r="L267">
        <f>L265*450.00800000000004</f>
        <v>0</v>
      </c>
      <c r="M267">
        <f>M265*-436.405</f>
        <v>0</v>
      </c>
      <c r="N267">
        <f>E267+F267+G267+H267+I267+J267+K267+L267</f>
        <v>0</v>
      </c>
    </row>
    <row r="268" spans="3:14">
      <c r="C268">
        <f>1.0</f>
        <v>0</v>
      </c>
      <c r="D268">
        <f>1.0</f>
        <v>0</v>
      </c>
      <c r="E268">
        <f>E265*-25.406</f>
        <v>0</v>
      </c>
      <c r="F268">
        <f>F265*-19.069000000000003</f>
        <v>0</v>
      </c>
      <c r="G268">
        <f>G265*1.9180000000000001</f>
        <v>0</v>
      </c>
      <c r="H268">
        <f>H265*0.0</f>
        <v>0</v>
      </c>
      <c r="I268">
        <f>I265*0.174</f>
        <v>0</v>
      </c>
      <c r="J268">
        <f>J265*399.208</f>
        <v>0</v>
      </c>
      <c r="K268">
        <f>K265*-299.406</f>
        <v>0</v>
      </c>
      <c r="L268">
        <f>L265*439.43199999999996</f>
        <v>0</v>
      </c>
      <c r="M268">
        <f>M265*-428.783</f>
        <v>0</v>
      </c>
      <c r="N268">
        <f>E268+F268+G268+H268+I268+J268+K268+L268</f>
        <v>0</v>
      </c>
    </row>
    <row r="269" spans="3:14">
      <c r="C269">
        <f>2.0</f>
        <v>0</v>
      </c>
      <c r="D269">
        <f>2.0</f>
        <v>0</v>
      </c>
      <c r="E269">
        <f>E265*-23.124000000000002</f>
        <v>0</v>
      </c>
      <c r="F269">
        <f>F265*-32.117</f>
        <v>0</v>
      </c>
      <c r="G269">
        <f>G265*-3.38</f>
        <v>0</v>
      </c>
      <c r="H269">
        <f>H265*0.0</f>
        <v>0</v>
      </c>
      <c r="I269">
        <f>I265*0.163</f>
        <v>0</v>
      </c>
      <c r="J269">
        <f>J265*198.30599999999998</f>
        <v>0</v>
      </c>
      <c r="K269">
        <f>K265*-148.72899999999998</f>
        <v>0</v>
      </c>
      <c r="L269">
        <f>L265*403.82199999999995</f>
        <v>0</v>
      </c>
      <c r="M269">
        <f>M265*-422.68800000000005</f>
        <v>0</v>
      </c>
      <c r="N269">
        <f>E269+F269+G269+H269+I269+J269+K269+L269</f>
        <v>0</v>
      </c>
    </row>
    <row r="270" spans="3:14">
      <c r="C270">
        <f>3.0</f>
        <v>0</v>
      </c>
      <c r="D270">
        <f>3.0</f>
        <v>0</v>
      </c>
      <c r="E270">
        <f>E265*-19.112000000000002</f>
        <v>0</v>
      </c>
      <c r="F270">
        <f>F265*-51.833999999999996</f>
        <v>0</v>
      </c>
      <c r="G270">
        <f>G265*-6.57</f>
        <v>0</v>
      </c>
      <c r="H270">
        <f>H265*0.0</f>
        <v>0</v>
      </c>
      <c r="I270">
        <f>I265*0.154</f>
        <v>0</v>
      </c>
      <c r="J270">
        <f>J265*104.564</f>
        <v>0</v>
      </c>
      <c r="K270">
        <f>K265*-78.423</f>
        <v>0</v>
      </c>
      <c r="L270">
        <f>L265*374.83099999999996</f>
        <v>0</v>
      </c>
      <c r="M270">
        <f>M265*-432.663</f>
        <v>0</v>
      </c>
      <c r="N270">
        <f>E270+F270+G270+H270+I270+J270+K270+L270</f>
        <v>0</v>
      </c>
    </row>
    <row r="271" spans="3:14">
      <c r="C271">
        <f>4.0</f>
        <v>0</v>
      </c>
      <c r="D271">
        <f>4.0</f>
        <v>0</v>
      </c>
      <c r="E271">
        <f>E265*-13.856</f>
        <v>0</v>
      </c>
      <c r="F271">
        <f>F265*-73.098</f>
        <v>0</v>
      </c>
      <c r="G271">
        <f>G265*-10.067</f>
        <v>0</v>
      </c>
      <c r="H271">
        <f>H265*0.0</f>
        <v>0</v>
      </c>
      <c r="I271">
        <f>I265*0.146</f>
        <v>0</v>
      </c>
      <c r="J271">
        <f>J265*121.757</f>
        <v>0</v>
      </c>
      <c r="K271">
        <f>K265*-91.318</f>
        <v>0</v>
      </c>
      <c r="L271">
        <f>L265*353.35400000000004</f>
        <v>0</v>
      </c>
      <c r="M271">
        <f>M265*-442.341</f>
        <v>0</v>
      </c>
      <c r="N271">
        <f>E271+F271+G271+H271+I271+J271+K271+L271</f>
        <v>0</v>
      </c>
    </row>
    <row r="272" spans="3:14">
      <c r="C272">
        <f>5.0</f>
        <v>0</v>
      </c>
      <c r="D272">
        <f>5.0</f>
        <v>0</v>
      </c>
      <c r="E272">
        <f>E265*-8.95</f>
        <v>0</v>
      </c>
      <c r="F272">
        <f>F265*-71.928</f>
        <v>0</v>
      </c>
      <c r="G272">
        <f>G265*-10.179</f>
        <v>0</v>
      </c>
      <c r="H272">
        <f>H265*0.0</f>
        <v>0</v>
      </c>
      <c r="I272">
        <f>I265*0.136</f>
        <v>0</v>
      </c>
      <c r="J272">
        <f>J265*125.54299999999999</f>
        <v>0</v>
      </c>
      <c r="K272">
        <f>K265*-94.15700000000001</f>
        <v>0</v>
      </c>
      <c r="L272">
        <f>L265*330.409</f>
        <v>0</v>
      </c>
      <c r="M272">
        <f>M265*-433.44599999999997</f>
        <v>0</v>
      </c>
      <c r="N272">
        <f>E272+F272+G272+H272+I272+J272+K272+L272</f>
        <v>0</v>
      </c>
    </row>
    <row r="273" spans="3:14">
      <c r="C273">
        <f>6.0</f>
        <v>0</v>
      </c>
      <c r="D273">
        <f>6.0</f>
        <v>0</v>
      </c>
      <c r="E273">
        <f>E265*-7.952000000000001</f>
        <v>0</v>
      </c>
      <c r="F273">
        <f>F265*-72.727</f>
        <v>0</v>
      </c>
      <c r="G273">
        <f>G265*-10.334000000000001</f>
        <v>0</v>
      </c>
      <c r="H273">
        <f>H265*0.0</f>
        <v>0</v>
      </c>
      <c r="I273">
        <f>I265*0.129</f>
        <v>0</v>
      </c>
      <c r="J273">
        <f>J265*103.023</f>
        <v>0</v>
      </c>
      <c r="K273">
        <f>K265*-77.267</f>
        <v>0</v>
      </c>
      <c r="L273">
        <f>L265*320.684</f>
        <v>0</v>
      </c>
      <c r="M273">
        <f>M265*-414.98800000000006</f>
        <v>0</v>
      </c>
      <c r="N273">
        <f>E273+F273+G273+H273+I273+J273+K273+L273</f>
        <v>0</v>
      </c>
    </row>
    <row r="274" spans="3:14">
      <c r="C274">
        <f>7.0</f>
        <v>0</v>
      </c>
      <c r="D274">
        <f>7.0</f>
        <v>0</v>
      </c>
      <c r="E274">
        <f>E265*-8.712</f>
        <v>0</v>
      </c>
      <c r="F274">
        <f>F265*-79.314</f>
        <v>0</v>
      </c>
      <c r="G274">
        <f>G265*-11.259</f>
        <v>0</v>
      </c>
      <c r="H274">
        <f>H265*0.0</f>
        <v>0</v>
      </c>
      <c r="I274">
        <f>I265*0.11900000000000001</f>
        <v>0</v>
      </c>
      <c r="J274">
        <f>J265*39.646</f>
        <v>0</v>
      </c>
      <c r="K274">
        <f>K265*-29.734</f>
        <v>0</v>
      </c>
      <c r="L274">
        <f>L265*301.362</f>
        <v>0</v>
      </c>
      <c r="M274">
        <f>M265*-403.106</f>
        <v>0</v>
      </c>
      <c r="N274">
        <f>E274+F274+G274+H274+I274+J274+K274+L274</f>
        <v>0</v>
      </c>
    </row>
    <row r="275" spans="3:14">
      <c r="C275">
        <f>8.0</f>
        <v>0</v>
      </c>
      <c r="D275">
        <f>8.0</f>
        <v>0</v>
      </c>
      <c r="E275">
        <f>E265*-7.211</f>
        <v>0</v>
      </c>
      <c r="F275">
        <f>F265*-80.6</f>
        <v>0</v>
      </c>
      <c r="G275">
        <f>G265*-11.610999999999999</f>
        <v>0</v>
      </c>
      <c r="H275">
        <f>H265*0.0</f>
        <v>0</v>
      </c>
      <c r="I275">
        <f>I265*0.113</f>
        <v>0</v>
      </c>
      <c r="J275">
        <f>J265*17.542</f>
        <v>0</v>
      </c>
      <c r="K275">
        <f>K265*-13.155999999999999</f>
        <v>0</v>
      </c>
      <c r="L275">
        <f>L265*285.172</f>
        <v>0</v>
      </c>
      <c r="M275">
        <f>M265*-390.611</f>
        <v>0</v>
      </c>
      <c r="N275">
        <f>E275+F275+G275+H275+I275+J275+K275+L275</f>
        <v>0</v>
      </c>
    </row>
    <row r="276" spans="3:14">
      <c r="C276">
        <f>9.0</f>
        <v>0</v>
      </c>
      <c r="D276">
        <f>9.0</f>
        <v>0</v>
      </c>
      <c r="E276">
        <f>E265*-2.4090000000000003</f>
        <v>0</v>
      </c>
      <c r="F276">
        <f>F265*-88.465</f>
        <v>0</v>
      </c>
      <c r="G276">
        <f>G265*-13.065999999999999</f>
        <v>0</v>
      </c>
      <c r="H276">
        <f>H265*0.0</f>
        <v>0</v>
      </c>
      <c r="I276">
        <f>I265*0.105</f>
        <v>0</v>
      </c>
      <c r="J276">
        <f>J265*46.623000000000005</f>
        <v>0</v>
      </c>
      <c r="K276">
        <f>K265*-34.968</f>
        <v>0</v>
      </c>
      <c r="L276">
        <f>L265*266.48400000000004</f>
        <v>0</v>
      </c>
      <c r="M276">
        <f>M265*-382.534</f>
        <v>0</v>
      </c>
      <c r="N276">
        <f>E276+F276+G276+H276+I276+J276+K276+L276</f>
        <v>0</v>
      </c>
    </row>
    <row r="277" spans="3:14">
      <c r="C277">
        <f>10.0</f>
        <v>0</v>
      </c>
      <c r="D277">
        <f>10.0</f>
        <v>0</v>
      </c>
      <c r="E277">
        <f>E265*1.5859999999999999</f>
        <v>0</v>
      </c>
      <c r="F277">
        <f>F265*-91.669</f>
        <v>0</v>
      </c>
      <c r="G277">
        <f>G265*-13.630999999999998</f>
        <v>0</v>
      </c>
      <c r="H277">
        <f>H265*0.0</f>
        <v>0</v>
      </c>
      <c r="I277">
        <f>I265*0.096</f>
        <v>0</v>
      </c>
      <c r="J277">
        <f>J265*53.87</f>
        <v>0</v>
      </c>
      <c r="K277">
        <f>K265*-40.403</f>
        <v>0</v>
      </c>
      <c r="L277">
        <f>L265*245.74200000000002</f>
        <v>0</v>
      </c>
      <c r="M277">
        <f>M265*-375.343</f>
        <v>0</v>
      </c>
      <c r="N277">
        <f>E277+F277+G277+H277+I277+J277+K277+L277</f>
        <v>0</v>
      </c>
    </row>
    <row r="278" spans="3:14">
      <c r="C278">
        <f>11.0</f>
        <v>0</v>
      </c>
      <c r="D278">
        <f>11.0</f>
        <v>0</v>
      </c>
      <c r="E278">
        <f>E265*-1.959</f>
        <v>0</v>
      </c>
      <c r="F278">
        <f>F265*-94.848</f>
        <v>0</v>
      </c>
      <c r="G278">
        <f>G265*-13.981</f>
        <v>0</v>
      </c>
      <c r="H278">
        <f>H265*0.0</f>
        <v>0</v>
      </c>
      <c r="I278">
        <f>I265*0.08800000000000001</f>
        <v>0</v>
      </c>
      <c r="J278">
        <f>J265*41.263000000000005</f>
        <v>0</v>
      </c>
      <c r="K278">
        <f>K265*-30.947</f>
        <v>0</v>
      </c>
      <c r="L278">
        <f>L265*224.69099999999997</f>
        <v>0</v>
      </c>
      <c r="M278">
        <f>M265*-354.06199999999995</f>
        <v>0</v>
      </c>
      <c r="N278">
        <f>E278+F278+G278+H278+I278+J278+K278+L278</f>
        <v>0</v>
      </c>
    </row>
    <row r="279" spans="3:14">
      <c r="C279">
        <f>12.0</f>
        <v>0</v>
      </c>
      <c r="D279">
        <f>12.0</f>
        <v>0</v>
      </c>
      <c r="E279">
        <f>E265*-6.147</f>
        <v>0</v>
      </c>
      <c r="F279">
        <f>F265*-96.199</f>
        <v>0</v>
      </c>
      <c r="G279">
        <f>G265*-13.864</f>
        <v>0</v>
      </c>
      <c r="H279">
        <f>H265*0.0</f>
        <v>0</v>
      </c>
      <c r="I279">
        <f>I265*0.078</f>
        <v>0</v>
      </c>
      <c r="J279">
        <f>J265*-7.676</f>
        <v>0</v>
      </c>
      <c r="K279">
        <f>K265*5.757000000000001</f>
        <v>0</v>
      </c>
      <c r="L279">
        <f>L265*197.864</f>
        <v>0</v>
      </c>
      <c r="M279">
        <f>M265*-321.472</f>
        <v>0</v>
      </c>
      <c r="N279">
        <f>E279+F279+G279+H279+I279+J279+K279+L279</f>
        <v>0</v>
      </c>
    </row>
    <row r="280" spans="3:14">
      <c r="C280">
        <f>13.0</f>
        <v>0</v>
      </c>
      <c r="D280">
        <f>13.0</f>
        <v>0</v>
      </c>
      <c r="E280">
        <f>E265*-7.187</f>
        <v>0</v>
      </c>
      <c r="F280">
        <f>F265*-102.977</f>
        <v>0</v>
      </c>
      <c r="G280">
        <f>G265*-14.722999999999999</f>
        <v>0</v>
      </c>
      <c r="H280">
        <f>H265*0.0</f>
        <v>0</v>
      </c>
      <c r="I280">
        <f>I265*0.069</f>
        <v>0</v>
      </c>
      <c r="J280">
        <f>J265*-9.204</f>
        <v>0</v>
      </c>
      <c r="K280">
        <f>K265*6.903</f>
        <v>0</v>
      </c>
      <c r="L280">
        <f>L265*170.549</f>
        <v>0</v>
      </c>
      <c r="M280">
        <f>M265*-302.423</f>
        <v>0</v>
      </c>
      <c r="N280">
        <f>E280+F280+G280+H280+I280+J280+K280+L280</f>
        <v>0</v>
      </c>
    </row>
    <row r="281" spans="3:14">
      <c r="C281">
        <f>14.0</f>
        <v>0</v>
      </c>
      <c r="D281">
        <f>14.0</f>
        <v>0</v>
      </c>
      <c r="E281">
        <f>E265*-4.388</f>
        <v>0</v>
      </c>
      <c r="F281">
        <f>F265*-99.845</f>
        <v>0</v>
      </c>
      <c r="G281">
        <f>G265*-14.421</f>
        <v>0</v>
      </c>
      <c r="H281">
        <f>H265*0.0</f>
        <v>0</v>
      </c>
      <c r="I281">
        <f>I265*0.061</f>
        <v>0</v>
      </c>
      <c r="J281">
        <f>J265*33.128</f>
        <v>0</v>
      </c>
      <c r="K281">
        <f>K265*-24.846</f>
        <v>0</v>
      </c>
      <c r="L281">
        <f>L265*148.653</f>
        <v>0</v>
      </c>
      <c r="M281">
        <f>M265*-279.913</f>
        <v>0</v>
      </c>
      <c r="N281">
        <f>E281+F281+G281+H281+I281+J281+K281+L281</f>
        <v>0</v>
      </c>
    </row>
    <row r="282" spans="3:14">
      <c r="C282">
        <f>15.0</f>
        <v>0</v>
      </c>
      <c r="D282">
        <f>15.0</f>
        <v>0</v>
      </c>
      <c r="E282">
        <f>E265*-2.455</f>
        <v>0</v>
      </c>
      <c r="F282">
        <f>F265*-103.166</f>
        <v>0</v>
      </c>
      <c r="G282">
        <f>G265*-15.017999999999999</f>
        <v>0</v>
      </c>
      <c r="H282">
        <f>H265*0.0</f>
        <v>0</v>
      </c>
      <c r="I282">
        <f>I265*0.049</f>
        <v>0</v>
      </c>
      <c r="J282">
        <f>J265*41.718</f>
        <v>0</v>
      </c>
      <c r="K282">
        <f>K265*-31.289</f>
        <v>0</v>
      </c>
      <c r="L282">
        <f>L265*129.894</f>
        <v>0</v>
      </c>
      <c r="M282">
        <f>M265*-266.507</f>
        <v>0</v>
      </c>
      <c r="N282">
        <f>E282+F282+G282+H282+I282+J282+K282+L282</f>
        <v>0</v>
      </c>
    </row>
    <row r="283" spans="3:14">
      <c r="C283">
        <f>15.91</f>
        <v>0</v>
      </c>
      <c r="D283">
        <f>15.91</f>
        <v>0</v>
      </c>
      <c r="E283">
        <f>E265*-4.754</f>
        <v>0</v>
      </c>
      <c r="F283">
        <f>F265*-111.791</f>
        <v>0</v>
      </c>
      <c r="G283">
        <f>G265*-16.102</f>
        <v>0</v>
      </c>
      <c r="H283">
        <f>H265*0.0</f>
        <v>0</v>
      </c>
      <c r="I283">
        <f>I265*0.042</f>
        <v>0</v>
      </c>
      <c r="J283">
        <f>J265*26.628</f>
        <v>0</v>
      </c>
      <c r="K283">
        <f>K265*-19.971</f>
        <v>0</v>
      </c>
      <c r="L283">
        <f>L265*98.445</f>
        <v>0</v>
      </c>
      <c r="M283">
        <f>M265*-243.206</f>
        <v>0</v>
      </c>
      <c r="N283">
        <f>E283+F283+G283+H283+I283+J283+K283+L283</f>
        <v>0</v>
      </c>
    </row>
    <row r="284" spans="3:14">
      <c r="C284">
        <f>16.82</f>
        <v>0</v>
      </c>
      <c r="D284">
        <f>16.82</f>
        <v>0</v>
      </c>
      <c r="E284">
        <f>E265*-8.447000000000001</f>
        <v>0</v>
      </c>
      <c r="F284">
        <f>F265*-96.34700000000001</f>
        <v>0</v>
      </c>
      <c r="G284">
        <f>G265*-13.571</f>
        <v>0</v>
      </c>
      <c r="H284">
        <f>H265*0.0</f>
        <v>0</v>
      </c>
      <c r="I284">
        <f>I265*0.034</f>
        <v>0</v>
      </c>
      <c r="J284">
        <f>J265*-14.488</f>
        <v>0</v>
      </c>
      <c r="K284">
        <f>K265*10.866</f>
        <v>0</v>
      </c>
      <c r="L284">
        <f>L265*74.65</f>
        <v>0</v>
      </c>
      <c r="M284">
        <f>M265*-190.96400000000003</f>
        <v>0</v>
      </c>
      <c r="N284">
        <f>E284+F284+G284+H284+I284+J284+K284+L284</f>
        <v>0</v>
      </c>
    </row>
    <row r="285" spans="3:14">
      <c r="C285">
        <f>17.73</f>
        <v>0</v>
      </c>
      <c r="D285">
        <f>17.73</f>
        <v>0</v>
      </c>
      <c r="E285">
        <f>E265*-10.383</f>
        <v>0</v>
      </c>
      <c r="F285">
        <f>F265*-85.542</f>
        <v>0</v>
      </c>
      <c r="G285">
        <f>G265*-11.863</f>
        <v>0</v>
      </c>
      <c r="H285">
        <f>H265*0.0</f>
        <v>0</v>
      </c>
      <c r="I285">
        <f>I265*0.026000000000000002</f>
        <v>0</v>
      </c>
      <c r="J285">
        <f>J265*17.664</f>
        <v>0</v>
      </c>
      <c r="K285">
        <f>K265*-13.248</f>
        <v>0</v>
      </c>
      <c r="L285">
        <f>L265*48.107</f>
        <v>0</v>
      </c>
      <c r="M285">
        <f>M265*-146.415</f>
        <v>0</v>
      </c>
      <c r="N285">
        <f>E285+F285+G285+H285+I285+J285+K285+L285</f>
        <v>0</v>
      </c>
    </row>
    <row r="286" spans="3:14">
      <c r="C286">
        <f>18.64</f>
        <v>0</v>
      </c>
      <c r="D286">
        <f>18.64</f>
        <v>0</v>
      </c>
      <c r="E286">
        <f>E265*-9.215</f>
        <v>0</v>
      </c>
      <c r="F286">
        <f>F265*-68.167</f>
        <v>0</v>
      </c>
      <c r="G286">
        <f>G265*-9.45</f>
        <v>0</v>
      </c>
      <c r="H286">
        <f>H265*0.0</f>
        <v>0</v>
      </c>
      <c r="I286">
        <f>I265*0.016</f>
        <v>0</v>
      </c>
      <c r="J286">
        <f>J265*107.26</f>
        <v>0</v>
      </c>
      <c r="K286">
        <f>K265*-80.445</f>
        <v>0</v>
      </c>
      <c r="L286">
        <f>L265*23.348000000000003</f>
        <v>0</v>
      </c>
      <c r="M286">
        <f>M265*-103.89299999999999</f>
        <v>0</v>
      </c>
      <c r="N286">
        <f>E286+F286+G286+H286+I286+J286+K286+L286</f>
        <v>0</v>
      </c>
    </row>
    <row r="287" spans="3:14">
      <c r="C287">
        <f>19.55</f>
        <v>0</v>
      </c>
      <c r="D287">
        <f>19.55</f>
        <v>0</v>
      </c>
      <c r="E287">
        <f>E265*-3.335</f>
        <v>0</v>
      </c>
      <c r="F287">
        <f>F265*-19.908</f>
        <v>0</v>
      </c>
      <c r="G287">
        <f>G265*-2.713</f>
        <v>0</v>
      </c>
      <c r="H287">
        <f>H265*0.0</f>
        <v>0</v>
      </c>
      <c r="I287">
        <f>I265*0.0055060000000000005</f>
        <v>0</v>
      </c>
      <c r="J287">
        <f>J265*174.821</f>
        <v>0</v>
      </c>
      <c r="K287">
        <f>K265*-131.116</f>
        <v>0</v>
      </c>
      <c r="L287">
        <f>L265*12.605</f>
        <v>0</v>
      </c>
      <c r="M287">
        <f>M265*-33.311</f>
        <v>0</v>
      </c>
      <c r="N287">
        <f>E287+F287+G287+H287+I287+J287+K287+L287</f>
        <v>0</v>
      </c>
    </row>
    <row r="288" spans="3:14">
      <c r="C288">
        <f>20.0</f>
        <v>0</v>
      </c>
      <c r="D288">
        <f>20.0</f>
        <v>0</v>
      </c>
      <c r="E288">
        <f>E265*-2.14</f>
        <v>0</v>
      </c>
      <c r="F288">
        <f>F265*-17.980999999999998</f>
        <v>0</v>
      </c>
      <c r="G288">
        <f>G265*-2.544</f>
        <v>0</v>
      </c>
      <c r="H288">
        <f>H265*0.0</f>
        <v>0</v>
      </c>
      <c r="I288">
        <f>I265*0.0055060000000000005</f>
        <v>0</v>
      </c>
      <c r="J288">
        <f>J265*174.821</f>
        <v>0</v>
      </c>
      <c r="K288">
        <f>K265*-131.116</f>
        <v>0</v>
      </c>
      <c r="L288">
        <f>L265*5.432</f>
        <v>0</v>
      </c>
      <c r="M288">
        <f>M265*-25.386999999999997</f>
        <v>0</v>
      </c>
      <c r="N288">
        <f>E288+F288+G288+H288+I288+J288+K288+L288</f>
        <v>0</v>
      </c>
    </row>
    <row r="289" spans="3:14">
      <c r="C289">
        <f>20.0</f>
        <v>0</v>
      </c>
      <c r="D289">
        <f>0.0</f>
        <v>0</v>
      </c>
      <c r="E289">
        <f>E265*-1.849</f>
        <v>0</v>
      </c>
      <c r="F289">
        <f>F265*-19.75</f>
        <v>0</v>
      </c>
      <c r="G289">
        <f>G265*-2.8139999999999996</f>
        <v>0</v>
      </c>
      <c r="H289">
        <f>H265*0.0</f>
        <v>0</v>
      </c>
      <c r="I289">
        <f>I265*-0.5870000000000001</f>
        <v>0</v>
      </c>
      <c r="J289">
        <f>J265*170.627</f>
        <v>0</v>
      </c>
      <c r="K289">
        <f>K265*-127.97</f>
        <v>0</v>
      </c>
      <c r="L289">
        <f>L265*1.8840000000000001</f>
        <v>0</v>
      </c>
      <c r="M289">
        <f>M265*-29.258000000000003</f>
        <v>0</v>
      </c>
      <c r="N289">
        <f>E289+F289+G289+H289+I289+J289+K289+L289</f>
        <v>0</v>
      </c>
    </row>
    <row r="290" spans="3:14">
      <c r="C290">
        <f>20.45</f>
        <v>0</v>
      </c>
      <c r="D290">
        <f>0.45</f>
        <v>0</v>
      </c>
      <c r="E290">
        <f>E265*-5.649</f>
        <v>0</v>
      </c>
      <c r="F290">
        <f>F265*-19.75</f>
        <v>0</v>
      </c>
      <c r="G290">
        <f>G265*-2.8139999999999996</f>
        <v>0</v>
      </c>
      <c r="H290">
        <f>H265*0.0</f>
        <v>0</v>
      </c>
      <c r="I290">
        <f>I265*3.8680000000000003</f>
        <v>0</v>
      </c>
      <c r="J290">
        <f>J265*181.99200000000002</f>
        <v>0</v>
      </c>
      <c r="K290">
        <f>K265*-136.494</f>
        <v>0</v>
      </c>
      <c r="L290">
        <f>L265*50.276</f>
        <v>0</v>
      </c>
      <c r="M290">
        <f>M265*-50.496</f>
        <v>0</v>
      </c>
      <c r="N290">
        <f>E290+F290+G290+H290+I290+J290+K290+L290</f>
        <v>0</v>
      </c>
    </row>
    <row r="291" spans="3:14">
      <c r="C291">
        <f>21.36</f>
        <v>0</v>
      </c>
      <c r="D291">
        <f>1.36</f>
        <v>0</v>
      </c>
      <c r="E291">
        <f>E265*-11.397</f>
        <v>0</v>
      </c>
      <c r="F291">
        <f>F265*-52.523999999999994</f>
        <v>0</v>
      </c>
      <c r="G291">
        <f>G265*-7.053</f>
        <v>0</v>
      </c>
      <c r="H291">
        <f>H265*0.0</f>
        <v>0</v>
      </c>
      <c r="I291">
        <f>I265*3.658</f>
        <v>0</v>
      </c>
      <c r="J291">
        <f>J265*144.765</f>
        <v>0</v>
      </c>
      <c r="K291">
        <f>K265*-108.574</f>
        <v>0</v>
      </c>
      <c r="L291">
        <f>L265*45.531000000000006</f>
        <v>0</v>
      </c>
      <c r="M291">
        <f>M265*-95.432</f>
        <v>0</v>
      </c>
      <c r="N291">
        <f>E291+F291+G291+H291+I291+J291+K291+L291</f>
        <v>0</v>
      </c>
    </row>
    <row r="292" spans="3:14">
      <c r="C292">
        <f>22.27</f>
        <v>0</v>
      </c>
      <c r="D292">
        <f>2.27</f>
        <v>0</v>
      </c>
      <c r="E292">
        <f>E265*-12.624</f>
        <v>0</v>
      </c>
      <c r="F292">
        <f>F265*-72.861</f>
        <v>0</v>
      </c>
      <c r="G292">
        <f>G265*-9.882</f>
        <v>0</v>
      </c>
      <c r="H292">
        <f>H265*0.0</f>
        <v>0</v>
      </c>
      <c r="I292">
        <f>I265*2.9419999999999997</f>
        <v>0</v>
      </c>
      <c r="J292">
        <f>J265*53.726000000000006</f>
        <v>0</v>
      </c>
      <c r="K292">
        <f>K265*-40.294000000000004</f>
        <v>0</v>
      </c>
      <c r="L292">
        <f>L265*27.853</f>
        <v>0</v>
      </c>
      <c r="M292">
        <f>M265*-123.021</f>
        <v>0</v>
      </c>
      <c r="N292">
        <f>E292+F292+G292+H292+I292+J292+K292+L292</f>
        <v>0</v>
      </c>
    </row>
    <row r="293" spans="3:14">
      <c r="C293">
        <f>23.18</f>
        <v>0</v>
      </c>
      <c r="D293">
        <f>3.18</f>
        <v>0</v>
      </c>
      <c r="E293">
        <f>E265*-10.774000000000001</f>
        <v>0</v>
      </c>
      <c r="F293">
        <f>F265*-86.792</f>
        <v>0</v>
      </c>
      <c r="G293">
        <f>G265*-12.026</f>
        <v>0</v>
      </c>
      <c r="H293">
        <f>H265*0.0</f>
        <v>0</v>
      </c>
      <c r="I293">
        <f>I265*2.267</f>
        <v>0</v>
      </c>
      <c r="J293">
        <f>J265*24.31</f>
        <v>0</v>
      </c>
      <c r="K293">
        <f>K265*-18.232</f>
        <v>0</v>
      </c>
      <c r="L293">
        <f>L265*36.431999999999995</f>
        <v>0</v>
      </c>
      <c r="M293">
        <f>M265*-154.02</f>
        <v>0</v>
      </c>
      <c r="N293">
        <f>E293+F293+G293+H293+I293+J293+K293+L293</f>
        <v>0</v>
      </c>
    </row>
    <row r="294" spans="3:14">
      <c r="C294">
        <f>24.09</f>
        <v>0</v>
      </c>
      <c r="D294">
        <f>4.09</f>
        <v>0</v>
      </c>
      <c r="E294">
        <f>E265*-7.16</f>
        <v>0</v>
      </c>
      <c r="F294">
        <f>F265*-104.85799999999999</f>
        <v>0</v>
      </c>
      <c r="G294">
        <f>G265*-14.918</f>
        <v>0</v>
      </c>
      <c r="H294">
        <f>H265*0.0</f>
        <v>0</v>
      </c>
      <c r="I294">
        <f>I265*1.436</f>
        <v>0</v>
      </c>
      <c r="J294">
        <f>J265*62.733000000000004</f>
        <v>0</v>
      </c>
      <c r="K294">
        <f>K265*-47.05</f>
        <v>0</v>
      </c>
      <c r="L294">
        <f>L265*45.343</f>
        <v>0</v>
      </c>
      <c r="M294">
        <f>M265*-190.395</f>
        <v>0</v>
      </c>
      <c r="N294">
        <f>E294+F294+G294+H294+I294+J294+K294+L294</f>
        <v>0</v>
      </c>
    </row>
    <row r="295" spans="3:14">
      <c r="C295">
        <f>25.0</f>
        <v>0</v>
      </c>
      <c r="D295">
        <f>5.0</f>
        <v>0</v>
      </c>
      <c r="E295">
        <f>E265*-4.976</f>
        <v>0</v>
      </c>
      <c r="F295">
        <f>F265*-100.15799999999999</f>
        <v>0</v>
      </c>
      <c r="G295">
        <f>G265*-14.383</f>
        <v>0</v>
      </c>
      <c r="H295">
        <f>H265*0.0</f>
        <v>0</v>
      </c>
      <c r="I295">
        <f>I265*0.361</f>
        <v>0</v>
      </c>
      <c r="J295">
        <f>J265*77.607</f>
        <v>0</v>
      </c>
      <c r="K295">
        <f>K265*-58.205</f>
        <v>0</v>
      </c>
      <c r="L295">
        <f>L265*57.891000000000005</f>
        <v>0</v>
      </c>
      <c r="M295">
        <f>M265*-198.34</f>
        <v>0</v>
      </c>
      <c r="N295">
        <f>E295+F295+G295+H295+I295+J295+K295+L295</f>
        <v>0</v>
      </c>
    </row>
    <row r="296" spans="3:14">
      <c r="C296">
        <f>26.0</f>
        <v>0</v>
      </c>
      <c r="D296">
        <f>6.0</f>
        <v>0</v>
      </c>
      <c r="E296">
        <f>E265*-6.95</f>
        <v>0</v>
      </c>
      <c r="F296">
        <f>F265*-101.456</f>
        <v>0</v>
      </c>
      <c r="G296">
        <f>G265*-14.437000000000001</f>
        <v>0</v>
      </c>
      <c r="H296">
        <f>H265*0.0</f>
        <v>0</v>
      </c>
      <c r="I296">
        <f>I265*-1.09</f>
        <v>0</v>
      </c>
      <c r="J296">
        <f>J265*68.502</f>
        <v>0</v>
      </c>
      <c r="K296">
        <f>K265*-51.376999999999995</f>
        <v>0</v>
      </c>
      <c r="L296">
        <f>L265*57.352</f>
        <v>0</v>
      </c>
      <c r="M296">
        <f>M265*-191.68200000000002</f>
        <v>0</v>
      </c>
      <c r="N296">
        <f>E296+F296+G296+H296+I296+J296+K296+L296</f>
        <v>0</v>
      </c>
    </row>
    <row r="297" spans="3:14">
      <c r="C297">
        <f>27.0</f>
        <v>0</v>
      </c>
      <c r="D297">
        <f>7.0</f>
        <v>0</v>
      </c>
      <c r="E297">
        <f>E265*-9.651</f>
        <v>0</v>
      </c>
      <c r="F297">
        <f>F265*-108.281</f>
        <v>0</v>
      </c>
      <c r="G297">
        <f>G265*-15.262</f>
        <v>0</v>
      </c>
      <c r="H297">
        <f>H265*0.0</f>
        <v>0</v>
      </c>
      <c r="I297">
        <f>I265*-2.097</f>
        <v>0</v>
      </c>
      <c r="J297">
        <f>J265*31.69</f>
        <v>0</v>
      </c>
      <c r="K297">
        <f>K265*-23.767</f>
        <v>0</v>
      </c>
      <c r="L297">
        <f>L265*53.871</f>
        <v>0</v>
      </c>
      <c r="M297">
        <f>M265*-194.51</f>
        <v>0</v>
      </c>
      <c r="N297">
        <f>E297+F297+G297+H297+I297+J297+K297+L297</f>
        <v>0</v>
      </c>
    </row>
    <row r="298" spans="3:14">
      <c r="C298">
        <f>28.0</f>
        <v>0</v>
      </c>
      <c r="D298">
        <f>8.0</f>
        <v>0</v>
      </c>
      <c r="E298">
        <f>E265*-8.64</f>
        <v>0</v>
      </c>
      <c r="F298">
        <f>F265*-106.117</f>
        <v>0</v>
      </c>
      <c r="G298">
        <f>G265*-15.06</f>
        <v>0</v>
      </c>
      <c r="H298">
        <f>H265*0.0</f>
        <v>0</v>
      </c>
      <c r="I298">
        <f>I265*-3.4160000000000004</f>
        <v>0</v>
      </c>
      <c r="J298">
        <f>J265*31.689</f>
        <v>0</v>
      </c>
      <c r="K298">
        <f>K265*-23.767</f>
        <v>0</v>
      </c>
      <c r="L298">
        <f>L265*56.574</f>
        <v>0</v>
      </c>
      <c r="M298">
        <f>M265*-193.99900000000002</f>
        <v>0</v>
      </c>
      <c r="N298">
        <f>E298+F298+G298+H298+I298+J298+K298+L298</f>
        <v>0</v>
      </c>
    </row>
    <row r="299" spans="3:14">
      <c r="C299">
        <f>29.0</f>
        <v>0</v>
      </c>
      <c r="D299">
        <f>9.0</f>
        <v>0</v>
      </c>
      <c r="E299">
        <f>E265*-4.306</f>
        <v>0</v>
      </c>
      <c r="F299">
        <f>F265*-109.311</f>
        <v>0</v>
      </c>
      <c r="G299">
        <f>G265*-15.837</f>
        <v>0</v>
      </c>
      <c r="H299">
        <f>H265*0.0</f>
        <v>0</v>
      </c>
      <c r="I299">
        <f>I265*-4.87</f>
        <v>0</v>
      </c>
      <c r="J299">
        <f>J265*65.45100000000001</f>
        <v>0</v>
      </c>
      <c r="K299">
        <f>K265*-49.088</f>
        <v>0</v>
      </c>
      <c r="L299">
        <f>L265*62.115</f>
        <v>0</v>
      </c>
      <c r="M299">
        <f>M265*-208.695</f>
        <v>0</v>
      </c>
      <c r="N299">
        <f>E299+F299+G299+H299+I299+J299+K299+L299</f>
        <v>0</v>
      </c>
    </row>
    <row r="300" spans="3:14">
      <c r="C300">
        <f>30.0</f>
        <v>0</v>
      </c>
      <c r="D300">
        <f>10.0</f>
        <v>0</v>
      </c>
      <c r="E300">
        <f>E265*-0.475</f>
        <v>0</v>
      </c>
      <c r="F300">
        <f>F265*-108.837</f>
        <v>0</v>
      </c>
      <c r="G300">
        <f>G265*-15.879000000000001</f>
        <v>0</v>
      </c>
      <c r="H300">
        <f>H265*0.0</f>
        <v>0</v>
      </c>
      <c r="I300">
        <f>I265*-6.183</f>
        <v>0</v>
      </c>
      <c r="J300">
        <f>J265*74.127</f>
        <v>0</v>
      </c>
      <c r="K300">
        <f>K265*-55.595</f>
        <v>0</v>
      </c>
      <c r="L300">
        <f>L265*64.081</f>
        <v>0</v>
      </c>
      <c r="M300">
        <f>M265*-211.75</f>
        <v>0</v>
      </c>
      <c r="N300">
        <f>E300+F300+G300+H300+I300+J300+K300+L300</f>
        <v>0</v>
      </c>
    </row>
    <row r="301" spans="3:14">
      <c r="C301">
        <f>31.0</f>
        <v>0</v>
      </c>
      <c r="D301">
        <f>11.0</f>
        <v>0</v>
      </c>
      <c r="E301">
        <f>E265*-3.8819999999999997</f>
        <v>0</v>
      </c>
      <c r="F301">
        <f>F265*-109.008</f>
        <v>0</v>
      </c>
      <c r="G301">
        <f>G265*-15.802999999999999</f>
        <v>0</v>
      </c>
      <c r="H301">
        <f>H265*0.0</f>
        <v>0</v>
      </c>
      <c r="I301">
        <f>I265*-7.893</f>
        <v>0</v>
      </c>
      <c r="J301">
        <f>J265*63.423</f>
        <v>0</v>
      </c>
      <c r="K301">
        <f>K265*-47.567</f>
        <v>0</v>
      </c>
      <c r="L301">
        <f>L265*61.552</f>
        <v>0</v>
      </c>
      <c r="M301">
        <f>M265*-206.808</f>
        <v>0</v>
      </c>
      <c r="N301">
        <f>E301+F301+G301+H301+I301+J301+K301+L301</f>
        <v>0</v>
      </c>
    </row>
    <row r="302" spans="3:14">
      <c r="C302">
        <f>32.0</f>
        <v>0</v>
      </c>
      <c r="D302">
        <f>12.0</f>
        <v>0</v>
      </c>
      <c r="E302">
        <f>E265*-7.856</f>
        <v>0</v>
      </c>
      <c r="F302">
        <f>F265*-105.64299999999999</f>
        <v>0</v>
      </c>
      <c r="G302">
        <f>G265*-15.015</f>
        <v>0</v>
      </c>
      <c r="H302">
        <f>H265*0.0</f>
        <v>0</v>
      </c>
      <c r="I302">
        <f>I265*-9.227</f>
        <v>0</v>
      </c>
      <c r="J302">
        <f>J265*26.554000000000002</f>
        <v>0</v>
      </c>
      <c r="K302">
        <f>K265*-19.915</f>
        <v>0</v>
      </c>
      <c r="L302">
        <f>L265*53.736000000000004</f>
        <v>0</v>
      </c>
      <c r="M302">
        <f>M265*-189.50599999999997</f>
        <v>0</v>
      </c>
      <c r="N302">
        <f>E302+F302+G302+H302+I302+J302+K302+L302</f>
        <v>0</v>
      </c>
    </row>
    <row r="303" spans="3:14">
      <c r="C303">
        <f>33.0</f>
        <v>0</v>
      </c>
      <c r="D303">
        <f>13.0</f>
        <v>0</v>
      </c>
      <c r="E303">
        <f>E265*-8.681000000000001</f>
        <v>0</v>
      </c>
      <c r="F303">
        <f>F265*-108.234</f>
        <v>0</v>
      </c>
      <c r="G303">
        <f>G265*-15.294</f>
        <v>0</v>
      </c>
      <c r="H303">
        <f>H265*0.0</f>
        <v>0</v>
      </c>
      <c r="I303">
        <f>I265*-9.724</f>
        <v>0</v>
      </c>
      <c r="J303">
        <f>J265*20.781</f>
        <v>0</v>
      </c>
      <c r="K303">
        <f>K265*-15.585999999999999</f>
        <v>0</v>
      </c>
      <c r="L303">
        <f>L265*49.683</f>
        <v>0</v>
      </c>
      <c r="M303">
        <f>M265*-189.31400000000002</f>
        <v>0</v>
      </c>
      <c r="N303">
        <f>E303+F303+G303+H303+I303+J303+K303+L303</f>
        <v>0</v>
      </c>
    </row>
    <row r="304" spans="3:14">
      <c r="C304">
        <f>34.0</f>
        <v>0</v>
      </c>
      <c r="D304">
        <f>14.0</f>
        <v>0</v>
      </c>
      <c r="E304">
        <f>E265*-5.636</f>
        <v>0</v>
      </c>
      <c r="F304">
        <f>F265*-102.95</f>
        <v>0</v>
      </c>
      <c r="G304">
        <f>G265*-14.708</f>
        <v>0</v>
      </c>
      <c r="H304">
        <f>H265*0.0</f>
        <v>0</v>
      </c>
      <c r="I304">
        <f>I265*-9.718</f>
        <v>0</v>
      </c>
      <c r="J304">
        <f>J265*52.461999999999996</f>
        <v>0</v>
      </c>
      <c r="K304">
        <f>K265*-39.346</f>
        <v>0</v>
      </c>
      <c r="L304">
        <f>L265*53.833</f>
        <v>0</v>
      </c>
      <c r="M304">
        <f>M265*-187.52599999999998</f>
        <v>0</v>
      </c>
      <c r="N304">
        <f>E304+F304+G304+H304+I304+J304+K304+L304</f>
        <v>0</v>
      </c>
    </row>
    <row r="305" spans="3:14">
      <c r="C305">
        <f>35.0</f>
        <v>0</v>
      </c>
      <c r="D305">
        <f>15.0</f>
        <v>0</v>
      </c>
      <c r="E305">
        <f>E265*-3.3</f>
        <v>0</v>
      </c>
      <c r="F305">
        <f>F265*-103.572</f>
        <v>0</v>
      </c>
      <c r="G305">
        <f>G265*-14.95</f>
        <v>0</v>
      </c>
      <c r="H305">
        <f>H265*0.0</f>
        <v>0</v>
      </c>
      <c r="I305">
        <f>I265*-10.593</f>
        <v>0</v>
      </c>
      <c r="J305">
        <f>J265*59.038999999999994</f>
        <v>0</v>
      </c>
      <c r="K305">
        <f>K265*-44.278999999999996</f>
        <v>0</v>
      </c>
      <c r="L305">
        <f>L265*54.32</f>
        <v>0</v>
      </c>
      <c r="M305">
        <f>M265*-194.96400000000003</f>
        <v>0</v>
      </c>
      <c r="N305">
        <f>E305+F305+G305+H305+I305+J305+K305+L305</f>
        <v>0</v>
      </c>
    </row>
    <row r="306" spans="3:14">
      <c r="C306">
        <f>35.91</f>
        <v>0</v>
      </c>
      <c r="D306">
        <f>15.91</f>
        <v>0</v>
      </c>
      <c r="E306">
        <f>E265*-5.0969999999999995</f>
        <v>0</v>
      </c>
      <c r="F306">
        <f>F265*-108.749</f>
        <v>0</v>
      </c>
      <c r="G306">
        <f>G265*-15.57</f>
        <v>0</v>
      </c>
      <c r="H306">
        <f>H265*0.0</f>
        <v>0</v>
      </c>
      <c r="I306">
        <f>I265*-12.672</f>
        <v>0</v>
      </c>
      <c r="J306">
        <f>J265*40.177</f>
        <v>0</v>
      </c>
      <c r="K306">
        <f>K265*-30.133000000000003</f>
        <v>0</v>
      </c>
      <c r="L306">
        <f>L265*42.74100000000001</f>
        <v>0</v>
      </c>
      <c r="M306">
        <f>M265*-187.136</f>
        <v>0</v>
      </c>
      <c r="N306">
        <f>E306+F306+G306+H306+I306+J306+K306+L306</f>
        <v>0</v>
      </c>
    </row>
    <row r="307" spans="3:14">
      <c r="C307">
        <f>36.82</f>
        <v>0</v>
      </c>
      <c r="D307">
        <f>16.82</f>
        <v>0</v>
      </c>
      <c r="E307">
        <f>E265*-8.407</f>
        <v>0</v>
      </c>
      <c r="F307">
        <f>F265*-90.78200000000001</f>
        <v>0</v>
      </c>
      <c r="G307">
        <f>G265*-12.705</f>
        <v>0</v>
      </c>
      <c r="H307">
        <f>H265*0.0</f>
        <v>0</v>
      </c>
      <c r="I307">
        <f>I265*-13.785</f>
        <v>0</v>
      </c>
      <c r="J307">
        <f>J265*-5.938</f>
        <v>0</v>
      </c>
      <c r="K307">
        <f>K265*4.454</f>
        <v>0</v>
      </c>
      <c r="L307">
        <f>L265*32.148</f>
        <v>0</v>
      </c>
      <c r="M307">
        <f>M265*-149.967</f>
        <v>0</v>
      </c>
      <c r="N307">
        <f>E307+F307+G307+H307+I307+J307+K307+L307</f>
        <v>0</v>
      </c>
    </row>
    <row r="308" spans="3:14">
      <c r="C308">
        <f>37.73</f>
        <v>0</v>
      </c>
      <c r="D308">
        <f>17.73</f>
        <v>0</v>
      </c>
      <c r="E308">
        <f>E265*-10.061</f>
        <v>0</v>
      </c>
      <c r="F308">
        <f>F265*-78.77</f>
        <v>0</v>
      </c>
      <c r="G308">
        <f>G265*-10.85</f>
        <v>0</v>
      </c>
      <c r="H308">
        <f>H265*0.0</f>
        <v>0</v>
      </c>
      <c r="I308">
        <f>I265*-13.139000000000001</f>
        <v>0</v>
      </c>
      <c r="J308">
        <f>J265*22.712</f>
        <v>0</v>
      </c>
      <c r="K308">
        <f>K265*-17.034000000000002</f>
        <v>0</v>
      </c>
      <c r="L308">
        <f>L265*21.044</f>
        <v>0</v>
      </c>
      <c r="M308">
        <f>M265*-118.844</f>
        <v>0</v>
      </c>
      <c r="N308">
        <f>E308+F308+G308+H308+I308+J308+K308+L308</f>
        <v>0</v>
      </c>
    </row>
    <row r="309" spans="3:14">
      <c r="C309">
        <f>38.64</f>
        <v>0</v>
      </c>
      <c r="D309">
        <f>18.64</f>
        <v>0</v>
      </c>
      <c r="E309">
        <f>E265*-8.861</f>
        <v>0</v>
      </c>
      <c r="F309">
        <f>F265*-62.818000000000005</f>
        <v>0</v>
      </c>
      <c r="G309">
        <f>G265*-8.663</f>
        <v>0</v>
      </c>
      <c r="H309">
        <f>H265*0.0</f>
        <v>0</v>
      </c>
      <c r="I309">
        <f>I265*-8.833</f>
        <v>0</v>
      </c>
      <c r="J309">
        <f>J265*109.273</f>
        <v>0</v>
      </c>
      <c r="K309">
        <f>K265*-81.954</f>
        <v>0</v>
      </c>
      <c r="L309">
        <f>L265*12.31</f>
        <v>0</v>
      </c>
      <c r="M309">
        <f>M265*-91.104</f>
        <v>0</v>
      </c>
      <c r="N309">
        <f>E309+F309+G309+H309+I309+J309+K309+L309</f>
        <v>0</v>
      </c>
    </row>
    <row r="310" spans="3:14">
      <c r="C310">
        <f>39.55</f>
        <v>0</v>
      </c>
      <c r="D310">
        <f>19.55</f>
        <v>0</v>
      </c>
      <c r="E310">
        <f>E265*-3.198</f>
        <v>0</v>
      </c>
      <c r="F310">
        <f>F265*-18.053</f>
        <v>0</v>
      </c>
      <c r="G310">
        <f>G265*-2.443</f>
        <v>0</v>
      </c>
      <c r="H310">
        <f>H265*0.0</f>
        <v>0</v>
      </c>
      <c r="I310">
        <f>I265*-3.343</f>
        <v>0</v>
      </c>
      <c r="J310">
        <f>J265*174.982</f>
        <v>0</v>
      </c>
      <c r="K310">
        <f>K265*-131.237</f>
        <v>0</v>
      </c>
      <c r="L310">
        <f>L265*8.341000000000001</f>
        <v>0</v>
      </c>
      <c r="M310">
        <f>M265*-29.3</f>
        <v>0</v>
      </c>
      <c r="N310">
        <f>E310+F310+G310+H310+I310+J310+K310+L310</f>
        <v>0</v>
      </c>
    </row>
    <row r="311" spans="3:14">
      <c r="C311">
        <f>40.0</f>
        <v>0</v>
      </c>
      <c r="D311">
        <f>20.0</f>
        <v>0</v>
      </c>
      <c r="E311">
        <f>E265*-2.05</f>
        <v>0</v>
      </c>
      <c r="F311">
        <f>F265*-17.004</f>
        <v>0</v>
      </c>
      <c r="G311">
        <f>G265*-2.404</f>
        <v>0</v>
      </c>
      <c r="H311">
        <f>H265*0.0</f>
        <v>0</v>
      </c>
      <c r="I311">
        <f>I265*-1.124</f>
        <v>0</v>
      </c>
      <c r="J311">
        <f>J265*174.982</f>
        <v>0</v>
      </c>
      <c r="K311">
        <f>K265*-131.237</f>
        <v>0</v>
      </c>
      <c r="L311">
        <f>L265*5.526</f>
        <v>0</v>
      </c>
      <c r="M311">
        <f>M265*-25.158</f>
        <v>0</v>
      </c>
      <c r="N311">
        <f>E311+F311+G311+H311+I311+J311+K311+L311</f>
        <v>0</v>
      </c>
    </row>
    <row r="312" spans="3:14">
      <c r="C312">
        <f>40.0</f>
        <v>0</v>
      </c>
      <c r="D312">
        <f>0.0</f>
        <v>0</v>
      </c>
      <c r="E312">
        <f>E265*-1.3880000000000001</f>
        <v>0</v>
      </c>
      <c r="F312">
        <f>F265*-11.137</f>
        <v>0</v>
      </c>
      <c r="G312">
        <f>G265*-1.568</f>
        <v>0</v>
      </c>
      <c r="H312">
        <f>H265*0.0</f>
        <v>0</v>
      </c>
      <c r="I312">
        <f>I265*0.051</f>
        <v>0</v>
      </c>
      <c r="J312">
        <f>J265*165.076</f>
        <v>0</v>
      </c>
      <c r="K312">
        <f>K265*-123.807</f>
        <v>0</v>
      </c>
      <c r="L312">
        <f>L265*1.207</f>
        <v>0</v>
      </c>
      <c r="M312">
        <f>M265*-20.791</f>
        <v>0</v>
      </c>
      <c r="N312">
        <f>E312+F312+G312+H312+I312+J312+K312+L312</f>
        <v>0</v>
      </c>
    </row>
    <row r="313" spans="3:14">
      <c r="C313">
        <f>40.45</f>
        <v>0</v>
      </c>
      <c r="D313">
        <f>0.45</f>
        <v>0</v>
      </c>
      <c r="E313">
        <f>E265*-4.178</f>
        <v>0</v>
      </c>
      <c r="F313">
        <f>F265*-11.137</f>
        <v>0</v>
      </c>
      <c r="G313">
        <f>G265*-1.568</f>
        <v>0</v>
      </c>
      <c r="H313">
        <f>H265*0.0</f>
        <v>0</v>
      </c>
      <c r="I313">
        <f>I265*-6.609</f>
        <v>0</v>
      </c>
      <c r="J313">
        <f>J265*165.076</f>
        <v>0</v>
      </c>
      <c r="K313">
        <f>K265*-123.807</f>
        <v>0</v>
      </c>
      <c r="L313">
        <f>L265*28.685</f>
        <v>0</v>
      </c>
      <c r="M313">
        <f>M265*-34.188</f>
        <v>0</v>
      </c>
      <c r="N313">
        <f>E313+F313+G313+H313+I313+J313+K313+L313</f>
        <v>0</v>
      </c>
    </row>
    <row r="314" spans="3:14">
      <c r="C314">
        <f>41.36</f>
        <v>0</v>
      </c>
      <c r="D314">
        <f>1.36</f>
        <v>0</v>
      </c>
      <c r="E314">
        <f>E265*-7.234</f>
        <v>0</v>
      </c>
      <c r="F314">
        <f>F265*-26.94</f>
        <v>0</v>
      </c>
      <c r="G314">
        <f>G265*-3.536</f>
        <v>0</v>
      </c>
      <c r="H314">
        <f>H265*0.0</f>
        <v>0</v>
      </c>
      <c r="I314">
        <f>I265*-4.861000000000001</f>
        <v>0</v>
      </c>
      <c r="J314">
        <f>J265*104.309</f>
        <v>0</v>
      </c>
      <c r="K314">
        <f>K265*-78.232</f>
        <v>0</v>
      </c>
      <c r="L314">
        <f>L265*24.412</f>
        <v>0</v>
      </c>
      <c r="M314">
        <f>M265*-63.49100000000001</f>
        <v>0</v>
      </c>
      <c r="N314">
        <f>E314+F314+G314+H314+I314+J314+K314+L314</f>
        <v>0</v>
      </c>
    </row>
    <row r="315" spans="3:14">
      <c r="C315">
        <f>42.27</f>
        <v>0</v>
      </c>
      <c r="D315">
        <f>2.27</f>
        <v>0</v>
      </c>
      <c r="E315">
        <f>E265*-7.39</f>
        <v>0</v>
      </c>
      <c r="F315">
        <f>F265*-41.448</f>
        <v>0</v>
      </c>
      <c r="G315">
        <f>G265*-5.604</f>
        <v>0</v>
      </c>
      <c r="H315">
        <f>H265*0.0</f>
        <v>0</v>
      </c>
      <c r="I315">
        <f>I265*11.169</f>
        <v>0</v>
      </c>
      <c r="J315">
        <f>J265*-31.64</f>
        <v>0</v>
      </c>
      <c r="K315">
        <f>K265*23.73</f>
        <v>0</v>
      </c>
      <c r="L315">
        <f>L265*15.091</f>
        <v>0</v>
      </c>
      <c r="M315">
        <f>M265*-85.876</f>
        <v>0</v>
      </c>
      <c r="N315">
        <f>E315+F315+G315+H315+I315+J315+K315+L315</f>
        <v>0</v>
      </c>
    </row>
    <row r="316" spans="3:14">
      <c r="C316">
        <f>43.18</f>
        <v>0</v>
      </c>
      <c r="D316">
        <f>3.18</f>
        <v>0</v>
      </c>
      <c r="E316">
        <f>E265*-6.018</f>
        <v>0</v>
      </c>
      <c r="F316">
        <f>F265*-50.54600000000001</f>
        <v>0</v>
      </c>
      <c r="G316">
        <f>G265*-7.091</f>
        <v>0</v>
      </c>
      <c r="H316">
        <f>H265*0.0</f>
        <v>0</v>
      </c>
      <c r="I316">
        <f>I265*33.842</f>
        <v>0</v>
      </c>
      <c r="J316">
        <f>J265*-50.418</f>
        <v>0</v>
      </c>
      <c r="K316">
        <f>K265*37.813</f>
        <v>0</v>
      </c>
      <c r="L316">
        <f>L265*19.592</f>
        <v>0</v>
      </c>
      <c r="M316">
        <f>M265*-108.45700000000001</f>
        <v>0</v>
      </c>
      <c r="N316">
        <f>E316+F316+G316+H316+I316+J316+K316+L316</f>
        <v>0</v>
      </c>
    </row>
    <row r="317" spans="3:14">
      <c r="C317">
        <f>44.09</f>
        <v>0</v>
      </c>
      <c r="D317">
        <f>4.09</f>
        <v>0</v>
      </c>
      <c r="E317">
        <f>E265*-2.56</f>
        <v>0</v>
      </c>
      <c r="F317">
        <f>F265*-53.251000000000005</f>
        <v>0</v>
      </c>
      <c r="G317">
        <f>G265*-7.789</f>
        <v>0</v>
      </c>
      <c r="H317">
        <f>H265*0.0</f>
        <v>0</v>
      </c>
      <c r="I317">
        <f>I265*60.003</f>
        <v>0</v>
      </c>
      <c r="J317">
        <f>J265*-39.198</f>
        <v>0</v>
      </c>
      <c r="K317">
        <f>K265*29.398000000000003</f>
        <v>0</v>
      </c>
      <c r="L317">
        <f>L265*26.138</f>
        <v>0</v>
      </c>
      <c r="M317">
        <f>M265*-124.691</f>
        <v>0</v>
      </c>
      <c r="N317">
        <f>E317+F317+G317+H317+I317+J317+K317+L317</f>
        <v>0</v>
      </c>
    </row>
    <row r="318" spans="3:14">
      <c r="C318">
        <f>45.0</f>
        <v>0</v>
      </c>
      <c r="D318">
        <f>5.0</f>
        <v>0</v>
      </c>
      <c r="E318">
        <f>E265*0.9840000000000001</f>
        <v>0</v>
      </c>
      <c r="F318">
        <f>F265*-52.258</f>
        <v>0</v>
      </c>
      <c r="G318">
        <f>G265*-7.763999999999999</f>
        <v>0</v>
      </c>
      <c r="H318">
        <f>H265*0.0</f>
        <v>0</v>
      </c>
      <c r="I318">
        <f>I265*68.419</f>
        <v>0</v>
      </c>
      <c r="J318">
        <f>J265*-34.661</f>
        <v>0</v>
      </c>
      <c r="K318">
        <f>K265*25.995</f>
        <v>0</v>
      </c>
      <c r="L318">
        <f>L265*28.223000000000003</f>
        <v>0</v>
      </c>
      <c r="M318">
        <f>M265*-125.697</f>
        <v>0</v>
      </c>
      <c r="N318">
        <f>E318+F318+G318+H318+I318+J318+K318+L318</f>
        <v>0</v>
      </c>
    </row>
    <row r="319" spans="3:14">
      <c r="C319">
        <f>46.0</f>
        <v>0</v>
      </c>
      <c r="D319">
        <f>6.0</f>
        <v>0</v>
      </c>
      <c r="E319">
        <f>E265*-0.873</f>
        <v>0</v>
      </c>
      <c r="F319">
        <f>F265*-50.338</f>
        <v>0</v>
      </c>
      <c r="G319">
        <f>G265*-7.507999999999999</f>
        <v>0</v>
      </c>
      <c r="H319">
        <f>H265*0.0</f>
        <v>0</v>
      </c>
      <c r="I319">
        <f>I265*64.889</f>
        <v>0</v>
      </c>
      <c r="J319">
        <f>J265*-90.484</f>
        <v>0</v>
      </c>
      <c r="K319">
        <f>K265*67.863</f>
        <v>0</v>
      </c>
      <c r="L319">
        <f>L265*26.663</f>
        <v>0</v>
      </c>
      <c r="M319">
        <f>M265*-123.046</f>
        <v>0</v>
      </c>
      <c r="N319">
        <f>E319+F319+G319+H319+I319+J319+K319+L319</f>
        <v>0</v>
      </c>
    </row>
    <row r="320" spans="3:14">
      <c r="C320">
        <f>47.0</f>
        <v>0</v>
      </c>
      <c r="D320">
        <f>7.0</f>
        <v>0</v>
      </c>
      <c r="E320">
        <f>E265*-3.391</f>
        <v>0</v>
      </c>
      <c r="F320">
        <f>F265*-46.357</f>
        <v>0</v>
      </c>
      <c r="G320">
        <f>G265*-6.7589999999999995</f>
        <v>0</v>
      </c>
      <c r="H320">
        <f>H265*0.0</f>
        <v>0</v>
      </c>
      <c r="I320">
        <f>I265*43.842</f>
        <v>0</v>
      </c>
      <c r="J320">
        <f>J265*-122.74</f>
        <v>0</v>
      </c>
      <c r="K320">
        <f>K265*92.055</f>
        <v>0</v>
      </c>
      <c r="L320">
        <f>L265*20.035</f>
        <v>0</v>
      </c>
      <c r="M320">
        <f>M265*-106.58200000000001</f>
        <v>0</v>
      </c>
      <c r="N320">
        <f>E320+F320+G320+H320+I320+J320+K320+L320</f>
        <v>0</v>
      </c>
    </row>
    <row r="321" spans="3:14">
      <c r="C321">
        <f>48.0</f>
        <v>0</v>
      </c>
      <c r="D321">
        <f>8.0</f>
        <v>0</v>
      </c>
      <c r="E321">
        <f>E265*-4.505</f>
        <v>0</v>
      </c>
      <c r="F321">
        <f>F265*-38.149</f>
        <v>0</v>
      </c>
      <c r="G321">
        <f>G265*-5.466</f>
        <v>0</v>
      </c>
      <c r="H321">
        <f>H265*0.0</f>
        <v>0</v>
      </c>
      <c r="I321">
        <f>I265*24.48</f>
        <v>0</v>
      </c>
      <c r="J321">
        <f>J265*-102.897</f>
        <v>0</v>
      </c>
      <c r="K321">
        <f>K265*77.173</f>
        <v>0</v>
      </c>
      <c r="L321">
        <f>L265*13.039000000000001</f>
        <v>0</v>
      </c>
      <c r="M321">
        <f>M265*-85.11399999999999</f>
        <v>0</v>
      </c>
      <c r="N321">
        <f>E321+F321+G321+H321+I321+J321+K321+L321</f>
        <v>0</v>
      </c>
    </row>
    <row r="322" spans="3:14">
      <c r="C322">
        <f>49.0</f>
        <v>0</v>
      </c>
      <c r="D322">
        <f>9.0</f>
        <v>0</v>
      </c>
      <c r="E322">
        <f>E265*-4.3469999999999995</f>
        <v>0</v>
      </c>
      <c r="F322">
        <f>F265*-25.976999999999997</f>
        <v>0</v>
      </c>
      <c r="G322">
        <f>G265*-3.665</f>
        <v>0</v>
      </c>
      <c r="H322">
        <f>H265*0.0</f>
        <v>0</v>
      </c>
      <c r="I322">
        <f>I265*10.42</f>
        <v>0</v>
      </c>
      <c r="J322">
        <f>J265*125.59299999999999</f>
        <v>0</v>
      </c>
      <c r="K322">
        <f>K265*-94.195</f>
        <v>0</v>
      </c>
      <c r="L322">
        <f>L265*6.275</f>
        <v>0</v>
      </c>
      <c r="M322">
        <f>M265*-57.341</f>
        <v>0</v>
      </c>
      <c r="N322">
        <f>E322+F322+G322+H322+I322+J322+K322+L322</f>
        <v>0</v>
      </c>
    </row>
    <row r="323" spans="3:14">
      <c r="C323">
        <f>50.0</f>
        <v>0</v>
      </c>
      <c r="D323">
        <f>10.0</f>
        <v>0</v>
      </c>
      <c r="E323">
        <f>E265*-3.321</f>
        <v>0</v>
      </c>
      <c r="F323">
        <f>F265*-13.777999999999999</f>
        <v>0</v>
      </c>
      <c r="G323">
        <f>G265*-1.867</f>
        <v>0</v>
      </c>
      <c r="H323">
        <f>H265*0.0</f>
        <v>0</v>
      </c>
      <c r="I323">
        <f>I265*4.498</f>
        <v>0</v>
      </c>
      <c r="J323">
        <f>J265*184.601</f>
        <v>0</v>
      </c>
      <c r="K323">
        <f>K265*-138.451</f>
        <v>0</v>
      </c>
      <c r="L323">
        <f>L265*2.307</f>
        <v>0</v>
      </c>
      <c r="M323">
        <f>M265*-29.625999999999998</f>
        <v>0</v>
      </c>
      <c r="N323">
        <f>E323+F323+G323+H323+I323+J323+K323+L323</f>
        <v>0</v>
      </c>
    </row>
    <row r="330" spans="3:14">
      <c r="C330" t="s">
        <v>0</v>
      </c>
      <c r="D330" t="s">
        <v>1</v>
      </c>
      <c r="E330" t="s">
        <v>2</v>
      </c>
      <c r="F330" t="s">
        <v>3</v>
      </c>
      <c r="G330" t="s">
        <v>4</v>
      </c>
      <c r="H330" t="s">
        <v>5</v>
      </c>
      <c r="I330" t="s">
        <v>6</v>
      </c>
      <c r="J330" t="s">
        <v>7</v>
      </c>
      <c r="K330" t="s">
        <v>8</v>
      </c>
      <c r="L330" t="s">
        <v>9</v>
      </c>
      <c r="M330" t="s">
        <v>10</v>
      </c>
      <c r="N330" t="s">
        <v>11</v>
      </c>
    </row>
    <row r="331" spans="3:14">
      <c r="C331">
        <f>0.0</f>
        <v>0</v>
      </c>
      <c r="D331">
        <f>0.0</f>
        <v>0</v>
      </c>
      <c r="E331">
        <f>E329*7.9308</f>
        <v>0</v>
      </c>
      <c r="F331">
        <f>F329*-0.1682</f>
        <v>0</v>
      </c>
      <c r="G331">
        <f>G329*-0.4893</f>
        <v>0</v>
      </c>
      <c r="H331">
        <f>H329*0.0</f>
        <v>0</v>
      </c>
      <c r="I331">
        <f>I329*-0.018000000000000002</f>
        <v>0</v>
      </c>
      <c r="J331">
        <f>J329*-28.6674</f>
        <v>0</v>
      </c>
      <c r="K331">
        <f>K329*21.5006</f>
        <v>0</v>
      </c>
      <c r="L331">
        <f>L329*68.2863</f>
        <v>0</v>
      </c>
      <c r="M331">
        <f>M329*-77.8898</f>
        <v>0</v>
      </c>
      <c r="N331">
        <f>E331+F331+G331+H331+I331+J331+K331+L331</f>
        <v>0</v>
      </c>
    </row>
    <row r="332" spans="3:14">
      <c r="C332">
        <f>1.0</f>
        <v>0</v>
      </c>
      <c r="D332">
        <f>1.0</f>
        <v>0</v>
      </c>
      <c r="E332">
        <f>E329*7.4049</f>
        <v>0</v>
      </c>
      <c r="F332">
        <f>F329*6.7747</f>
        <v>0</v>
      </c>
      <c r="G332">
        <f>G329*0.2772</f>
        <v>0</v>
      </c>
      <c r="H332">
        <f>H329*0.0</f>
        <v>0</v>
      </c>
      <c r="I332">
        <f>I329*-0.022000000000000002</f>
        <v>0</v>
      </c>
      <c r="J332">
        <f>J329*-35.0594</f>
        <v>0</v>
      </c>
      <c r="K332">
        <f>K329*26.2946</f>
        <v>0</v>
      </c>
      <c r="L332">
        <f>L329*72.0374</f>
        <v>0</v>
      </c>
      <c r="M332">
        <f>M329*-82.1857</f>
        <v>0</v>
      </c>
      <c r="N332">
        <f>E332+F332+G332+H332+I332+J332+K332+L332</f>
        <v>0</v>
      </c>
    </row>
    <row r="333" spans="3:14">
      <c r="C333">
        <f>2.0</f>
        <v>0</v>
      </c>
      <c r="D333">
        <f>2.0</f>
        <v>0</v>
      </c>
      <c r="E333">
        <f>E329*6.7968</f>
        <v>0</v>
      </c>
      <c r="F333">
        <f>F329*7.6331</f>
        <v>0</v>
      </c>
      <c r="G333">
        <f>G329*0.4871</f>
        <v>0</v>
      </c>
      <c r="H333">
        <f>H329*0.0</f>
        <v>0</v>
      </c>
      <c r="I333">
        <f>I329*-0.0264</f>
        <v>0</v>
      </c>
      <c r="J333">
        <f>J329*-54.9</f>
        <v>0</v>
      </c>
      <c r="K333">
        <f>K329*41.175</f>
        <v>0</v>
      </c>
      <c r="L333">
        <f>L329*79.0318</f>
        <v>0</v>
      </c>
      <c r="M333">
        <f>M329*-82.6844</f>
        <v>0</v>
      </c>
      <c r="N333">
        <f>E333+F333+G333+H333+I333+J333+K333+L333</f>
        <v>0</v>
      </c>
    </row>
    <row r="334" spans="3:14">
      <c r="C334">
        <f>3.0</f>
        <v>0</v>
      </c>
      <c r="D334">
        <f>3.0</f>
        <v>0</v>
      </c>
      <c r="E334">
        <f>E329*5.4083</f>
        <v>0</v>
      </c>
      <c r="F334">
        <f>F329*7.6592</f>
        <v>0</v>
      </c>
      <c r="G334">
        <f>G329*0.6107</f>
        <v>0</v>
      </c>
      <c r="H334">
        <f>H329*0.0</f>
        <v>0</v>
      </c>
      <c r="I334">
        <f>I329*-0.0299</f>
        <v>0</v>
      </c>
      <c r="J334">
        <f>J329*-68.1149</f>
        <v>0</v>
      </c>
      <c r="K334">
        <f>K329*51.0862</f>
        <v>0</v>
      </c>
      <c r="L334">
        <f>L329*84.5457</f>
        <v>0</v>
      </c>
      <c r="M334">
        <f>M329*-79.8892</f>
        <v>0</v>
      </c>
      <c r="N334">
        <f>E334+F334+G334+H334+I334+J334+K334+L334</f>
        <v>0</v>
      </c>
    </row>
    <row r="335" spans="3:14">
      <c r="C335">
        <f>4.0</f>
        <v>0</v>
      </c>
      <c r="D335">
        <f>4.0</f>
        <v>0</v>
      </c>
      <c r="E335">
        <f>E329*3.2003</f>
        <v>0</v>
      </c>
      <c r="F335">
        <f>F329*6.8213</f>
        <v>0</v>
      </c>
      <c r="G335">
        <f>G329*0.6785</f>
        <v>0</v>
      </c>
      <c r="H335">
        <f>H329*0.0</f>
        <v>0</v>
      </c>
      <c r="I335">
        <f>I329*-0.0332</f>
        <v>0</v>
      </c>
      <c r="J335">
        <f>J329*-77.2152</f>
        <v>0</v>
      </c>
      <c r="K335">
        <f>K329*57.9114</f>
        <v>0</v>
      </c>
      <c r="L335">
        <f>L329*89.8563</f>
        <v>0</v>
      </c>
      <c r="M335">
        <f>M329*-78.0302</f>
        <v>0</v>
      </c>
      <c r="N335">
        <f>E335+F335+G335+H335+I335+J335+K335+L335</f>
        <v>0</v>
      </c>
    </row>
    <row r="336" spans="3:14">
      <c r="C336">
        <f>5.0</f>
        <v>0</v>
      </c>
      <c r="D336">
        <f>5.0</f>
        <v>0</v>
      </c>
      <c r="E336">
        <f>E329*9.0855</f>
        <v>0</v>
      </c>
      <c r="F336">
        <f>F329*5.2991</f>
        <v>0</v>
      </c>
      <c r="G336">
        <f>G329*0.6976</f>
        <v>0</v>
      </c>
      <c r="H336">
        <f>H329*0.0</f>
        <v>0</v>
      </c>
      <c r="I336">
        <f>I329*-0.0366</f>
        <v>0</v>
      </c>
      <c r="J336">
        <f>J329*-83.384</f>
        <v>0</v>
      </c>
      <c r="K336">
        <f>K329*62.538000000000004</f>
        <v>0</v>
      </c>
      <c r="L336">
        <f>L329*92.9063</f>
        <v>0</v>
      </c>
      <c r="M336">
        <f>M329*-82.3554</f>
        <v>0</v>
      </c>
      <c r="N336">
        <f>E336+F336+G336+H336+I336+J336+K336+L336</f>
        <v>0</v>
      </c>
    </row>
    <row r="337" spans="3:14">
      <c r="C337">
        <f>6.0</f>
        <v>0</v>
      </c>
      <c r="D337">
        <f>6.0</f>
        <v>0</v>
      </c>
      <c r="E337">
        <f>E329*7.1452</f>
        <v>0</v>
      </c>
      <c r="F337">
        <f>F329*6.502999999999999</f>
        <v>0</v>
      </c>
      <c r="G337">
        <f>G329*0.1551</f>
        <v>0</v>
      </c>
      <c r="H337">
        <f>H329*0.0</f>
        <v>0</v>
      </c>
      <c r="I337">
        <f>I329*-0.0383</f>
        <v>0</v>
      </c>
      <c r="J337">
        <f>J329*-17.9381</f>
        <v>0</v>
      </c>
      <c r="K337">
        <f>K329*13.4536</f>
        <v>0</v>
      </c>
      <c r="L337">
        <f>L329*68.6836</f>
        <v>0</v>
      </c>
      <c r="M337">
        <f>M329*-78.3781</f>
        <v>0</v>
      </c>
      <c r="N337">
        <f>E337+F337+G337+H337+I337+J337+K337+L337</f>
        <v>0</v>
      </c>
    </row>
    <row r="338" spans="3:14">
      <c r="C338">
        <f>7.0</f>
        <v>0</v>
      </c>
      <c r="D338">
        <f>7.0</f>
        <v>0</v>
      </c>
      <c r="E338">
        <f>E329*4.1962</f>
        <v>0</v>
      </c>
      <c r="F338">
        <f>F329*4.7974</f>
        <v>0</v>
      </c>
      <c r="G338">
        <f>G329*0.1629</f>
        <v>0</v>
      </c>
      <c r="H338">
        <f>H329*0.0</f>
        <v>0</v>
      </c>
      <c r="I338">
        <f>I329*-0.0396</f>
        <v>0</v>
      </c>
      <c r="J338">
        <f>J329*-22.4108</f>
        <v>0</v>
      </c>
      <c r="K338">
        <f>K329*16.8081</f>
        <v>0</v>
      </c>
      <c r="L338">
        <f>L329*69.3638</f>
        <v>0</v>
      </c>
      <c r="M338">
        <f>M329*-71.7</f>
        <v>0</v>
      </c>
      <c r="N338">
        <f>E338+F338+G338+H338+I338+J338+K338+L338</f>
        <v>0</v>
      </c>
    </row>
    <row r="339" spans="3:14">
      <c r="C339">
        <f>8.0</f>
        <v>0</v>
      </c>
      <c r="D339">
        <f>8.0</f>
        <v>0</v>
      </c>
      <c r="E339">
        <f>E329*1.4601</f>
        <v>0</v>
      </c>
      <c r="F339">
        <f>F329*3.1378</f>
        <v>0</v>
      </c>
      <c r="G339">
        <f>G329*0.1637</f>
        <v>0</v>
      </c>
      <c r="H339">
        <f>H329*0.0</f>
        <v>0</v>
      </c>
      <c r="I339">
        <f>I329*-0.0414</f>
        <v>0</v>
      </c>
      <c r="J339">
        <f>J329*-26.1389</f>
        <v>0</v>
      </c>
      <c r="K339">
        <f>K329*19.6042</f>
        <v>0</v>
      </c>
      <c r="L339">
        <f>L329*69.5528</f>
        <v>0</v>
      </c>
      <c r="M339">
        <f>M329*-68.1144</f>
        <v>0</v>
      </c>
      <c r="N339">
        <f>E339+F339+G339+H339+I339+J339+K339+L339</f>
        <v>0</v>
      </c>
    </row>
    <row r="340" spans="3:14">
      <c r="C340">
        <f>9.0</f>
        <v>0</v>
      </c>
      <c r="D340">
        <f>9.0</f>
        <v>0</v>
      </c>
      <c r="E340">
        <f>E329*-2.6545</f>
        <v>0</v>
      </c>
      <c r="F340">
        <f>F329*-2.7071</f>
        <v>0</v>
      </c>
      <c r="G340">
        <f>G329*0.1645</f>
        <v>0</v>
      </c>
      <c r="H340">
        <f>H329*0.0</f>
        <v>0</v>
      </c>
      <c r="I340">
        <f>I329*-0.0437</f>
        <v>0</v>
      </c>
      <c r="J340">
        <f>J329*-30.169</f>
        <v>0</v>
      </c>
      <c r="K340">
        <f>K329*22.6267</f>
        <v>0</v>
      </c>
      <c r="L340">
        <f>L329*70.4163</f>
        <v>0</v>
      </c>
      <c r="M340">
        <f>M329*-62.7111</f>
        <v>0</v>
      </c>
      <c r="N340">
        <f>E340+F340+G340+H340+I340+J340+K340+L340</f>
        <v>0</v>
      </c>
    </row>
    <row r="341" spans="3:14">
      <c r="C341">
        <f>10.0</f>
        <v>0</v>
      </c>
      <c r="D341">
        <f>10.0</f>
        <v>0</v>
      </c>
      <c r="E341">
        <f>E329*5.6782</f>
        <v>0</v>
      </c>
      <c r="F341">
        <f>F329*-0.6185</f>
        <v>0</v>
      </c>
      <c r="G341">
        <f>G329*-0.2345</f>
        <v>0</v>
      </c>
      <c r="H341">
        <f>H329*0.0</f>
        <v>0</v>
      </c>
      <c r="I341">
        <f>I329*-0.0462</f>
        <v>0</v>
      </c>
      <c r="J341">
        <f>J329*-34.8139</f>
        <v>0</v>
      </c>
      <c r="K341">
        <f>K329*26.1104</f>
        <v>0</v>
      </c>
      <c r="L341">
        <f>L329*70.8793</f>
        <v>0</v>
      </c>
      <c r="M341">
        <f>M329*-67.6638</f>
        <v>0</v>
      </c>
      <c r="N341">
        <f>E341+F341+G341+H341+I341+J341+K341+L341</f>
        <v>0</v>
      </c>
    </row>
    <row r="342" spans="3:14">
      <c r="C342">
        <f>11.0</f>
        <v>0</v>
      </c>
      <c r="D342">
        <f>11.0</f>
        <v>0</v>
      </c>
      <c r="E342">
        <f>E329*3.7494</f>
        <v>0</v>
      </c>
      <c r="F342">
        <f>F329*2.6236</f>
        <v>0</v>
      </c>
      <c r="G342">
        <f>G329*-0.2381</f>
        <v>0</v>
      </c>
      <c r="H342">
        <f>H329*0.0</f>
        <v>0</v>
      </c>
      <c r="I342">
        <f>I329*-0.0467</f>
        <v>0</v>
      </c>
      <c r="J342">
        <f>J329*15.1025</f>
        <v>0</v>
      </c>
      <c r="K342">
        <f>K329*-11.3269</f>
        <v>0</v>
      </c>
      <c r="L342">
        <f>L329*53.1021</f>
        <v>0</v>
      </c>
      <c r="M342">
        <f>M329*-64.5235</f>
        <v>0</v>
      </c>
      <c r="N342">
        <f>E342+F342+G342+H342+I342+J342+K342+L342</f>
        <v>0</v>
      </c>
    </row>
    <row r="343" spans="3:14">
      <c r="C343">
        <f>12.0</f>
        <v>0</v>
      </c>
      <c r="D343">
        <f>12.0</f>
        <v>0</v>
      </c>
      <c r="E343">
        <f>E329*0.9094</f>
        <v>0</v>
      </c>
      <c r="F343">
        <f>F329*-2.2706</f>
        <v>0</v>
      </c>
      <c r="G343">
        <f>G329*-0.174</f>
        <v>0</v>
      </c>
      <c r="H343">
        <f>H329*0.0</f>
        <v>0</v>
      </c>
      <c r="I343">
        <f>I329*-0.0468</f>
        <v>0</v>
      </c>
      <c r="J343">
        <f>J329*10.4356</f>
        <v>0</v>
      </c>
      <c r="K343">
        <f>K329*-7.8267</f>
        <v>0</v>
      </c>
      <c r="L343">
        <f>L329*59.9038</f>
        <v>0</v>
      </c>
      <c r="M343">
        <f>M329*-63.0718</f>
        <v>0</v>
      </c>
      <c r="N343">
        <f>E343+F343+G343+H343+I343+J343+K343+L343</f>
        <v>0</v>
      </c>
    </row>
    <row r="344" spans="3:14">
      <c r="C344">
        <f>13.0</f>
        <v>0</v>
      </c>
      <c r="D344">
        <f>13.0</f>
        <v>0</v>
      </c>
      <c r="E344">
        <f>E329*-2.8081</f>
        <v>0</v>
      </c>
      <c r="F344">
        <f>F329*-2.7381</f>
        <v>0</v>
      </c>
      <c r="G344">
        <f>G329*-0.0492</f>
        <v>0</v>
      </c>
      <c r="H344">
        <f>H329*0.0</f>
        <v>0</v>
      </c>
      <c r="I344">
        <f>I329*-0.0474</f>
        <v>0</v>
      </c>
      <c r="J344">
        <f>J329*5.6485</f>
        <v>0</v>
      </c>
      <c r="K344">
        <f>K329*-4.2364</f>
        <v>0</v>
      </c>
      <c r="L344">
        <f>L329*65.2372</f>
        <v>0</v>
      </c>
      <c r="M344">
        <f>M329*-61.7472</f>
        <v>0</v>
      </c>
      <c r="N344">
        <f>E344+F344+G344+H344+I344+J344+K344+L344</f>
        <v>0</v>
      </c>
    </row>
    <row r="345" spans="3:14">
      <c r="C345">
        <f>14.0</f>
        <v>0</v>
      </c>
      <c r="D345">
        <f>14.0</f>
        <v>0</v>
      </c>
      <c r="E345">
        <f>E329*-5.5891</f>
        <v>0</v>
      </c>
      <c r="F345">
        <f>F329*-2.8772</f>
        <v>0</v>
      </c>
      <c r="G345">
        <f>G329*0.2413</f>
        <v>0</v>
      </c>
      <c r="H345">
        <f>H329*0.0</f>
        <v>0</v>
      </c>
      <c r="I345">
        <f>I329*-0.0483</f>
        <v>0</v>
      </c>
      <c r="J345">
        <f>J329*-0.9176</f>
        <v>0</v>
      </c>
      <c r="K345">
        <f>K329*0.6882</f>
        <v>0</v>
      </c>
      <c r="L345">
        <f>L329*73.2749</f>
        <v>0</v>
      </c>
      <c r="M345">
        <f>M329*-61.0594</f>
        <v>0</v>
      </c>
      <c r="N345">
        <f>E345+F345+G345+H345+I345+J345+K345+L345</f>
        <v>0</v>
      </c>
    </row>
    <row r="346" spans="3:14">
      <c r="C346">
        <f>15.0</f>
        <v>0</v>
      </c>
      <c r="D346">
        <f>15.0</f>
        <v>0</v>
      </c>
      <c r="E346">
        <f>E329*-7.4524</f>
        <v>0</v>
      </c>
      <c r="F346">
        <f>F329*3.6494</f>
        <v>0</v>
      </c>
      <c r="G346">
        <f>G329*0.39</f>
        <v>0</v>
      </c>
      <c r="H346">
        <f>H329*0.0</f>
        <v>0</v>
      </c>
      <c r="I346">
        <f>I329*-0.0484</f>
        <v>0</v>
      </c>
      <c r="J346">
        <f>J329*53.7735</f>
        <v>0</v>
      </c>
      <c r="K346">
        <f>K329*-40.3301</f>
        <v>0</v>
      </c>
      <c r="L346">
        <f>L329*78.7675</f>
        <v>0</v>
      </c>
      <c r="M346">
        <f>M329*-88.4794</f>
        <v>0</v>
      </c>
      <c r="N346">
        <f>E346+F346+G346+H346+I346+J346+K346+L346</f>
        <v>0</v>
      </c>
    </row>
    <row r="347" spans="3:14">
      <c r="C347">
        <f>15.91</f>
        <v>0</v>
      </c>
      <c r="D347">
        <f>15.91</f>
        <v>0</v>
      </c>
      <c r="E347">
        <f>E329*0.5647</f>
        <v>0</v>
      </c>
      <c r="F347">
        <f>F329*6.5491</f>
        <v>0</v>
      </c>
      <c r="G347">
        <f>G329*0.6497</f>
        <v>0</v>
      </c>
      <c r="H347">
        <f>H329*0.0</f>
        <v>0</v>
      </c>
      <c r="I347">
        <f>I329*-0.0457</f>
        <v>0</v>
      </c>
      <c r="J347">
        <f>J329*48.4083</f>
        <v>0</v>
      </c>
      <c r="K347">
        <f>K329*-36.3063</f>
        <v>0</v>
      </c>
      <c r="L347">
        <f>L329*84.8549</f>
        <v>0</v>
      </c>
      <c r="M347">
        <f>M329*-86.3774</f>
        <v>0</v>
      </c>
      <c r="N347">
        <f>E347+F347+G347+H347+I347+J347+K347+L347</f>
        <v>0</v>
      </c>
    </row>
    <row r="348" spans="3:14">
      <c r="C348">
        <f>16.82</f>
        <v>0</v>
      </c>
      <c r="D348">
        <f>16.82</f>
        <v>0</v>
      </c>
      <c r="E348">
        <f>E329*-2.8673</f>
        <v>0</v>
      </c>
      <c r="F348">
        <f>F329*7.4731</f>
        <v>0</v>
      </c>
      <c r="G348">
        <f>G329*1.0678</f>
        <v>0</v>
      </c>
      <c r="H348">
        <f>H329*0.0</f>
        <v>0</v>
      </c>
      <c r="I348">
        <f>I329*-0.0445</f>
        <v>0</v>
      </c>
      <c r="J348">
        <f>J329*43.0071</f>
        <v>0</v>
      </c>
      <c r="K348">
        <f>K329*-32.2553</f>
        <v>0</v>
      </c>
      <c r="L348">
        <f>L329*93.2826</f>
        <v>0</v>
      </c>
      <c r="M348">
        <f>M329*-82.7071</f>
        <v>0</v>
      </c>
      <c r="N348">
        <f>E348+F348+G348+H348+I348+J348+K348+L348</f>
        <v>0</v>
      </c>
    </row>
    <row r="349" spans="3:14">
      <c r="C349">
        <f>17.73</f>
        <v>0</v>
      </c>
      <c r="D349">
        <f>17.73</f>
        <v>0</v>
      </c>
      <c r="E349">
        <f>E329*-4.9069</f>
        <v>0</v>
      </c>
      <c r="F349">
        <f>F329*9.4034</f>
        <v>0</v>
      </c>
      <c r="G349">
        <f>G329*1.6191</f>
        <v>0</v>
      </c>
      <c r="H349">
        <f>H329*0.0</f>
        <v>0</v>
      </c>
      <c r="I349">
        <f>I329*-0.045</f>
        <v>0</v>
      </c>
      <c r="J349">
        <f>J329*37.4832</f>
        <v>0</v>
      </c>
      <c r="K349">
        <f>K329*-28.1124</f>
        <v>0</v>
      </c>
      <c r="L349">
        <f>L329*103.8925</f>
        <v>0</v>
      </c>
      <c r="M349">
        <f>M329*-79.0906</f>
        <v>0</v>
      </c>
      <c r="N349">
        <f>E349+F349+G349+H349+I349+J349+K349+L349</f>
        <v>0</v>
      </c>
    </row>
    <row r="350" spans="3:14">
      <c r="C350">
        <f>18.64</f>
        <v>0</v>
      </c>
      <c r="D350">
        <f>18.64</f>
        <v>0</v>
      </c>
      <c r="E350">
        <f>E329*-6.7408</f>
        <v>0</v>
      </c>
      <c r="F350">
        <f>F329*11.9304</f>
        <v>0</v>
      </c>
      <c r="G350">
        <f>G329*2.1333</f>
        <v>0</v>
      </c>
      <c r="H350">
        <f>H329*0.0</f>
        <v>0</v>
      </c>
      <c r="I350">
        <f>I329*-0.0457</f>
        <v>0</v>
      </c>
      <c r="J350">
        <f>J329*30.4121</f>
        <v>0</v>
      </c>
      <c r="K350">
        <f>K329*-22.8091</f>
        <v>0</v>
      </c>
      <c r="L350">
        <f>L329*115.374</f>
        <v>0</v>
      </c>
      <c r="M350">
        <f>M329*-75.1015</f>
        <v>0</v>
      </c>
      <c r="N350">
        <f>E350+F350+G350+H350+I350+J350+K350+L350</f>
        <v>0</v>
      </c>
    </row>
    <row r="351" spans="3:14">
      <c r="C351">
        <f>19.55</f>
        <v>0</v>
      </c>
      <c r="D351">
        <f>19.55</f>
        <v>0</v>
      </c>
      <c r="E351">
        <f>E329*-7.7891</f>
        <v>0</v>
      </c>
      <c r="F351">
        <f>F329*12.5731</f>
        <v>0</v>
      </c>
      <c r="G351">
        <f>G329*2.2548</f>
        <v>0</v>
      </c>
      <c r="H351">
        <f>H329*0.0</f>
        <v>0</v>
      </c>
      <c r="I351">
        <f>I329*-0.045</f>
        <v>0</v>
      </c>
      <c r="J351">
        <f>J329*43.5664</f>
        <v>0</v>
      </c>
      <c r="K351">
        <f>K329*-32.6748</f>
        <v>0</v>
      </c>
      <c r="L351">
        <f>L329*117.7325</f>
        <v>0</v>
      </c>
      <c r="M351">
        <f>M329*-94.9645</f>
        <v>0</v>
      </c>
      <c r="N351">
        <f>E351+F351+G351+H351+I351+J351+K351+L351</f>
        <v>0</v>
      </c>
    </row>
    <row r="352" spans="3:14">
      <c r="C352">
        <f>20.0</f>
        <v>0</v>
      </c>
      <c r="D352">
        <f>20.0</f>
        <v>0</v>
      </c>
      <c r="E352">
        <f>E329*-1.2417</f>
        <v>0</v>
      </c>
      <c r="F352">
        <f>F329*13.0802</f>
        <v>0</v>
      </c>
      <c r="G352">
        <f>G329*1.6805</f>
        <v>0</v>
      </c>
      <c r="H352">
        <f>H329*0.0</f>
        <v>0</v>
      </c>
      <c r="I352">
        <f>I329*-0.03</f>
        <v>0</v>
      </c>
      <c r="J352">
        <f>J329*43.5664</f>
        <v>0</v>
      </c>
      <c r="K352">
        <f>K329*-32.6748</f>
        <v>0</v>
      </c>
      <c r="L352">
        <f>L329*67.5776</f>
        <v>0</v>
      </c>
      <c r="M352">
        <f>M329*-94.9699</f>
        <v>0</v>
      </c>
      <c r="N352">
        <f>E352+F352+G352+H352+I352+J352+K352+L352</f>
        <v>0</v>
      </c>
    </row>
    <row r="353" spans="3:14">
      <c r="C353">
        <f>20.0</f>
        <v>0</v>
      </c>
      <c r="D353">
        <f>0.0</f>
        <v>0</v>
      </c>
      <c r="E353">
        <f>E329*0.9606</f>
        <v>0</v>
      </c>
      <c r="F353">
        <f>F329*-12.5759</f>
        <v>0</v>
      </c>
      <c r="G353">
        <f>G329*-1.5901</f>
        <v>0</v>
      </c>
      <c r="H353">
        <f>H329*0.0</f>
        <v>0</v>
      </c>
      <c r="I353">
        <f>I329*-0.9045</f>
        <v>0</v>
      </c>
      <c r="J353">
        <f>J329*-39.8321</f>
        <v>0</v>
      </c>
      <c r="K353">
        <f>K329*29.8741</f>
        <v>0</v>
      </c>
      <c r="L353">
        <f>L329*51.6769</f>
        <v>0</v>
      </c>
      <c r="M353">
        <f>M329*-69.7771</f>
        <v>0</v>
      </c>
      <c r="N353">
        <f>E353+F353+G353+H353+I353+J353+K353+L353</f>
        <v>0</v>
      </c>
    </row>
    <row r="354" spans="3:14">
      <c r="C354">
        <f>20.45</f>
        <v>0</v>
      </c>
      <c r="D354">
        <f>0.45</f>
        <v>0</v>
      </c>
      <c r="E354">
        <f>E329*7.4122</f>
        <v>0</v>
      </c>
      <c r="F354">
        <f>F329*-11.9826</f>
        <v>0</v>
      </c>
      <c r="G354">
        <f>G329*-2.1459</f>
        <v>0</v>
      </c>
      <c r="H354">
        <f>H329*0.0</f>
        <v>0</v>
      </c>
      <c r="I354">
        <f>I329*-1.3453</f>
        <v>0</v>
      </c>
      <c r="J354">
        <f>J329*-39.8321</f>
        <v>0</v>
      </c>
      <c r="K354">
        <f>K329*29.8741</f>
        <v>0</v>
      </c>
      <c r="L354">
        <f>L329*79.0859</f>
        <v>0</v>
      </c>
      <c r="M354">
        <f>M329*-115.272</f>
        <v>0</v>
      </c>
      <c r="N354">
        <f>E354+F354+G354+H354+I354+J354+K354+L354</f>
        <v>0</v>
      </c>
    </row>
    <row r="355" spans="3:14">
      <c r="C355">
        <f>21.36</f>
        <v>0</v>
      </c>
      <c r="D355">
        <f>1.36</f>
        <v>0</v>
      </c>
      <c r="E355">
        <f>E329*6.3958</f>
        <v>0</v>
      </c>
      <c r="F355">
        <f>F329*-12.5497</f>
        <v>0</v>
      </c>
      <c r="G355">
        <f>G329*-2.1137</f>
        <v>0</v>
      </c>
      <c r="H355">
        <f>H329*0.0</f>
        <v>0</v>
      </c>
      <c r="I355">
        <f>I329*-1.4861</f>
        <v>0</v>
      </c>
      <c r="J355">
        <f>J329*-27.1678</f>
        <v>0</v>
      </c>
      <c r="K355">
        <f>K329*20.3758</f>
        <v>0</v>
      </c>
      <c r="L355">
        <f>L329*83.376</f>
        <v>0</v>
      </c>
      <c r="M355">
        <f>M329*-125.2801</f>
        <v>0</v>
      </c>
      <c r="N355">
        <f>E355+F355+G355+H355+I355+J355+K355+L355</f>
        <v>0</v>
      </c>
    </row>
    <row r="356" spans="3:14">
      <c r="C356">
        <f>22.27</f>
        <v>0</v>
      </c>
      <c r="D356">
        <f>2.27</f>
        <v>0</v>
      </c>
      <c r="E356">
        <f>E329*4.6707</f>
        <v>0</v>
      </c>
      <c r="F356">
        <f>F329*-10.962</f>
        <v>0</v>
      </c>
      <c r="G356">
        <f>G329*-1.767</f>
        <v>0</v>
      </c>
      <c r="H356">
        <f>H329*0.0</f>
        <v>0</v>
      </c>
      <c r="I356">
        <f>I329*-1.5561</f>
        <v>0</v>
      </c>
      <c r="J356">
        <f>J329*-36.0423</f>
        <v>0</v>
      </c>
      <c r="K356">
        <f>K329*27.0317</f>
        <v>0</v>
      </c>
      <c r="L356">
        <f>L329*87.1484</f>
        <v>0</v>
      </c>
      <c r="M356">
        <f>M329*-114.9645</f>
        <v>0</v>
      </c>
      <c r="N356">
        <f>E356+F356+G356+H356+I356+J356+K356+L356</f>
        <v>0</v>
      </c>
    </row>
    <row r="357" spans="3:14">
      <c r="C357">
        <f>23.18</f>
        <v>0</v>
      </c>
      <c r="D357">
        <f>3.18</f>
        <v>0</v>
      </c>
      <c r="E357">
        <f>E329*2.7254</f>
        <v>0</v>
      </c>
      <c r="F357">
        <f>F329*-9.5995</f>
        <v>0</v>
      </c>
      <c r="G357">
        <f>G329*-1.328</f>
        <v>0</v>
      </c>
      <c r="H357">
        <f>H329*0.0</f>
        <v>0</v>
      </c>
      <c r="I357">
        <f>I329*-1.6246</f>
        <v>0</v>
      </c>
      <c r="J357">
        <f>J329*-42.9157</f>
        <v>0</v>
      </c>
      <c r="K357">
        <f>K329*32.1867</f>
        <v>0</v>
      </c>
      <c r="L357">
        <f>L329*90.5668</f>
        <v>0</v>
      </c>
      <c r="M357">
        <f>M329*-104.9694</f>
        <v>0</v>
      </c>
      <c r="N357">
        <f>E357+F357+G357+H357+I357+J357+K357+L357</f>
        <v>0</v>
      </c>
    </row>
    <row r="358" spans="3:14">
      <c r="C358">
        <f>24.09</f>
        <v>0</v>
      </c>
      <c r="D358">
        <f>4.09</f>
        <v>0</v>
      </c>
      <c r="E358">
        <f>E329*-0.5964</f>
        <v>0</v>
      </c>
      <c r="F358">
        <f>F329*-8.966000000000001</f>
        <v>0</v>
      </c>
      <c r="G358">
        <f>G329*-0.9765</f>
        <v>0</v>
      </c>
      <c r="H358">
        <f>H329*0.0</f>
        <v>0</v>
      </c>
      <c r="I358">
        <f>I329*-1.6949</f>
        <v>0</v>
      </c>
      <c r="J358">
        <f>J329*-49.3242</f>
        <v>0</v>
      </c>
      <c r="K358">
        <f>K329*36.9932</f>
        <v>0</v>
      </c>
      <c r="L358">
        <f>L329*94.0399</f>
        <v>0</v>
      </c>
      <c r="M358">
        <f>M329*-95.8058</f>
        <v>0</v>
      </c>
      <c r="N358">
        <f>E358+F358+G358+H358+I358+J358+K358+L358</f>
        <v>0</v>
      </c>
    </row>
    <row r="359" spans="3:14">
      <c r="C359">
        <f>25.0</f>
        <v>0</v>
      </c>
      <c r="D359">
        <f>5.0</f>
        <v>0</v>
      </c>
      <c r="E359">
        <f>E329*7.4356</f>
        <v>0</v>
      </c>
      <c r="F359">
        <f>F329*-6.1282</f>
        <v>0</v>
      </c>
      <c r="G359">
        <f>G329*-0.74</f>
        <v>0</v>
      </c>
      <c r="H359">
        <f>H329*0.0</f>
        <v>0</v>
      </c>
      <c r="I359">
        <f>I329*-1.8030000000000002</f>
        <v>0</v>
      </c>
      <c r="J359">
        <f>J329*-55.0991</f>
        <v>0</v>
      </c>
      <c r="K359">
        <f>K329*41.3243</f>
        <v>0</v>
      </c>
      <c r="L359">
        <f>L329*96.6176</f>
        <v>0</v>
      </c>
      <c r="M359">
        <f>M329*-90.9621</f>
        <v>0</v>
      </c>
      <c r="N359">
        <f>E359+F359+G359+H359+I359+J359+K359+L359</f>
        <v>0</v>
      </c>
    </row>
    <row r="360" spans="3:14">
      <c r="C360">
        <f>26.0</f>
        <v>0</v>
      </c>
      <c r="D360">
        <f>6.0</f>
        <v>0</v>
      </c>
      <c r="E360">
        <f>E329*5.6079</f>
        <v>0</v>
      </c>
      <c r="F360">
        <f>F329*-2.6167</f>
        <v>0</v>
      </c>
      <c r="G360">
        <f>G329*-0.5883</f>
        <v>0</v>
      </c>
      <c r="H360">
        <f>H329*0.0</f>
        <v>0</v>
      </c>
      <c r="I360">
        <f>I329*-1.7875</f>
        <v>0</v>
      </c>
      <c r="J360">
        <f>J329*-2.392</f>
        <v>0</v>
      </c>
      <c r="K360">
        <f>K329*1.794</f>
        <v>0</v>
      </c>
      <c r="L360">
        <f>L329*70.5224</f>
        <v>0</v>
      </c>
      <c r="M360">
        <f>M329*-85.2557</f>
        <v>0</v>
      </c>
      <c r="N360">
        <f>E360+F360+G360+H360+I360+J360+K360+L360</f>
        <v>0</v>
      </c>
    </row>
    <row r="361" spans="3:14">
      <c r="C361">
        <f>27.0</f>
        <v>0</v>
      </c>
      <c r="D361">
        <f>7.0</f>
        <v>0</v>
      </c>
      <c r="E361">
        <f>E329*2.9073</f>
        <v>0</v>
      </c>
      <c r="F361">
        <f>F329*-2.6539</f>
        <v>0</v>
      </c>
      <c r="G361">
        <f>G329*-0.3491</f>
        <v>0</v>
      </c>
      <c r="H361">
        <f>H329*0.0</f>
        <v>0</v>
      </c>
      <c r="I361">
        <f>I329*-1.7344</f>
        <v>0</v>
      </c>
      <c r="J361">
        <f>J329*-8.8433</f>
        <v>0</v>
      </c>
      <c r="K361">
        <f>K329*6.6324</f>
        <v>0</v>
      </c>
      <c r="L361">
        <f>L329*69.6252</f>
        <v>0</v>
      </c>
      <c r="M361">
        <f>M329*-75.4641</f>
        <v>0</v>
      </c>
      <c r="N361">
        <f>E361+F361+G361+H361+I361+J361+K361+L361</f>
        <v>0</v>
      </c>
    </row>
    <row r="362" spans="3:14">
      <c r="C362">
        <f>28.0</f>
        <v>0</v>
      </c>
      <c r="D362">
        <f>8.0</f>
        <v>0</v>
      </c>
      <c r="E362">
        <f>E329*-0.6572</f>
        <v>0</v>
      </c>
      <c r="F362">
        <f>F329*-3.0117</f>
        <v>0</v>
      </c>
      <c r="G362">
        <f>G329*-0.1541</f>
        <v>0</v>
      </c>
      <c r="H362">
        <f>H329*0.0</f>
        <v>0</v>
      </c>
      <c r="I362">
        <f>I329*-1.6598</f>
        <v>0</v>
      </c>
      <c r="J362">
        <f>J329*-14.8551</f>
        <v>0</v>
      </c>
      <c r="K362">
        <f>K329*11.1413</f>
        <v>0</v>
      </c>
      <c r="L362">
        <f>L329*68.5847</f>
        <v>0</v>
      </c>
      <c r="M362">
        <f>M329*-69.3115</f>
        <v>0</v>
      </c>
      <c r="N362">
        <f>E362+F362+G362+H362+I362+J362+K362+L362</f>
        <v>0</v>
      </c>
    </row>
    <row r="363" spans="3:14">
      <c r="C363">
        <f>29.0</f>
        <v>0</v>
      </c>
      <c r="D363">
        <f>9.0</f>
        <v>0</v>
      </c>
      <c r="E363">
        <f>E329*-3.3667</f>
        <v>0</v>
      </c>
      <c r="F363">
        <f>F329*-3.8728</f>
        <v>0</v>
      </c>
      <c r="G363">
        <f>G329*0.0118</f>
        <v>0</v>
      </c>
      <c r="H363">
        <f>H329*0.0</f>
        <v>0</v>
      </c>
      <c r="I363">
        <f>I329*-1.5661</f>
        <v>0</v>
      </c>
      <c r="J363">
        <f>J329*-20.9819</f>
        <v>0</v>
      </c>
      <c r="K363">
        <f>K329*15.7364</f>
        <v>0</v>
      </c>
      <c r="L363">
        <f>L329*68.9612</f>
        <v>0</v>
      </c>
      <c r="M363">
        <f>M329*-61.1371</f>
        <v>0</v>
      </c>
      <c r="N363">
        <f>E363+F363+G363+H363+I363+J363+K363+L363</f>
        <v>0</v>
      </c>
    </row>
    <row r="364" spans="3:14">
      <c r="C364">
        <f>30.0</f>
        <v>0</v>
      </c>
      <c r="D364">
        <f>10.0</f>
        <v>0</v>
      </c>
      <c r="E364">
        <f>E329*5.3094</f>
        <v>0</v>
      </c>
      <c r="F364">
        <f>F329*-1.4039</f>
        <v>0</v>
      </c>
      <c r="G364">
        <f>G329*-0.2862</f>
        <v>0</v>
      </c>
      <c r="H364">
        <f>H329*0.0</f>
        <v>0</v>
      </c>
      <c r="I364">
        <f>I329*-1.3994</f>
        <v>0</v>
      </c>
      <c r="J364">
        <f>J329*-26.4797</f>
        <v>0</v>
      </c>
      <c r="K364">
        <f>K329*19.8597</f>
        <v>0</v>
      </c>
      <c r="L364">
        <f>L329*69.7463</f>
        <v>0</v>
      </c>
      <c r="M364">
        <f>M329*-69.9807</f>
        <v>0</v>
      </c>
      <c r="N364">
        <f>E364+F364+G364+H364+I364+J364+K364+L364</f>
        <v>0</v>
      </c>
    </row>
    <row r="365" spans="3:14">
      <c r="C365">
        <f>31.0</f>
        <v>0</v>
      </c>
      <c r="D365">
        <f>11.0</f>
        <v>0</v>
      </c>
      <c r="E365">
        <f>E329*3.4529</f>
        <v>0</v>
      </c>
      <c r="F365">
        <f>F329*2.3571</f>
        <v>0</v>
      </c>
      <c r="G365">
        <f>G329*-0.2375</f>
        <v>0</v>
      </c>
      <c r="H365">
        <f>H329*0.0</f>
        <v>0</v>
      </c>
      <c r="I365">
        <f>I329*-0.8532</f>
        <v>0</v>
      </c>
      <c r="J365">
        <f>J329*18.805</f>
        <v>0</v>
      </c>
      <c r="K365">
        <f>K329*-14.1038</f>
        <v>0</v>
      </c>
      <c r="L365">
        <f>L329*59.661</f>
        <v>0</v>
      </c>
      <c r="M365">
        <f>M329*-68.6815</f>
        <v>0</v>
      </c>
      <c r="N365">
        <f>E365+F365+G365+H365+I365+J365+K365+L365</f>
        <v>0</v>
      </c>
    </row>
    <row r="366" spans="3:14">
      <c r="C366">
        <f>32.0</f>
        <v>0</v>
      </c>
      <c r="D366">
        <f>12.0</f>
        <v>0</v>
      </c>
      <c r="E366">
        <f>E329*0.7333</f>
        <v>0</v>
      </c>
      <c r="F366">
        <f>F329*-2.0324</f>
        <v>0</v>
      </c>
      <c r="G366">
        <f>G329*-0.1435</f>
        <v>0</v>
      </c>
      <c r="H366">
        <f>H329*0.0</f>
        <v>0</v>
      </c>
      <c r="I366">
        <f>I329*-0.5604</f>
        <v>0</v>
      </c>
      <c r="J366">
        <f>J329*12.6827</f>
        <v>0</v>
      </c>
      <c r="K366">
        <f>K329*-9.512</f>
        <v>0</v>
      </c>
      <c r="L366">
        <f>L329*68.0584</f>
        <v>0</v>
      </c>
      <c r="M366">
        <f>M329*-68.6476</f>
        <v>0</v>
      </c>
      <c r="N366">
        <f>E366+F366+G366+H366+I366+J366+K366+L366</f>
        <v>0</v>
      </c>
    </row>
    <row r="367" spans="3:14">
      <c r="C367">
        <f>33.0</f>
        <v>0</v>
      </c>
      <c r="D367">
        <f>13.0</f>
        <v>0</v>
      </c>
      <c r="E367">
        <f>E329*-2.8652</f>
        <v>0</v>
      </c>
      <c r="F367">
        <f>F329*-2.4087</f>
        <v>0</v>
      </c>
      <c r="G367">
        <f>G329*0.0693</f>
        <v>0</v>
      </c>
      <c r="H367">
        <f>H329*0.0</f>
        <v>0</v>
      </c>
      <c r="I367">
        <f>I329*-0.2562</f>
        <v>0</v>
      </c>
      <c r="J367">
        <f>J329*6.6936</f>
        <v>0</v>
      </c>
      <c r="K367">
        <f>K329*-5.0202</f>
        <v>0</v>
      </c>
      <c r="L367">
        <f>L329*74.0772</f>
        <v>0</v>
      </c>
      <c r="M367">
        <f>M329*-69.5427</f>
        <v>0</v>
      </c>
      <c r="N367">
        <f>E367+F367+G367+H367+I367+J367+K367+L367</f>
        <v>0</v>
      </c>
    </row>
    <row r="368" spans="3:14">
      <c r="C368">
        <f>34.0</f>
        <v>0</v>
      </c>
      <c r="D368">
        <f>14.0</f>
        <v>0</v>
      </c>
      <c r="E368">
        <f>E329*-5.6026</f>
        <v>0</v>
      </c>
      <c r="F368">
        <f>F329*-2.5976</f>
        <v>0</v>
      </c>
      <c r="G368">
        <f>G329*0.2779</f>
        <v>0</v>
      </c>
      <c r="H368">
        <f>H329*0.0</f>
        <v>0</v>
      </c>
      <c r="I368">
        <f>I329*0.0857</f>
        <v>0</v>
      </c>
      <c r="J368">
        <f>J329*-1.1821</f>
        <v>0</v>
      </c>
      <c r="K368">
        <f>K329*0.8866</f>
        <v>0</v>
      </c>
      <c r="L368">
        <f>L329*84.1383</f>
        <v>0</v>
      </c>
      <c r="M368">
        <f>M329*-70.7418</f>
        <v>0</v>
      </c>
      <c r="N368">
        <f>E368+F368+G368+H368+I368+J368+K368+L368</f>
        <v>0</v>
      </c>
    </row>
    <row r="369" spans="3:14">
      <c r="C369">
        <f>35.0</f>
        <v>0</v>
      </c>
      <c r="D369">
        <f>15.0</f>
        <v>0</v>
      </c>
      <c r="E369">
        <f>E329*-7.4537</f>
        <v>0</v>
      </c>
      <c r="F369">
        <f>F329*2.4039</f>
        <v>0</v>
      </c>
      <c r="G369">
        <f>G329*0.4175</f>
        <v>0</v>
      </c>
      <c r="H369">
        <f>H329*0.0</f>
        <v>0</v>
      </c>
      <c r="I369">
        <f>I329*0.7601</f>
        <v>0</v>
      </c>
      <c r="J369">
        <f>J329*52.6124</f>
        <v>0</v>
      </c>
      <c r="K369">
        <f>K329*-39.4593</f>
        <v>0</v>
      </c>
      <c r="L369">
        <f>L329*90.2557</f>
        <v>0</v>
      </c>
      <c r="M369">
        <f>M329*-98.499</f>
        <v>0</v>
      </c>
      <c r="N369">
        <f>E369+F369+G369+H369+I369+J369+K369+L369</f>
        <v>0</v>
      </c>
    </row>
    <row r="370" spans="3:14">
      <c r="C370">
        <f>35.91</f>
        <v>0</v>
      </c>
      <c r="D370">
        <f>15.91</f>
        <v>0</v>
      </c>
      <c r="E370">
        <f>E329*-0.5619</f>
        <v>0</v>
      </c>
      <c r="F370">
        <f>F329*5.2457</f>
        <v>0</v>
      </c>
      <c r="G370">
        <f>G329*0.4345</f>
        <v>0</v>
      </c>
      <c r="H370">
        <f>H329*0.0</f>
        <v>0</v>
      </c>
      <c r="I370">
        <f>I329*0.8164</f>
        <v>0</v>
      </c>
      <c r="J370">
        <f>J329*47.0869</f>
        <v>0</v>
      </c>
      <c r="K370">
        <f>K329*-35.3152</f>
        <v>0</v>
      </c>
      <c r="L370">
        <f>L329*95.6801</f>
        <v>0</v>
      </c>
      <c r="M370">
        <f>M329*-96.29700000000001</f>
        <v>0</v>
      </c>
      <c r="N370">
        <f>E370+F370+G370+H370+I370+J370+K370+L370</f>
        <v>0</v>
      </c>
    </row>
    <row r="371" spans="3:14">
      <c r="C371">
        <f>36.82</f>
        <v>0</v>
      </c>
      <c r="D371">
        <f>16.82</f>
        <v>0</v>
      </c>
      <c r="E371">
        <f>E329*-2.966</f>
        <v>0</v>
      </c>
      <c r="F371">
        <f>F329*5.9385</f>
        <v>0</v>
      </c>
      <c r="G371">
        <f>G329*0.8183</f>
        <v>0</v>
      </c>
      <c r="H371">
        <f>H329*0.0</f>
        <v>0</v>
      </c>
      <c r="I371">
        <f>I329*1.177</f>
        <v>0</v>
      </c>
      <c r="J371">
        <f>J329*41.408</f>
        <v>0</v>
      </c>
      <c r="K371">
        <f>K329*-31.055999999999997</f>
        <v>0</v>
      </c>
      <c r="L371">
        <f>L329*104.5873</f>
        <v>0</v>
      </c>
      <c r="M371">
        <f>M329*-92.6459</f>
        <v>0</v>
      </c>
      <c r="N371">
        <f>E371+F371+G371+H371+I371+J371+K371+L371</f>
        <v>0</v>
      </c>
    </row>
    <row r="372" spans="3:14">
      <c r="C372">
        <f>37.73</f>
        <v>0</v>
      </c>
      <c r="D372">
        <f>17.73</f>
        <v>0</v>
      </c>
      <c r="E372">
        <f>E329*-5.0222</f>
        <v>0</v>
      </c>
      <c r="F372">
        <f>F329*7.5972</f>
        <v>0</v>
      </c>
      <c r="G372">
        <f>G329*1.3321</f>
        <v>0</v>
      </c>
      <c r="H372">
        <f>H329*0.0</f>
        <v>0</v>
      </c>
      <c r="I372">
        <f>I329*1.7703</f>
        <v>0</v>
      </c>
      <c r="J372">
        <f>J329*35.7076</f>
        <v>0</v>
      </c>
      <c r="K372">
        <f>K329*-26.7807</f>
        <v>0</v>
      </c>
      <c r="L372">
        <f>L329*115.32700000000001</f>
        <v>0</v>
      </c>
      <c r="M372">
        <f>M329*-88.954</f>
        <v>0</v>
      </c>
      <c r="N372">
        <f>E372+F372+G372+H372+I372+J372+K372+L372</f>
        <v>0</v>
      </c>
    </row>
    <row r="373" spans="3:14">
      <c r="C373">
        <f>38.64</f>
        <v>0</v>
      </c>
      <c r="D373">
        <f>18.64</f>
        <v>0</v>
      </c>
      <c r="E373">
        <f>E329*-6.8633</f>
        <v>0</v>
      </c>
      <c r="F373">
        <f>F329*9.954</f>
        <v>0</v>
      </c>
      <c r="G373">
        <f>G329*1.8413</f>
        <v>0</v>
      </c>
      <c r="H373">
        <f>H329*0.0</f>
        <v>0</v>
      </c>
      <c r="I373">
        <f>I329*2.1821</f>
        <v>0</v>
      </c>
      <c r="J373">
        <f>J329*28.6135</f>
        <v>0</v>
      </c>
      <c r="K373">
        <f>K329*-21.4602</f>
        <v>0</v>
      </c>
      <c r="L373">
        <f>L329*126.7961</f>
        <v>0</v>
      </c>
      <c r="M373">
        <f>M329*-84.7832</f>
        <v>0</v>
      </c>
      <c r="N373">
        <f>E373+F373+G373+H373+I373+J373+K373+L373</f>
        <v>0</v>
      </c>
    </row>
    <row r="374" spans="3:14">
      <c r="C374">
        <f>39.55</f>
        <v>0</v>
      </c>
      <c r="D374">
        <f>19.55</f>
        <v>0</v>
      </c>
      <c r="E374">
        <f>E329*-7.8923</f>
        <v>0</v>
      </c>
      <c r="F374">
        <f>F329*10.927</f>
        <v>0</v>
      </c>
      <c r="G374">
        <f>G329*2.0103</f>
        <v>0</v>
      </c>
      <c r="H374">
        <f>H329*0.0</f>
        <v>0</v>
      </c>
      <c r="I374">
        <f>I329*1.8092</f>
        <v>0</v>
      </c>
      <c r="J374">
        <f>J329*42.4722</f>
        <v>0</v>
      </c>
      <c r="K374">
        <f>K329*-31.8542</f>
        <v>0</v>
      </c>
      <c r="L374">
        <f>L329*129.1561</f>
        <v>0</v>
      </c>
      <c r="M374">
        <f>M329*-101.1297</f>
        <v>0</v>
      </c>
      <c r="N374">
        <f>E374+F374+G374+H374+I374+J374+K374+L374</f>
        <v>0</v>
      </c>
    </row>
    <row r="375" spans="3:14">
      <c r="C375">
        <f>40.0</f>
        <v>0</v>
      </c>
      <c r="D375">
        <f>20.0</f>
        <v>0</v>
      </c>
      <c r="E375">
        <f>E329*-1.4425</f>
        <v>0</v>
      </c>
      <c r="F375">
        <f>F329*10.5717</f>
        <v>0</v>
      </c>
      <c r="G375">
        <f>G329*1.3155</f>
        <v>0</v>
      </c>
      <c r="H375">
        <f>H329*0.0</f>
        <v>0</v>
      </c>
      <c r="I375">
        <f>I329*1.7216</f>
        <v>0</v>
      </c>
      <c r="J375">
        <f>J329*42.4722</f>
        <v>0</v>
      </c>
      <c r="K375">
        <f>K329*-31.8542</f>
        <v>0</v>
      </c>
      <c r="L375">
        <f>L329*75.1195</f>
        <v>0</v>
      </c>
      <c r="M375">
        <f>M329*-101.1291</f>
        <v>0</v>
      </c>
      <c r="N375">
        <f>E375+F375+G375+H375+I375+J375+K375+L375</f>
        <v>0</v>
      </c>
    </row>
    <row r="376" spans="3:14">
      <c r="C376">
        <f>40.0</f>
        <v>0</v>
      </c>
      <c r="D376">
        <f>0.0</f>
        <v>0</v>
      </c>
      <c r="E376">
        <f>E329*0.503</f>
        <v>0</v>
      </c>
      <c r="F376">
        <f>F329*-11.2619</f>
        <v>0</v>
      </c>
      <c r="G376">
        <f>G329*-1.3698</f>
        <v>0</v>
      </c>
      <c r="H376">
        <f>H329*0.0</f>
        <v>0</v>
      </c>
      <c r="I376">
        <f>I329*-12.6889</f>
        <v>0</v>
      </c>
      <c r="J376">
        <f>J329*-31.7312</f>
        <v>0</v>
      </c>
      <c r="K376">
        <f>K329*23.7984</f>
        <v>0</v>
      </c>
      <c r="L376">
        <f>L329*13.9476</f>
        <v>0</v>
      </c>
      <c r="M376">
        <f>M329*-30.7036</f>
        <v>0</v>
      </c>
      <c r="N376">
        <f>E376+F376+G376+H376+I376+J376+K376+L376</f>
        <v>0</v>
      </c>
    </row>
    <row r="377" spans="3:14">
      <c r="C377">
        <f>40.45</f>
        <v>0</v>
      </c>
      <c r="D377">
        <f>0.45</f>
        <v>0</v>
      </c>
      <c r="E377">
        <f>E329*6.4274</f>
        <v>0</v>
      </c>
      <c r="F377">
        <f>F329*-12.4991</f>
        <v>0</v>
      </c>
      <c r="G377">
        <f>G329*-2.1674</f>
        <v>0</v>
      </c>
      <c r="H377">
        <f>H329*0.0</f>
        <v>0</v>
      </c>
      <c r="I377">
        <f>I329*-14.9437</f>
        <v>0</v>
      </c>
      <c r="J377">
        <f>J329*-31.7312</f>
        <v>0</v>
      </c>
      <c r="K377">
        <f>K329*23.7984</f>
        <v>0</v>
      </c>
      <c r="L377">
        <f>L329*39.5066</f>
        <v>0</v>
      </c>
      <c r="M377">
        <f>M329*-73.9753</f>
        <v>0</v>
      </c>
      <c r="N377">
        <f>E377+F377+G377+H377+I377+J377+K377+L377</f>
        <v>0</v>
      </c>
    </row>
    <row r="378" spans="3:14">
      <c r="C378">
        <f>41.36</f>
        <v>0</v>
      </c>
      <c r="D378">
        <f>1.36</f>
        <v>0</v>
      </c>
      <c r="E378">
        <f>E329*5.3797</f>
        <v>0</v>
      </c>
      <c r="F378">
        <f>F329*-13.8426</f>
        <v>0</v>
      </c>
      <c r="G378">
        <f>G329*-2.1965</f>
        <v>0</v>
      </c>
      <c r="H378">
        <f>H329*0.0</f>
        <v>0</v>
      </c>
      <c r="I378">
        <f>I329*-14.472999999999999</f>
        <v>0</v>
      </c>
      <c r="J378">
        <f>J329*-14.7499</f>
        <v>0</v>
      </c>
      <c r="K378">
        <f>K329*11.0624</f>
        <v>0</v>
      </c>
      <c r="L378">
        <f>L329*40.6054</f>
        <v>0</v>
      </c>
      <c r="M378">
        <f>M329*-71.8007</f>
        <v>0</v>
      </c>
      <c r="N378">
        <f>E378+F378+G378+H378+I378+J378+K378+L378</f>
        <v>0</v>
      </c>
    </row>
    <row r="379" spans="3:14">
      <c r="C379">
        <f>42.27</f>
        <v>0</v>
      </c>
      <c r="D379">
        <f>2.27</f>
        <v>0</v>
      </c>
      <c r="E379">
        <f>E329*3.412</f>
        <v>0</v>
      </c>
      <c r="F379">
        <f>F329*-12.8357</f>
        <v>0</v>
      </c>
      <c r="G379">
        <f>G329*-1.9411</f>
        <v>0</v>
      </c>
      <c r="H379">
        <f>H329*0.0</f>
        <v>0</v>
      </c>
      <c r="I379">
        <f>I329*-10.8215</f>
        <v>0</v>
      </c>
      <c r="J379">
        <f>J329*-21.7999</f>
        <v>0</v>
      </c>
      <c r="K379">
        <f>K329*16.3499</f>
        <v>0</v>
      </c>
      <c r="L379">
        <f>L329*43.3627</f>
        <v>0</v>
      </c>
      <c r="M379">
        <f>M329*-67.5445</f>
        <v>0</v>
      </c>
      <c r="N379">
        <f>E379+F379+G379+H379+I379+J379+K379+L379</f>
        <v>0</v>
      </c>
    </row>
    <row r="380" spans="3:14">
      <c r="C380">
        <f>43.18</f>
        <v>0</v>
      </c>
      <c r="D380">
        <f>3.18</f>
        <v>0</v>
      </c>
      <c r="E380">
        <f>E329*1.145</f>
        <v>0</v>
      </c>
      <c r="F380">
        <f>F329*-11.4138</f>
        <v>0</v>
      </c>
      <c r="G380">
        <f>G329*-1.5237</f>
        <v>0</v>
      </c>
      <c r="H380">
        <f>H329*0.0</f>
        <v>0</v>
      </c>
      <c r="I380">
        <f>I329*-7.2179</f>
        <v>0</v>
      </c>
      <c r="J380">
        <f>J329*-25.4593</f>
        <v>0</v>
      </c>
      <c r="K380">
        <f>K329*19.0945</f>
        <v>0</v>
      </c>
      <c r="L380">
        <f>L329*46.1969</f>
        <v>0</v>
      </c>
      <c r="M380">
        <f>M329*-60.2894</f>
        <v>0</v>
      </c>
      <c r="N380">
        <f>E380+F380+G380+H380+I380+J380+K380+L380</f>
        <v>0</v>
      </c>
    </row>
    <row r="381" spans="3:14">
      <c r="C381">
        <f>44.09</f>
        <v>0</v>
      </c>
      <c r="D381">
        <f>4.09</f>
        <v>0</v>
      </c>
      <c r="E381">
        <f>E329*-2.7154</f>
        <v>0</v>
      </c>
      <c r="F381">
        <f>F329*-9.9853</f>
        <v>0</v>
      </c>
      <c r="G381">
        <f>G329*-1.0807</f>
        <v>0</v>
      </c>
      <c r="H381">
        <f>H329*0.0</f>
        <v>0</v>
      </c>
      <c r="I381">
        <f>I329*-4.871</f>
        <v>0</v>
      </c>
      <c r="J381">
        <f>J329*-28.3855</f>
        <v>0</v>
      </c>
      <c r="K381">
        <f>K329*21.2892</f>
        <v>0</v>
      </c>
      <c r="L381">
        <f>L329*50.8105</f>
        <v>0</v>
      </c>
      <c r="M381">
        <f>M329*-50.7016</f>
        <v>0</v>
      </c>
      <c r="N381">
        <f>E381+F381+G381+H381+I381+J381+K381+L381</f>
        <v>0</v>
      </c>
    </row>
    <row r="382" spans="3:14">
      <c r="C382">
        <f>45.0</f>
        <v>0</v>
      </c>
      <c r="D382">
        <f>5.0</f>
        <v>0</v>
      </c>
      <c r="E382">
        <f>E329*-4.5594</f>
        <v>0</v>
      </c>
      <c r="F382">
        <f>F329*-7.2538</f>
        <v>0</v>
      </c>
      <c r="G382">
        <f>G329*-1.1648</f>
        <v>0</v>
      </c>
      <c r="H382">
        <f>H329*0.0</f>
        <v>0</v>
      </c>
      <c r="I382">
        <f>I329*6.9978</f>
        <v>0</v>
      </c>
      <c r="J382">
        <f>J329*47.6765</f>
        <v>0</v>
      </c>
      <c r="K382">
        <f>K329*-35.7574</f>
        <v>0</v>
      </c>
      <c r="L382">
        <f>L329*55.9153</f>
        <v>0</v>
      </c>
      <c r="M382">
        <f>M329*-61.2295</f>
        <v>0</v>
      </c>
      <c r="N382">
        <f>E382+F382+G382+H382+I382+J382+K382+L382</f>
        <v>0</v>
      </c>
    </row>
    <row r="383" spans="3:14">
      <c r="C383">
        <f>46.0</f>
        <v>0</v>
      </c>
      <c r="D383">
        <f>6.0</f>
        <v>0</v>
      </c>
      <c r="E383">
        <f>E329*1.2458</f>
        <v>0</v>
      </c>
      <c r="F383">
        <f>F329*-5.4978</f>
        <v>0</v>
      </c>
      <c r="G383">
        <f>G329*-0.8605</f>
        <v>0</v>
      </c>
      <c r="H383">
        <f>H329*0.0</f>
        <v>0</v>
      </c>
      <c r="I383">
        <f>I329*7.9168</f>
        <v>0</v>
      </c>
      <c r="J383">
        <f>J329*45.5211</f>
        <v>0</v>
      </c>
      <c r="K383">
        <f>K329*-34.1408</f>
        <v>0</v>
      </c>
      <c r="L383">
        <f>L329*42.3099</f>
        <v>0</v>
      </c>
      <c r="M383">
        <f>M329*-56.0476</f>
        <v>0</v>
      </c>
      <c r="N383">
        <f>E383+F383+G383+H383+I383+J383+K383+L383</f>
        <v>0</v>
      </c>
    </row>
    <row r="384" spans="3:14">
      <c r="C384">
        <f>47.0</f>
        <v>0</v>
      </c>
      <c r="D384">
        <f>7.0</f>
        <v>0</v>
      </c>
      <c r="E384">
        <f>E329*-3.0572</f>
        <v>0</v>
      </c>
      <c r="F384">
        <f>F329*-3.8716</f>
        <v>0</v>
      </c>
      <c r="G384">
        <f>G329*-0.3545</f>
        <v>0</v>
      </c>
      <c r="H384">
        <f>H329*0.0</f>
        <v>0</v>
      </c>
      <c r="I384">
        <f>I329*9.8058</f>
        <v>0</v>
      </c>
      <c r="J384">
        <f>J329*43.3448</f>
        <v>0</v>
      </c>
      <c r="K384">
        <f>K329*-32.5086</f>
        <v>0</v>
      </c>
      <c r="L384">
        <f>L329*50.9198</f>
        <v>0</v>
      </c>
      <c r="M384">
        <f>M329*-49.668</f>
        <v>0</v>
      </c>
      <c r="N384">
        <f>E384+F384+G384+H384+I384+J384+K384+L384</f>
        <v>0</v>
      </c>
    </row>
    <row r="385" spans="3:14">
      <c r="C385">
        <f>48.0</f>
        <v>0</v>
      </c>
      <c r="D385">
        <f>8.0</f>
        <v>0</v>
      </c>
      <c r="E385">
        <f>E329*-5.5708</f>
        <v>0</v>
      </c>
      <c r="F385">
        <f>F329*-2.2571</f>
        <v>0</v>
      </c>
      <c r="G385">
        <f>G329*0.3278</f>
        <v>0</v>
      </c>
      <c r="H385">
        <f>H329*0.0</f>
        <v>0</v>
      </c>
      <c r="I385">
        <f>I329*12.1778</f>
        <v>0</v>
      </c>
      <c r="J385">
        <f>J329*41.6019</f>
        <v>0</v>
      </c>
      <c r="K385">
        <f>K329*-31.2014</f>
        <v>0</v>
      </c>
      <c r="L385">
        <f>L329*57.9849</f>
        <v>0</v>
      </c>
      <c r="M385">
        <f>M329*-47.5188</f>
        <v>0</v>
      </c>
      <c r="N385">
        <f>E385+F385+G385+H385+I385+J385+K385+L385</f>
        <v>0</v>
      </c>
    </row>
    <row r="386" spans="3:14">
      <c r="C386">
        <f>49.0</f>
        <v>0</v>
      </c>
      <c r="D386">
        <f>9.0</f>
        <v>0</v>
      </c>
      <c r="E386">
        <f>E329*-7.5713</f>
        <v>0</v>
      </c>
      <c r="F386">
        <f>F329*1.675</f>
        <v>0</v>
      </c>
      <c r="G386">
        <f>G329*0.7363</f>
        <v>0</v>
      </c>
      <c r="H386">
        <f>H329*0.0</f>
        <v>0</v>
      </c>
      <c r="I386">
        <f>I329*14.3737</f>
        <v>0</v>
      </c>
      <c r="J386">
        <f>J329*39.1187</f>
        <v>0</v>
      </c>
      <c r="K386">
        <f>K329*-29.339000000000002</f>
        <v>0</v>
      </c>
      <c r="L386">
        <f>L329*63.2895</f>
        <v>0</v>
      </c>
      <c r="M386">
        <f>M329*-48.9679</f>
        <v>0</v>
      </c>
      <c r="N386">
        <f>E386+F386+G386+H386+I386+J386+K386+L386</f>
        <v>0</v>
      </c>
    </row>
    <row r="387" spans="3:14">
      <c r="C387">
        <f>50.0</f>
        <v>0</v>
      </c>
      <c r="D387">
        <f>10.0</f>
        <v>0</v>
      </c>
      <c r="E387">
        <f>E329*-8.6027</f>
        <v>0</v>
      </c>
      <c r="F387">
        <f>F329*3.8436</f>
        <v>0</v>
      </c>
      <c r="G387">
        <f>G329*1.114</f>
        <v>0</v>
      </c>
      <c r="H387">
        <f>H329*0.0</f>
        <v>0</v>
      </c>
      <c r="I387">
        <f>I329*15.2345</f>
        <v>0</v>
      </c>
      <c r="J387">
        <f>J329*41.126999999999995</f>
        <v>0</v>
      </c>
      <c r="K387">
        <f>K329*-30.8453</f>
        <v>0</v>
      </c>
      <c r="L387">
        <f>L329*63.7231</f>
        <v>0</v>
      </c>
      <c r="M387">
        <f>M329*-51.4364</f>
        <v>0</v>
      </c>
      <c r="N387">
        <f>E387+F387+G387+H387+I387+J387+K387+L387</f>
        <v>0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10:N387"/>
  <sheetViews>
    <sheetView workbookViewId="0"/>
  </sheetViews>
  <sheetFormatPr defaultRowHeight="15"/>
  <sheetData>
    <row r="10" spans="3:14">
      <c r="C10" t="s">
        <v>0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</row>
    <row r="11" spans="3:14">
      <c r="C11">
        <f>0.0</f>
        <v>0</v>
      </c>
      <c r="D11">
        <f>0.0</f>
        <v>0</v>
      </c>
      <c r="E11">
        <f>E9*22.5127</f>
        <v>0</v>
      </c>
      <c r="F11">
        <f>F9*-37.2308</f>
        <v>0</v>
      </c>
      <c r="G11">
        <f>G9*-7.4928</f>
        <v>0</v>
      </c>
      <c r="H11">
        <f>H9*0.0</f>
        <v>0</v>
      </c>
      <c r="I11">
        <f>I9*-0.0594</f>
        <v>0</v>
      </c>
      <c r="J11">
        <f>J9*-199.0404</f>
        <v>0</v>
      </c>
      <c r="K11">
        <f>K9*149.2803</f>
        <v>0</v>
      </c>
      <c r="L11">
        <f>L9*174.7993</f>
        <v>0</v>
      </c>
      <c r="M11">
        <f>M9*-247.0091</f>
        <v>0</v>
      </c>
      <c r="N11">
        <f>E11+F11+G11+H11+I11+J11+K11+L11</f>
        <v>0</v>
      </c>
    </row>
    <row r="12" spans="3:14">
      <c r="C12">
        <f>1.0</f>
        <v>0</v>
      </c>
      <c r="D12">
        <f>1.0</f>
        <v>0</v>
      </c>
      <c r="E12">
        <f>E9*33.3869</f>
        <v>0</v>
      </c>
      <c r="F12">
        <f>F9*208.9494</f>
        <v>0</v>
      </c>
      <c r="G12">
        <f>G9*29.4011</f>
        <v>0</v>
      </c>
      <c r="H12">
        <f>H9*0.0</f>
        <v>0</v>
      </c>
      <c r="I12">
        <f>I9*-0.054000000000000006</f>
        <v>0</v>
      </c>
      <c r="J12">
        <f>J9*-90.9767</f>
        <v>0</v>
      </c>
      <c r="K12">
        <f>K9*68.2326</f>
        <v>0</v>
      </c>
      <c r="L12">
        <f>L9*372.0947</f>
        <v>0</v>
      </c>
      <c r="M12">
        <f>M9*-38.8762</f>
        <v>0</v>
      </c>
      <c r="N12">
        <f>E12+F12+G12+H12+I12+J12+K12+L12</f>
        <v>0</v>
      </c>
    </row>
    <row r="13" spans="3:14">
      <c r="C13">
        <f>2.0</f>
        <v>0</v>
      </c>
      <c r="D13">
        <f>2.0</f>
        <v>0</v>
      </c>
      <c r="E13">
        <f>E9*44.5054</f>
        <v>0</v>
      </c>
      <c r="F13">
        <f>F9*411.2355</f>
        <v>0</v>
      </c>
      <c r="G13">
        <f>G9*59.2292</f>
        <v>0</v>
      </c>
      <c r="H13">
        <f>H9*0.0</f>
        <v>0</v>
      </c>
      <c r="I13">
        <f>I9*-0.0481</f>
        <v>0</v>
      </c>
      <c r="J13">
        <f>J9*12.2386</f>
        <v>0</v>
      </c>
      <c r="K13">
        <f>K9*-9.179</f>
        <v>0</v>
      </c>
      <c r="L13">
        <f>L9*623.4696</f>
        <v>0</v>
      </c>
      <c r="M13">
        <f>M9*-13.6907</f>
        <v>0</v>
      </c>
      <c r="N13">
        <f>E13+F13+G13+H13+I13+J13+K13+L13</f>
        <v>0</v>
      </c>
    </row>
    <row r="14" spans="3:14">
      <c r="C14">
        <f>3.0</f>
        <v>0</v>
      </c>
      <c r="D14">
        <f>3.0</f>
        <v>0</v>
      </c>
      <c r="E14">
        <f>E9*56.4693</f>
        <v>0</v>
      </c>
      <c r="F14">
        <f>F9*583.2861</f>
        <v>0</v>
      </c>
      <c r="G14">
        <f>G9*84.036</f>
        <v>0</v>
      </c>
      <c r="H14">
        <f>H9*0.0</f>
        <v>0</v>
      </c>
      <c r="I14">
        <f>I9*-0.0423</f>
        <v>0</v>
      </c>
      <c r="J14">
        <f>J9*91.7165</f>
        <v>0</v>
      </c>
      <c r="K14">
        <f>K9*-68.7873</f>
        <v>0</v>
      </c>
      <c r="L14">
        <f>L9*841.75</f>
        <v>0</v>
      </c>
      <c r="M14">
        <f>M9*-15.255999999999998</f>
        <v>0</v>
      </c>
      <c r="N14">
        <f>E14+F14+G14+H14+I14+J14+K14+L14</f>
        <v>0</v>
      </c>
    </row>
    <row r="15" spans="3:14">
      <c r="C15">
        <f>4.0</f>
        <v>0</v>
      </c>
      <c r="D15">
        <f>4.0</f>
        <v>0</v>
      </c>
      <c r="E15">
        <f>E9*68.1612</f>
        <v>0</v>
      </c>
      <c r="F15">
        <f>F9*719.1837</f>
        <v>0</v>
      </c>
      <c r="G15">
        <f>G9*103.0469</f>
        <v>0</v>
      </c>
      <c r="H15">
        <f>H9*0.0</f>
        <v>0</v>
      </c>
      <c r="I15">
        <f>I9*-0.0367</f>
        <v>0</v>
      </c>
      <c r="J15">
        <f>J9*169.6792</f>
        <v>0</v>
      </c>
      <c r="K15">
        <f>K9*-127.2594</f>
        <v>0</v>
      </c>
      <c r="L15">
        <f>L9*1005.8245</f>
        <v>0</v>
      </c>
      <c r="M15">
        <f>M9*-17.0158</f>
        <v>0</v>
      </c>
      <c r="N15">
        <f>E15+F15+G15+H15+I15+J15+K15+L15</f>
        <v>0</v>
      </c>
    </row>
    <row r="16" spans="3:14">
      <c r="C16">
        <f>5.0</f>
        <v>0</v>
      </c>
      <c r="D16">
        <f>5.0</f>
        <v>0</v>
      </c>
      <c r="E16">
        <f>E9*80.2294</f>
        <v>0</v>
      </c>
      <c r="F16">
        <f>F9*835.7625</f>
        <v>0</v>
      </c>
      <c r="G16">
        <f>G9*118.7557</f>
        <v>0</v>
      </c>
      <c r="H16">
        <f>H9*0.0</f>
        <v>0</v>
      </c>
      <c r="I16">
        <f>I9*-0.032</f>
        <v>0</v>
      </c>
      <c r="J16">
        <f>J9*236.995</f>
        <v>0</v>
      </c>
      <c r="K16">
        <f>K9*-177.7463</f>
        <v>0</v>
      </c>
      <c r="L16">
        <f>L9*1140.4877</f>
        <v>0</v>
      </c>
      <c r="M16">
        <f>M9*-19.0466</f>
        <v>0</v>
      </c>
      <c r="N16">
        <f>E16+F16+G16+H16+I16+J16+K16+L16</f>
        <v>0</v>
      </c>
    </row>
    <row r="17" spans="3:14">
      <c r="C17">
        <f>6.0</f>
        <v>0</v>
      </c>
      <c r="D17">
        <f>6.0</f>
        <v>0</v>
      </c>
      <c r="E17">
        <f>E9*86.9761</f>
        <v>0</v>
      </c>
      <c r="F17">
        <f>F9*934.2078</f>
        <v>0</v>
      </c>
      <c r="G17">
        <f>G9*133.879</f>
        <v>0</v>
      </c>
      <c r="H17">
        <f>H9*0.0</f>
        <v>0</v>
      </c>
      <c r="I17">
        <f>I9*-0.0293</f>
        <v>0</v>
      </c>
      <c r="J17">
        <f>J9*211.6246</f>
        <v>0</v>
      </c>
      <c r="K17">
        <f>K9*-158.7185</f>
        <v>0</v>
      </c>
      <c r="L17">
        <f>L9*1276.0762</f>
        <v>0</v>
      </c>
      <c r="M17">
        <f>M9*-21.266</f>
        <v>0</v>
      </c>
      <c r="N17">
        <f>E17+F17+G17+H17+I17+J17+K17+L17</f>
        <v>0</v>
      </c>
    </row>
    <row r="18" spans="3:14">
      <c r="C18">
        <f>7.0</f>
        <v>0</v>
      </c>
      <c r="D18">
        <f>7.0</f>
        <v>0</v>
      </c>
      <c r="E18">
        <f>E9*92.1139</f>
        <v>0</v>
      </c>
      <c r="F18">
        <f>F9*1007.7985</f>
        <v>0</v>
      </c>
      <c r="G18">
        <f>G9*144.912</f>
        <v>0</v>
      </c>
      <c r="H18">
        <f>H9*0.0</f>
        <v>0</v>
      </c>
      <c r="I18">
        <f>I9*-0.0268</f>
        <v>0</v>
      </c>
      <c r="J18">
        <f>J9*199.6995</f>
        <v>0</v>
      </c>
      <c r="K18">
        <f>K9*-149.7746</f>
        <v>0</v>
      </c>
      <c r="L18">
        <f>L9*1373.3847</f>
        <v>0</v>
      </c>
      <c r="M18">
        <f>M9*-23.4292</f>
        <v>0</v>
      </c>
      <c r="N18">
        <f>E18+F18+G18+H18+I18+J18+K18+L18</f>
        <v>0</v>
      </c>
    </row>
    <row r="19" spans="3:14">
      <c r="C19">
        <f>8.0</f>
        <v>0</v>
      </c>
      <c r="D19">
        <f>8.0</f>
        <v>0</v>
      </c>
      <c r="E19">
        <f>E9*96.9956</f>
        <v>0</v>
      </c>
      <c r="F19">
        <f>F9*1055.3254</f>
        <v>0</v>
      </c>
      <c r="G19">
        <f>G9*151.6249</f>
        <v>0</v>
      </c>
      <c r="H19">
        <f>H9*0.0</f>
        <v>0</v>
      </c>
      <c r="I19">
        <f>I9*-0.0244</f>
        <v>0</v>
      </c>
      <c r="J19">
        <f>J9*198.6673</f>
        <v>0</v>
      </c>
      <c r="K19">
        <f>K9*-149.0005</f>
        <v>0</v>
      </c>
      <c r="L19">
        <f>L9*1428.6787</f>
        <v>0</v>
      </c>
      <c r="M19">
        <f>M9*-25.4096</f>
        <v>0</v>
      </c>
      <c r="N19">
        <f>E19+F19+G19+H19+I19+J19+K19+L19</f>
        <v>0</v>
      </c>
    </row>
    <row r="20" spans="3:14">
      <c r="C20">
        <f>9.0</f>
        <v>0</v>
      </c>
      <c r="D20">
        <f>9.0</f>
        <v>0</v>
      </c>
      <c r="E20">
        <f>E9*102.4648</f>
        <v>0</v>
      </c>
      <c r="F20">
        <f>F9*1087.9167</f>
        <v>0</v>
      </c>
      <c r="G20">
        <f>G9*155.6693</f>
        <v>0</v>
      </c>
      <c r="H20">
        <f>H9*0.0</f>
        <v>0</v>
      </c>
      <c r="I20">
        <f>I9*-0.0226</f>
        <v>0</v>
      </c>
      <c r="J20">
        <f>J9*209.3077</f>
        <v>0</v>
      </c>
      <c r="K20">
        <f>K9*-156.9808</f>
        <v>0</v>
      </c>
      <c r="L20">
        <f>L9*1457.9077</f>
        <v>0</v>
      </c>
      <c r="M20">
        <f>M9*-27.5633</f>
        <v>0</v>
      </c>
      <c r="N20">
        <f>E20+F20+G20+H20+I20+J20+K20+L20</f>
        <v>0</v>
      </c>
    </row>
    <row r="21" spans="3:14">
      <c r="C21">
        <f>10.0</f>
        <v>0</v>
      </c>
      <c r="D21">
        <f>10.0</f>
        <v>0</v>
      </c>
      <c r="E21">
        <f>E9*107.4437</f>
        <v>0</v>
      </c>
      <c r="F21">
        <f>F9*1097.4265</f>
        <v>0</v>
      </c>
      <c r="G21">
        <f>G9*155.8299</f>
        <v>0</v>
      </c>
      <c r="H21">
        <f>H9*0.0</f>
        <v>0</v>
      </c>
      <c r="I21">
        <f>I9*-0.0217</f>
        <v>0</v>
      </c>
      <c r="J21">
        <f>J9*223.6588</f>
        <v>0</v>
      </c>
      <c r="K21">
        <f>K9*-167.7441</f>
        <v>0</v>
      </c>
      <c r="L21">
        <f>L9*1448.5</f>
        <v>0</v>
      </c>
      <c r="M21">
        <f>M9*-29.9357</f>
        <v>0</v>
      </c>
      <c r="N21">
        <f>E21+F21+G21+H21+I21+J21+K21+L21</f>
        <v>0</v>
      </c>
    </row>
    <row r="22" spans="3:14">
      <c r="C22">
        <f>11.0</f>
        <v>0</v>
      </c>
      <c r="D22">
        <f>11.0</f>
        <v>0</v>
      </c>
      <c r="E22">
        <f>E9*101.8759</f>
        <v>0</v>
      </c>
      <c r="F22">
        <f>F9*1082.2189</f>
        <v>0</v>
      </c>
      <c r="G22">
        <f>G9*154.8188</f>
        <v>0</v>
      </c>
      <c r="H22">
        <f>H9*0.0</f>
        <v>0</v>
      </c>
      <c r="I22">
        <f>I9*-0.0232</f>
        <v>0</v>
      </c>
      <c r="J22">
        <f>J9*206.9333</f>
        <v>0</v>
      </c>
      <c r="K22">
        <f>K9*-155.1999</f>
        <v>0</v>
      </c>
      <c r="L22">
        <f>L9*1455.2001</f>
        <v>0</v>
      </c>
      <c r="M22">
        <f>M9*-32.5027</f>
        <v>0</v>
      </c>
      <c r="N22">
        <f>E22+F22+G22+H22+I22+J22+K22+L22</f>
        <v>0</v>
      </c>
    </row>
    <row r="23" spans="3:14">
      <c r="C23">
        <f>12.0</f>
        <v>0</v>
      </c>
      <c r="D23">
        <f>12.0</f>
        <v>0</v>
      </c>
      <c r="E23">
        <f>E9*95.5251</f>
        <v>0</v>
      </c>
      <c r="F23">
        <f>F9*1043.1559</f>
        <v>0</v>
      </c>
      <c r="G23">
        <f>G9*149.8249</f>
        <v>0</v>
      </c>
      <c r="H23">
        <f>H9*0.0</f>
        <v>0</v>
      </c>
      <c r="I23">
        <f>I9*-0.0253</f>
        <v>0</v>
      </c>
      <c r="J23">
        <f>J9*195.769</f>
        <v>0</v>
      </c>
      <c r="K23">
        <f>K9*-146.8267</f>
        <v>0</v>
      </c>
      <c r="L23">
        <f>L9*1419.3210000000001</f>
        <v>0</v>
      </c>
      <c r="M23">
        <f>M9*-35.6006</f>
        <v>0</v>
      </c>
      <c r="N23">
        <f>E23+F23+G23+H23+I23+J23+K23+L23</f>
        <v>0</v>
      </c>
    </row>
    <row r="24" spans="3:14">
      <c r="C24">
        <f>13.0</f>
        <v>0</v>
      </c>
      <c r="D24">
        <f>13.0</f>
        <v>0</v>
      </c>
      <c r="E24">
        <f>E9*89.8848</f>
        <v>0</v>
      </c>
      <c r="F24">
        <f>F9*989.9588</f>
        <v>0</v>
      </c>
      <c r="G24">
        <f>G9*142.27700000000002</f>
        <v>0</v>
      </c>
      <c r="H24">
        <f>H9*0.0</f>
        <v>0</v>
      </c>
      <c r="I24">
        <f>I9*-0.0283</f>
        <v>0</v>
      </c>
      <c r="J24">
        <f>J9*195.5111</f>
        <v>0</v>
      </c>
      <c r="K24">
        <f>K9*-146.6334</f>
        <v>0</v>
      </c>
      <c r="L24">
        <f>L9*1358.1381</f>
        <v>0</v>
      </c>
      <c r="M24">
        <f>M9*-38.6632</f>
        <v>0</v>
      </c>
      <c r="N24">
        <f>E24+F24+G24+H24+I24+J24+K24+L24</f>
        <v>0</v>
      </c>
    </row>
    <row r="25" spans="3:14">
      <c r="C25">
        <f>14.0</f>
        <v>0</v>
      </c>
      <c r="D25">
        <f>14.0</f>
        <v>0</v>
      </c>
      <c r="E25">
        <f>E9*83.9435</f>
        <v>0</v>
      </c>
      <c r="F25">
        <f>F9*910.664</f>
        <v>0</v>
      </c>
      <c r="G25">
        <f>G9*130.3999</f>
        <v>0</v>
      </c>
      <c r="H25">
        <f>H9*0.0</f>
        <v>0</v>
      </c>
      <c r="I25">
        <f>I9*-0.0322</f>
        <v>0</v>
      </c>
      <c r="J25">
        <f>J9*206.6754</f>
        <v>0</v>
      </c>
      <c r="K25">
        <f>K9*-155.0066</f>
        <v>0</v>
      </c>
      <c r="L25">
        <f>L9*1259.7498</f>
        <v>0</v>
      </c>
      <c r="M25">
        <f>M9*-41.4255</f>
        <v>0</v>
      </c>
      <c r="N25">
        <f>E25+F25+G25+H25+I25+J25+K25+L25</f>
        <v>0</v>
      </c>
    </row>
    <row r="26" spans="3:14">
      <c r="C26">
        <f>15.0</f>
        <v>0</v>
      </c>
      <c r="D26">
        <f>15.0</f>
        <v>0</v>
      </c>
      <c r="E26">
        <f>E9*76.3507</f>
        <v>0</v>
      </c>
      <c r="F26">
        <f>F9*808.7866</f>
        <v>0</v>
      </c>
      <c r="G26">
        <f>G9*114.728</f>
        <v>0</v>
      </c>
      <c r="H26">
        <f>H9*0.0</f>
        <v>0</v>
      </c>
      <c r="I26">
        <f>I9*-0.0421</f>
        <v>0</v>
      </c>
      <c r="J26">
        <f>J9*228.4886</f>
        <v>0</v>
      </c>
      <c r="K26">
        <f>K9*-171.3665</f>
        <v>0</v>
      </c>
      <c r="L26">
        <f>L9*1119.6477</f>
        <v>0</v>
      </c>
      <c r="M26">
        <f>M9*-44.7154</f>
        <v>0</v>
      </c>
      <c r="N26">
        <f>E26+F26+G26+H26+I26+J26+K26+L26</f>
        <v>0</v>
      </c>
    </row>
    <row r="27" spans="3:14">
      <c r="C27">
        <f>15.91</f>
        <v>0</v>
      </c>
      <c r="D27">
        <f>15.91</f>
        <v>0</v>
      </c>
      <c r="E27">
        <f>E9*62.5354</f>
        <v>0</v>
      </c>
      <c r="F27">
        <f>F9*693.2026</f>
        <v>0</v>
      </c>
      <c r="G27">
        <f>G9*99.2686</f>
        <v>0</v>
      </c>
      <c r="H27">
        <f>H9*0.0</f>
        <v>0</v>
      </c>
      <c r="I27">
        <f>I9*-0.0364</f>
        <v>0</v>
      </c>
      <c r="J27">
        <f>J9*199.8086</f>
        <v>0</v>
      </c>
      <c r="K27">
        <f>K9*-149.8564</f>
        <v>0</v>
      </c>
      <c r="L27">
        <f>L9*991.5664</f>
        <v>0</v>
      </c>
      <c r="M27">
        <f>M9*-49.9026</f>
        <v>0</v>
      </c>
      <c r="N27">
        <f>E27+F27+G27+H27+I27+J27+K27+L27</f>
        <v>0</v>
      </c>
    </row>
    <row r="28" spans="3:14">
      <c r="C28">
        <f>16.82</f>
        <v>0</v>
      </c>
      <c r="D28">
        <f>16.82</f>
        <v>0</v>
      </c>
      <c r="E28">
        <f>E9*47.61600000000001</f>
        <v>0</v>
      </c>
      <c r="F28">
        <f>F9*554.242</f>
        <v>0</v>
      </c>
      <c r="G28">
        <f>G9*80.0645</f>
        <v>0</v>
      </c>
      <c r="H28">
        <f>H9*0.0</f>
        <v>0</v>
      </c>
      <c r="I28">
        <f>I9*-0.0304</f>
        <v>0</v>
      </c>
      <c r="J28">
        <f>J9*164.1245</f>
        <v>0</v>
      </c>
      <c r="K28">
        <f>K9*-123.0934</f>
        <v>0</v>
      </c>
      <c r="L28">
        <f>L9*823.6635</f>
        <v>0</v>
      </c>
      <c r="M28">
        <f>M9*-56.9095</f>
        <v>0</v>
      </c>
      <c r="N28">
        <f>E28+F28+G28+H28+I28+J28+K28+L28</f>
        <v>0</v>
      </c>
    </row>
    <row r="29" spans="3:14">
      <c r="C29">
        <f>17.73</f>
        <v>0</v>
      </c>
      <c r="D29">
        <f>17.73</f>
        <v>0</v>
      </c>
      <c r="E29">
        <f>E9*32.1645</f>
        <v>0</v>
      </c>
      <c r="F29">
        <f>F9*387.8378</f>
        <v>0</v>
      </c>
      <c r="G29">
        <f>G9*56.4319</f>
        <v>0</v>
      </c>
      <c r="H29">
        <f>H9*0.0</f>
        <v>0</v>
      </c>
      <c r="I29">
        <f>I9*-0.0213</f>
        <v>0</v>
      </c>
      <c r="J29">
        <f>J9*133.4111</f>
        <v>0</v>
      </c>
      <c r="K29">
        <f>K9*-100.0583</f>
        <v>0</v>
      </c>
      <c r="L29">
        <f>L9*601.5098</f>
        <v>0</v>
      </c>
      <c r="M29">
        <f>M9*-64.9101</f>
        <v>0</v>
      </c>
      <c r="N29">
        <f>E29+F29+G29+H29+I29+J29+K29+L29</f>
        <v>0</v>
      </c>
    </row>
    <row r="30" spans="3:14">
      <c r="C30">
        <f>18.64</f>
        <v>0</v>
      </c>
      <c r="D30">
        <f>18.64</f>
        <v>0</v>
      </c>
      <c r="E30">
        <f>E9*17.7844</f>
        <v>0</v>
      </c>
      <c r="F30">
        <f>F9*211.58</f>
        <v>0</v>
      </c>
      <c r="G30">
        <f>G9*30.9291</f>
        <v>0</v>
      </c>
      <c r="H30">
        <f>H9*0.0</f>
        <v>0</v>
      </c>
      <c r="I30">
        <f>I9*-0.0077</f>
        <v>0</v>
      </c>
      <c r="J30">
        <f>J9*109.5718</f>
        <v>0</v>
      </c>
      <c r="K30">
        <f>K9*-82.1788</f>
        <v>0</v>
      </c>
      <c r="L30">
        <f>L9*345.17400000000004</f>
        <v>0</v>
      </c>
      <c r="M30">
        <f>M9*-75.1718</f>
        <v>0</v>
      </c>
      <c r="N30">
        <f>E30+F30+G30+H30+I30+J30+K30+L30</f>
        <v>0</v>
      </c>
    </row>
    <row r="31" spans="3:14">
      <c r="C31">
        <f>19.55</f>
        <v>0</v>
      </c>
      <c r="D31">
        <f>19.55</f>
        <v>0</v>
      </c>
      <c r="E31">
        <f>E9*-0.5111</f>
        <v>0</v>
      </c>
      <c r="F31">
        <f>F9*-22.3739</f>
        <v>0</v>
      </c>
      <c r="G31">
        <f>G9*-3.3519</f>
        <v>0</v>
      </c>
      <c r="H31">
        <f>H9*0.0</f>
        <v>0</v>
      </c>
      <c r="I31">
        <f>I9*0.0246</f>
        <v>0</v>
      </c>
      <c r="J31">
        <f>J9*79.8177</f>
        <v>0</v>
      </c>
      <c r="K31">
        <f>K9*-59.8633</f>
        <v>0</v>
      </c>
      <c r="L31">
        <f>L9*8.0305</f>
        <v>0</v>
      </c>
      <c r="M31">
        <f>M9*-110.9421</f>
        <v>0</v>
      </c>
      <c r="N31">
        <f>E31+F31+G31+H31+I31+J31+K31+L31</f>
        <v>0</v>
      </c>
    </row>
    <row r="32" spans="3:14">
      <c r="C32">
        <f>20.0</f>
        <v>0</v>
      </c>
      <c r="D32">
        <f>20.0</f>
        <v>0</v>
      </c>
      <c r="E32">
        <f>E9*-0.8312</f>
        <v>0</v>
      </c>
      <c r="F32">
        <f>F9*-8.5863</f>
        <v>0</v>
      </c>
      <c r="G32">
        <f>G9*-1.2428</f>
        <v>0</v>
      </c>
      <c r="H32">
        <f>H9*0.0</f>
        <v>0</v>
      </c>
      <c r="I32">
        <f>I9*0.0005662999999999999</f>
        <v>0</v>
      </c>
      <c r="J32">
        <f>J9*87.7996</f>
        <v>0</v>
      </c>
      <c r="K32">
        <f>K9*-65.8497</f>
        <v>0</v>
      </c>
      <c r="L32">
        <f>L9*4.3147</f>
        <v>0</v>
      </c>
      <c r="M32">
        <f>M9*-12.5633</f>
        <v>0</v>
      </c>
      <c r="N32">
        <f>E32+F32+G32+H32+I32+J32+K32+L32</f>
        <v>0</v>
      </c>
    </row>
    <row r="33" spans="3:14">
      <c r="C33">
        <f>20.0</f>
        <v>0</v>
      </c>
      <c r="D33">
        <f>0.0</f>
        <v>0</v>
      </c>
      <c r="E33">
        <f>E9*-0.9574</f>
        <v>0</v>
      </c>
      <c r="F33">
        <f>F9*-7.3493</f>
        <v>0</v>
      </c>
      <c r="G33">
        <f>G9*-1.0557</f>
        <v>0</v>
      </c>
      <c r="H33">
        <f>H9*0.0</f>
        <v>0</v>
      </c>
      <c r="I33">
        <f>I9*0.1402</f>
        <v>0</v>
      </c>
      <c r="J33">
        <f>J9*90.1497</f>
        <v>0</v>
      </c>
      <c r="K33">
        <f>K9*-67.6122</f>
        <v>0</v>
      </c>
      <c r="L33">
        <f>L9*1.1637</f>
        <v>0</v>
      </c>
      <c r="M33">
        <f>M9*-11.8232</f>
        <v>0</v>
      </c>
      <c r="N33">
        <f>E33+F33+G33+H33+I33+J33+K33+L33</f>
        <v>0</v>
      </c>
    </row>
    <row r="34" spans="3:14">
      <c r="C34">
        <f>20.45</f>
        <v>0</v>
      </c>
      <c r="D34">
        <f>0.45</f>
        <v>0</v>
      </c>
      <c r="E34">
        <f>E9*2.8191</f>
        <v>0</v>
      </c>
      <c r="F34">
        <f>F9*-39.4975</f>
        <v>0</v>
      </c>
      <c r="G34">
        <f>G9*-5.9573</f>
        <v>0</v>
      </c>
      <c r="H34">
        <f>H9*0.0</f>
        <v>0</v>
      </c>
      <c r="I34">
        <f>I9*-2.5374</f>
        <v>0</v>
      </c>
      <c r="J34">
        <f>J9*83.0774</f>
        <v>0</v>
      </c>
      <c r="K34">
        <f>K9*-62.308</f>
        <v>0</v>
      </c>
      <c r="L34">
        <f>L9*70.7774</f>
        <v>0</v>
      </c>
      <c r="M34">
        <f>M9*-118.1996</f>
        <v>0</v>
      </c>
      <c r="N34">
        <f>E34+F34+G34+H34+I34+J34+K34+L34</f>
        <v>0</v>
      </c>
    </row>
    <row r="35" spans="3:14">
      <c r="C35">
        <f>21.36</f>
        <v>0</v>
      </c>
      <c r="D35">
        <f>1.36</f>
        <v>0</v>
      </c>
      <c r="E35">
        <f>E9*19.1153</f>
        <v>0</v>
      </c>
      <c r="F35">
        <f>F9*193.8055</f>
        <v>0</v>
      </c>
      <c r="G35">
        <f>G9*28.2571</f>
        <v>0</v>
      </c>
      <c r="H35">
        <f>H9*0.0</f>
        <v>0</v>
      </c>
      <c r="I35">
        <f>I9*-1.7627</f>
        <v>0</v>
      </c>
      <c r="J35">
        <f>J9*80.1118</f>
        <v>0</v>
      </c>
      <c r="K35">
        <f>K9*-60.0839</f>
        <v>0</v>
      </c>
      <c r="L35">
        <f>L9*324.6581</f>
        <v>0</v>
      </c>
      <c r="M35">
        <f>M9*-17.2006</f>
        <v>0</v>
      </c>
      <c r="N35">
        <f>E35+F35+G35+H35+I35+J35+K35+L35</f>
        <v>0</v>
      </c>
    </row>
    <row r="36" spans="3:14">
      <c r="C36">
        <f>22.27</f>
        <v>0</v>
      </c>
      <c r="D36">
        <f>2.27</f>
        <v>0</v>
      </c>
      <c r="E36">
        <f>E9*32.6165</f>
        <v>0</v>
      </c>
      <c r="F36">
        <f>F9*369.5611</f>
        <v>0</v>
      </c>
      <c r="G36">
        <f>G9*53.7126</f>
        <v>0</v>
      </c>
      <c r="H36">
        <f>H9*0.0</f>
        <v>0</v>
      </c>
      <c r="I36">
        <f>I9*-1.1740000000000002</f>
        <v>0</v>
      </c>
      <c r="J36">
        <f>J9*111.1027</f>
        <v>0</v>
      </c>
      <c r="K36">
        <f>K9*-83.32700000000001</f>
        <v>0</v>
      </c>
      <c r="L36">
        <f>L9*579.893</f>
        <v>0</v>
      </c>
      <c r="M36">
        <f>M9*-12.372</f>
        <v>0</v>
      </c>
      <c r="N36">
        <f>E36+F36+G36+H36+I36+J36+K36+L36</f>
        <v>0</v>
      </c>
    </row>
    <row r="37" spans="3:14">
      <c r="C37">
        <f>23.18</f>
        <v>0</v>
      </c>
      <c r="D37">
        <f>3.18</f>
        <v>0</v>
      </c>
      <c r="E37">
        <f>E9*47.2905</f>
        <v>0</v>
      </c>
      <c r="F37">
        <f>F9*534.3574</f>
        <v>0</v>
      </c>
      <c r="G37">
        <f>G9*77.1309</f>
        <v>0</v>
      </c>
      <c r="H37">
        <f>H9*0.0</f>
        <v>0</v>
      </c>
      <c r="I37">
        <f>I9*-0.7032</f>
        <v>0</v>
      </c>
      <c r="J37">
        <f>J9*146.9456</f>
        <v>0</v>
      </c>
      <c r="K37">
        <f>K9*-110.2092</f>
        <v>0</v>
      </c>
      <c r="L37">
        <f>L9*805.6865</f>
        <v>0</v>
      </c>
      <c r="M37">
        <f>M9*-13.6809</f>
        <v>0</v>
      </c>
      <c r="N37">
        <f>E37+F37+G37+H37+I37+J37+K37+L37</f>
        <v>0</v>
      </c>
    </row>
    <row r="38" spans="3:14">
      <c r="C38">
        <f>24.09</f>
        <v>0</v>
      </c>
      <c r="D38">
        <f>4.09</f>
        <v>0</v>
      </c>
      <c r="E38">
        <f>E9*61.5291</f>
        <v>0</v>
      </c>
      <c r="F38">
        <f>F9*671.3517</f>
        <v>0</v>
      </c>
      <c r="G38">
        <f>G9*96.0643</f>
        <v>0</v>
      </c>
      <c r="H38">
        <f>H9*0.0</f>
        <v>0</v>
      </c>
      <c r="I38">
        <f>I9*-0.3201</f>
        <v>0</v>
      </c>
      <c r="J38">
        <f>J9*186.5074</f>
        <v>0</v>
      </c>
      <c r="K38">
        <f>K9*-139.8805</f>
        <v>0</v>
      </c>
      <c r="L38">
        <f>L9*976.4804</f>
        <v>0</v>
      </c>
      <c r="M38">
        <f>M9*-15.1246</f>
        <v>0</v>
      </c>
      <c r="N38">
        <f>E38+F38+G38+H38+I38+J38+K38+L38</f>
        <v>0</v>
      </c>
    </row>
    <row r="39" spans="3:14">
      <c r="C39">
        <f>25.0</f>
        <v>0</v>
      </c>
      <c r="D39">
        <f>5.0</f>
        <v>0</v>
      </c>
      <c r="E39">
        <f>E9*74.7479</f>
        <v>0</v>
      </c>
      <c r="F39">
        <f>F9*784.7774</f>
        <v>0</v>
      </c>
      <c r="G39">
        <f>G9*111.2214</f>
        <v>0</v>
      </c>
      <c r="H39">
        <f>H9*0.0</f>
        <v>0</v>
      </c>
      <c r="I39">
        <f>I9*0.2316</f>
        <v>0</v>
      </c>
      <c r="J39">
        <f>J9*218.088</f>
        <v>0</v>
      </c>
      <c r="K39">
        <f>K9*-163.566</f>
        <v>0</v>
      </c>
      <c r="L39">
        <f>L9*1106.1359</f>
        <v>0</v>
      </c>
      <c r="M39">
        <f>M9*-16.9092</f>
        <v>0</v>
      </c>
      <c r="N39">
        <f>E39+F39+G39+H39+I39+J39+K39+L39</f>
        <v>0</v>
      </c>
    </row>
    <row r="40" spans="3:14">
      <c r="C40">
        <f>26.0</f>
        <v>0</v>
      </c>
      <c r="D40">
        <f>6.0</f>
        <v>0</v>
      </c>
      <c r="E40">
        <f>E9*81.9095</f>
        <v>0</v>
      </c>
      <c r="F40">
        <f>F9*882.745</f>
        <v>0</v>
      </c>
      <c r="G40">
        <f>G9*126.32</f>
        <v>0</v>
      </c>
      <c r="H40">
        <f>H9*0.0</f>
        <v>0</v>
      </c>
      <c r="I40">
        <f>I9*0.9645</f>
        <v>0</v>
      </c>
      <c r="J40">
        <f>J9*195.327</f>
        <v>0</v>
      </c>
      <c r="K40">
        <f>K9*-146.4953</f>
        <v>0</v>
      </c>
      <c r="L40">
        <f>L9*1243.1051</f>
        <v>0</v>
      </c>
      <c r="M40">
        <f>M9*-18.3467</f>
        <v>0</v>
      </c>
      <c r="N40">
        <f>E40+F40+G40+H40+I40+J40+K40+L40</f>
        <v>0</v>
      </c>
    </row>
    <row r="41" spans="3:14">
      <c r="C41">
        <f>27.0</f>
        <v>0</v>
      </c>
      <c r="D41">
        <f>7.0</f>
        <v>0</v>
      </c>
      <c r="E41">
        <f>E9*87.4351</f>
        <v>0</v>
      </c>
      <c r="F41">
        <f>F9*958.252</f>
        <v>0</v>
      </c>
      <c r="G41">
        <f>G9*137.6409</f>
        <v>0</v>
      </c>
      <c r="H41">
        <f>H9*0.0</f>
        <v>0</v>
      </c>
      <c r="I41">
        <f>I9*1.8401</f>
        <v>0</v>
      </c>
      <c r="J41">
        <f>J9*183.2466</f>
        <v>0</v>
      </c>
      <c r="K41">
        <f>K9*-137.4349</f>
        <v>0</v>
      </c>
      <c r="L41">
        <f>L9*1338.9934</f>
        <v>0</v>
      </c>
      <c r="M41">
        <f>M9*-20.8443</f>
        <v>0</v>
      </c>
      <c r="N41">
        <f>E41+F41+G41+H41+I41+J41+K41+L41</f>
        <v>0</v>
      </c>
    </row>
    <row r="42" spans="3:14">
      <c r="C42">
        <f>28.0</f>
        <v>0</v>
      </c>
      <c r="D42">
        <f>8.0</f>
        <v>0</v>
      </c>
      <c r="E42">
        <f>E9*92.7273</f>
        <v>0</v>
      </c>
      <c r="F42">
        <f>F9*1007.9893</f>
        <v>0</v>
      </c>
      <c r="G42">
        <f>G9*144.6778</f>
        <v>0</v>
      </c>
      <c r="H42">
        <f>H9*0.0</f>
        <v>0</v>
      </c>
      <c r="I42">
        <f>I9*2.7306</f>
        <v>0</v>
      </c>
      <c r="J42">
        <f>J9*181.9878</f>
        <v>0</v>
      </c>
      <c r="K42">
        <f>K9*-136.4909</f>
        <v>0</v>
      </c>
      <c r="L42">
        <f>L9*1397.3329999999999</f>
        <v>0</v>
      </c>
      <c r="M42">
        <f>M9*-23.2681</f>
        <v>0</v>
      </c>
      <c r="N42">
        <f>E42+F42+G42+H42+I42+J42+K42+L42</f>
        <v>0</v>
      </c>
    </row>
    <row r="43" spans="3:14">
      <c r="C43">
        <f>29.0</f>
        <v>0</v>
      </c>
      <c r="D43">
        <f>9.0</f>
        <v>0</v>
      </c>
      <c r="E43">
        <f>E9*98.7293</f>
        <v>0</v>
      </c>
      <c r="F43">
        <f>F9*1043.3511</f>
        <v>0</v>
      </c>
      <c r="G43">
        <f>G9*149.1207</f>
        <v>0</v>
      </c>
      <c r="H43">
        <f>H9*0.0</f>
        <v>0</v>
      </c>
      <c r="I43">
        <f>I9*3.9051</f>
        <v>0</v>
      </c>
      <c r="J43">
        <f>J9*190.9786</f>
        <v>0</v>
      </c>
      <c r="K43">
        <f>K9*-143.234</f>
        <v>0</v>
      </c>
      <c r="L43">
        <f>L9*1429.0948</f>
        <v>0</v>
      </c>
      <c r="M43">
        <f>M9*-26.0933</f>
        <v>0</v>
      </c>
      <c r="N43">
        <f>E43+F43+G43+H43+I43+J43+K43+L43</f>
        <v>0</v>
      </c>
    </row>
    <row r="44" spans="3:14">
      <c r="C44">
        <f>30.0</f>
        <v>0</v>
      </c>
      <c r="D44">
        <f>10.0</f>
        <v>0</v>
      </c>
      <c r="E44">
        <f>E9*104.0076</f>
        <v>0</v>
      </c>
      <c r="F44">
        <f>F9*1055.0274</f>
        <v>0</v>
      </c>
      <c r="G44">
        <f>G9*149.602</f>
        <v>0</v>
      </c>
      <c r="H44">
        <f>H9*0.0</f>
        <v>0</v>
      </c>
      <c r="I44">
        <f>I9*5.3164</f>
        <v>0</v>
      </c>
      <c r="J44">
        <f>J9*203.0136</f>
        <v>0</v>
      </c>
      <c r="K44">
        <f>K9*-152.2602</f>
        <v>0</v>
      </c>
      <c r="L44">
        <f>L9*1418.1373</f>
        <v>0</v>
      </c>
      <c r="M44">
        <f>M9*-29.0816</f>
        <v>0</v>
      </c>
      <c r="N44">
        <f>E44+F44+G44+H44+I44+J44+K44+L44</f>
        <v>0</v>
      </c>
    </row>
    <row r="45" spans="3:14">
      <c r="C45">
        <f>31.0</f>
        <v>0</v>
      </c>
      <c r="D45">
        <f>11.0</f>
        <v>0</v>
      </c>
      <c r="E45">
        <f>E9*98.6361</f>
        <v>0</v>
      </c>
      <c r="F45">
        <f>F9*1042.7457</f>
        <v>0</v>
      </c>
      <c r="G45">
        <f>G9*149.0354</f>
        <v>0</v>
      </c>
      <c r="H45">
        <f>H9*0.0</f>
        <v>0</v>
      </c>
      <c r="I45">
        <f>I9*7.5712</f>
        <v>0</v>
      </c>
      <c r="J45">
        <f>J9*191.5246</f>
        <v>0</v>
      </c>
      <c r="K45">
        <f>K9*-143.6435</f>
        <v>0</v>
      </c>
      <c r="L45">
        <f>L9*1429.2539</f>
        <v>0</v>
      </c>
      <c r="M45">
        <f>M9*-31.7944</f>
        <v>0</v>
      </c>
      <c r="N45">
        <f>E45+F45+G45+H45+I45+J45+K45+L45</f>
        <v>0</v>
      </c>
    </row>
    <row r="46" spans="3:14">
      <c r="C46">
        <f>32.0</f>
        <v>0</v>
      </c>
      <c r="D46">
        <f>12.0</f>
        <v>0</v>
      </c>
      <c r="E46">
        <f>E9*92.5088</f>
        <v>0</v>
      </c>
      <c r="F46">
        <f>F9*1006.9531</f>
        <v>0</v>
      </c>
      <c r="G46">
        <f>G9*144.534</f>
        <v>0</v>
      </c>
      <c r="H46">
        <f>H9*0.0</f>
        <v>0</v>
      </c>
      <c r="I46">
        <f>I9*10.0564</f>
        <v>0</v>
      </c>
      <c r="J46">
        <f>J9*183.2894</f>
        <v>0</v>
      </c>
      <c r="K46">
        <f>K9*-137.4671</f>
        <v>0</v>
      </c>
      <c r="L46">
        <f>L9*1397.8501</f>
        <v>0</v>
      </c>
      <c r="M46">
        <f>M9*-35.0251</f>
        <v>0</v>
      </c>
      <c r="N46">
        <f>E46+F46+G46+H46+I46+J46+K46+L46</f>
        <v>0</v>
      </c>
    </row>
    <row r="47" spans="3:14">
      <c r="C47">
        <f>33.0</f>
        <v>0</v>
      </c>
      <c r="D47">
        <f>13.0</f>
        <v>0</v>
      </c>
      <c r="E47">
        <f>E9*87.1012</f>
        <v>0</v>
      </c>
      <c r="F47">
        <f>F9*956.7907</f>
        <v>0</v>
      </c>
      <c r="G47">
        <f>G9*137.4391</f>
        <v>0</v>
      </c>
      <c r="H47">
        <f>H9*0.0</f>
        <v>0</v>
      </c>
      <c r="I47">
        <f>I9*13.1</f>
        <v>0</v>
      </c>
      <c r="J47">
        <f>J9*185.3978</f>
        <v>0</v>
      </c>
      <c r="K47">
        <f>K9*-139.0484</f>
        <v>0</v>
      </c>
      <c r="L47">
        <f>L9*1339.9214</f>
        <v>0</v>
      </c>
      <c r="M47">
        <f>M9*-38.2338</f>
        <v>0</v>
      </c>
      <c r="N47">
        <f>E47+F47+G47+H47+I47+J47+K47+L47</f>
        <v>0</v>
      </c>
    </row>
    <row r="48" spans="3:14">
      <c r="C48">
        <f>34.0</f>
        <v>0</v>
      </c>
      <c r="D48">
        <f>14.0</f>
        <v>0</v>
      </c>
      <c r="E48">
        <f>E9*81.4341</f>
        <v>0</v>
      </c>
      <c r="F48">
        <f>F9*880.7693</f>
        <v>0</v>
      </c>
      <c r="G48">
        <f>G9*126.04799999999999</f>
        <v>0</v>
      </c>
      <c r="H48">
        <f>H9*0.0</f>
        <v>0</v>
      </c>
      <c r="I48">
        <f>I9*16.2834</f>
        <v>0</v>
      </c>
      <c r="J48">
        <f>J9*197.7393</f>
        <v>0</v>
      </c>
      <c r="K48">
        <f>K9*-148.3045</f>
        <v>0</v>
      </c>
      <c r="L48">
        <f>L9*1244.3442</f>
        <v>0</v>
      </c>
      <c r="M48">
        <f>M9*-41.119</f>
        <v>0</v>
      </c>
      <c r="N48">
        <f>E48+F48+G48+H48+I48+J48+K48+L48</f>
        <v>0</v>
      </c>
    </row>
    <row r="49" spans="3:14">
      <c r="C49">
        <f>35.0</f>
        <v>0</v>
      </c>
      <c r="D49">
        <f>15.0</f>
        <v>0</v>
      </c>
      <c r="E49">
        <f>E9*74.0522</f>
        <v>0</v>
      </c>
      <c r="F49">
        <f>F9*781.705</f>
        <v>0</v>
      </c>
      <c r="G49">
        <f>G9*110.7967</f>
        <v>0</v>
      </c>
      <c r="H49">
        <f>H9*0.0</f>
        <v>0</v>
      </c>
      <c r="I49">
        <f>I9*22.7384</f>
        <v>0</v>
      </c>
      <c r="J49">
        <f>J9*221.4395</f>
        <v>0</v>
      </c>
      <c r="K49">
        <f>K9*-166.0796</f>
        <v>0</v>
      </c>
      <c r="L49">
        <f>L9*1107.9248</f>
        <v>0</v>
      </c>
      <c r="M49">
        <f>M9*-44.5111</f>
        <v>0</v>
      </c>
      <c r="N49">
        <f>E49+F49+G49+H49+I49+J49+K49+L49</f>
        <v>0</v>
      </c>
    </row>
    <row r="50" spans="3:14">
      <c r="C50">
        <f>35.91</f>
        <v>0</v>
      </c>
      <c r="D50">
        <f>15.91</f>
        <v>0</v>
      </c>
      <c r="E50">
        <f>E9*60.6754</f>
        <v>0</v>
      </c>
      <c r="F50">
        <f>F9*671.3045</f>
        <v>0</v>
      </c>
      <c r="G50">
        <f>G9*96.0901</f>
        <v>0</v>
      </c>
      <c r="H50">
        <f>H9*0.0</f>
        <v>0</v>
      </c>
      <c r="I50">
        <f>I9*19.327</f>
        <v>0</v>
      </c>
      <c r="J50">
        <f>J9*194.1583</f>
        <v>0</v>
      </c>
      <c r="K50">
        <f>K9*-145.6187</f>
        <v>0</v>
      </c>
      <c r="L50">
        <f>L9*982.5381</f>
        <v>0</v>
      </c>
      <c r="M50">
        <f>M9*-49.7552</f>
        <v>0</v>
      </c>
      <c r="N50">
        <f>E50+F50+G50+H50+I50+J50+K50+L50</f>
        <v>0</v>
      </c>
    </row>
    <row r="51" spans="3:14">
      <c r="C51">
        <f>36.82</f>
        <v>0</v>
      </c>
      <c r="D51">
        <f>16.82</f>
        <v>0</v>
      </c>
      <c r="E51">
        <f>E9*46.2218</f>
        <v>0</v>
      </c>
      <c r="F51">
        <f>F9*537.7974</f>
        <v>0</v>
      </c>
      <c r="G51">
        <f>G9*77.6774</f>
        <v>0</v>
      </c>
      <c r="H51">
        <f>H9*0.0</f>
        <v>0</v>
      </c>
      <c r="I51">
        <f>I9*15.8155</f>
        <v>0</v>
      </c>
      <c r="J51">
        <f>J9*159.8587</f>
        <v>0</v>
      </c>
      <c r="K51">
        <f>K9*-119.89399999999999</f>
        <v>0</v>
      </c>
      <c r="L51">
        <f>L9*817.153</f>
        <v>0</v>
      </c>
      <c r="M51">
        <f>M9*-56.6433</f>
        <v>0</v>
      </c>
      <c r="N51">
        <f>E51+F51+G51+H51+I51+J51+K51+L51</f>
        <v>0</v>
      </c>
    </row>
    <row r="52" spans="3:14">
      <c r="C52">
        <f>37.73</f>
        <v>0</v>
      </c>
      <c r="D52">
        <f>17.73</f>
        <v>0</v>
      </c>
      <c r="E52">
        <f>E9*31.2607</f>
        <v>0</v>
      </c>
      <c r="F52">
        <f>F9*377.0958</f>
        <v>0</v>
      </c>
      <c r="G52">
        <f>G9*54.872</f>
        <v>0</v>
      </c>
      <c r="H52">
        <f>H9*0.0</f>
        <v>0</v>
      </c>
      <c r="I52">
        <f>I9*10.9334</f>
        <v>0</v>
      </c>
      <c r="J52">
        <f>J9*130.5414</f>
        <v>0</v>
      </c>
      <c r="K52">
        <f>K9*-97.9061</f>
        <v>0</v>
      </c>
      <c r="L52">
        <f>L9*597.1799</f>
        <v>0</v>
      </c>
      <c r="M52">
        <f>M9*-64.5524</f>
        <v>0</v>
      </c>
      <c r="N52">
        <f>E52+F52+G52+H52+I52+J52+K52+L52</f>
        <v>0</v>
      </c>
    </row>
    <row r="53" spans="3:14">
      <c r="C53">
        <f>38.64</f>
        <v>0</v>
      </c>
      <c r="D53">
        <f>18.64</f>
        <v>0</v>
      </c>
      <c r="E53">
        <f>E9*17.3522</f>
        <v>0</v>
      </c>
      <c r="F53">
        <f>F9*206.3236</f>
        <v>0</v>
      </c>
      <c r="G53">
        <f>G9*30.165</f>
        <v>0</v>
      </c>
      <c r="H53">
        <f>H9*0.0</f>
        <v>0</v>
      </c>
      <c r="I53">
        <f>I9*3.9222</f>
        <v>0</v>
      </c>
      <c r="J53">
        <f>J9*108.0647</f>
        <v>0</v>
      </c>
      <c r="K53">
        <f>K9*-81.0485</f>
        <v>0</v>
      </c>
      <c r="L53">
        <f>L9*342.7665</f>
        <v>0</v>
      </c>
      <c r="M53">
        <f>M9*-74.8937</f>
        <v>0</v>
      </c>
      <c r="N53">
        <f>E53+F53+G53+H53+I53+J53+K53+L53</f>
        <v>0</v>
      </c>
    </row>
    <row r="54" spans="3:14">
      <c r="C54">
        <f>39.55</f>
        <v>0</v>
      </c>
      <c r="D54">
        <f>19.55</f>
        <v>0</v>
      </c>
      <c r="E54">
        <f>E9*0.6920000000000001</f>
        <v>0</v>
      </c>
      <c r="F54">
        <f>F9*-20.1306</f>
        <v>0</v>
      </c>
      <c r="G54">
        <f>G9*-3.0279</f>
        <v>0</v>
      </c>
      <c r="H54">
        <f>H9*0.0</f>
        <v>0</v>
      </c>
      <c r="I54">
        <f>I9*-12.8371</f>
        <v>0</v>
      </c>
      <c r="J54">
        <f>J9*80.14</f>
        <v>0</v>
      </c>
      <c r="K54">
        <f>K9*-60.105</f>
        <v>0</v>
      </c>
      <c r="L54">
        <f>L9*9.3932</f>
        <v>0</v>
      </c>
      <c r="M54">
        <f>M9*-110.5535</f>
        <v>0</v>
      </c>
      <c r="N54">
        <f>E54+F54+G54+H54+I54+J54+K54+L54</f>
        <v>0</v>
      </c>
    </row>
    <row r="55" spans="3:14">
      <c r="C55">
        <f>40.0</f>
        <v>0</v>
      </c>
      <c r="D55">
        <f>20.0</f>
        <v>0</v>
      </c>
      <c r="E55">
        <f>E9*-0.8062</f>
        <v>0</v>
      </c>
      <c r="F55">
        <f>F9*-8.287</f>
        <v>0</v>
      </c>
      <c r="G55">
        <f>G9*-1.1994</f>
        <v>0</v>
      </c>
      <c r="H55">
        <f>H9*0.0</f>
        <v>0</v>
      </c>
      <c r="I55">
        <f>I9*-0.4146</f>
        <v>0</v>
      </c>
      <c r="J55">
        <f>J9*87.8767</f>
        <v>0</v>
      </c>
      <c r="K55">
        <f>K9*-65.9075</f>
        <v>0</v>
      </c>
      <c r="L55">
        <f>L9*4.3148</f>
        <v>0</v>
      </c>
      <c r="M55">
        <f>M9*-12.4567</f>
        <v>0</v>
      </c>
      <c r="N55">
        <f>E55+F55+G55+H55+I55+J55+K55+L55</f>
        <v>0</v>
      </c>
    </row>
    <row r="56" spans="3:14">
      <c r="C56">
        <f>40.0</f>
        <v>0</v>
      </c>
      <c r="D56">
        <f>0.0</f>
        <v>0</v>
      </c>
      <c r="E56">
        <f>E9*-0.373</f>
        <v>0</v>
      </c>
      <c r="F56">
        <f>F9*-3.1846</f>
        <v>0</v>
      </c>
      <c r="G56">
        <f>G9*-0.4738</f>
        <v>0</v>
      </c>
      <c r="H56">
        <f>H9*0.0</f>
        <v>0</v>
      </c>
      <c r="I56">
        <f>I9*-4.8828</f>
        <v>0</v>
      </c>
      <c r="J56">
        <f>J9*85.7188</f>
        <v>0</v>
      </c>
      <c r="K56">
        <f>K9*-64.2891</f>
        <v>0</v>
      </c>
      <c r="L56">
        <f>L9*1.1995</f>
        <v>0</v>
      </c>
      <c r="M56">
        <f>M9*-8.3793</f>
        <v>0</v>
      </c>
      <c r="N56">
        <f>E56+F56+G56+H56+I56+J56+K56+L56</f>
        <v>0</v>
      </c>
    </row>
    <row r="57" spans="3:14">
      <c r="C57">
        <f>40.45</f>
        <v>0</v>
      </c>
      <c r="D57">
        <f>0.45</f>
        <v>0</v>
      </c>
      <c r="E57">
        <f>E9*1.7354</f>
        <v>0</v>
      </c>
      <c r="F57">
        <f>F9*-31.8071</f>
        <v>0</v>
      </c>
      <c r="G57">
        <f>G9*-4.7604</f>
        <v>0</v>
      </c>
      <c r="H57">
        <f>H9*0.0</f>
        <v>0</v>
      </c>
      <c r="I57">
        <f>I9*-5.8531</f>
        <v>0</v>
      </c>
      <c r="J57">
        <f>J9*85.8873</f>
        <v>0</v>
      </c>
      <c r="K57">
        <f>K9*-64.4155</f>
        <v>0</v>
      </c>
      <c r="L57">
        <f>L9*49.7116</f>
        <v>0</v>
      </c>
      <c r="M57">
        <f>M9*-90.0218</f>
        <v>0</v>
      </c>
      <c r="N57">
        <f>E57+F57+G57+H57+I57+J57+K57+L57</f>
        <v>0</v>
      </c>
    </row>
    <row r="58" spans="3:14">
      <c r="C58">
        <f>41.36</f>
        <v>0</v>
      </c>
      <c r="D58">
        <f>1.36</f>
        <v>0</v>
      </c>
      <c r="E58">
        <f>E9*5.6296</f>
        <v>0</v>
      </c>
      <c r="F58">
        <f>F9*85.0609</f>
        <v>0</v>
      </c>
      <c r="G58">
        <f>G9*12.9372</f>
        <v>0</v>
      </c>
      <c r="H58">
        <f>H9*0.0</f>
        <v>0</v>
      </c>
      <c r="I58">
        <f>I9*104.5862</f>
        <v>0</v>
      </c>
      <c r="J58">
        <f>J9*129.0858</f>
        <v>0</v>
      </c>
      <c r="K58">
        <f>K9*-96.8144</f>
        <v>0</v>
      </c>
      <c r="L58">
        <f>L9*238.5735</f>
        <v>0</v>
      </c>
      <c r="M58">
        <f>M9*-16.5185</f>
        <v>0</v>
      </c>
      <c r="N58">
        <f>E58+F58+G58+H58+I58+J58+K58+L58</f>
        <v>0</v>
      </c>
    </row>
    <row r="59" spans="3:14">
      <c r="C59">
        <f>42.27</f>
        <v>0</v>
      </c>
      <c r="D59">
        <f>2.27</f>
        <v>0</v>
      </c>
      <c r="E59">
        <f>E9*8.6909</f>
        <v>0</v>
      </c>
      <c r="F59">
        <f>F9*161.9476</f>
        <v>0</v>
      </c>
      <c r="G59">
        <f>G9*24.3559</f>
        <v>0</v>
      </c>
      <c r="H59">
        <f>H9*0.0</f>
        <v>0</v>
      </c>
      <c r="I59">
        <f>I9*179.9846</f>
        <v>0</v>
      </c>
      <c r="J59">
        <f>J9*170.4794</f>
        <v>0</v>
      </c>
      <c r="K59">
        <f>K9*-127.8595</f>
        <v>0</v>
      </c>
      <c r="L59">
        <f>L9*396.156</f>
        <v>0</v>
      </c>
      <c r="M59">
        <f>M9*-8.3707</f>
        <v>0</v>
      </c>
      <c r="N59">
        <f>E59+F59+G59+H59+I59+J59+K59+L59</f>
        <v>0</v>
      </c>
    </row>
    <row r="60" spans="3:14">
      <c r="C60">
        <f>43.18</f>
        <v>0</v>
      </c>
      <c r="D60">
        <f>3.18</f>
        <v>0</v>
      </c>
      <c r="E60">
        <f>E9*12.3243</f>
        <v>0</v>
      </c>
      <c r="F60">
        <f>F9*224.7879</f>
        <v>0</v>
      </c>
      <c r="G60">
        <f>G9*33.3228</f>
        <v>0</v>
      </c>
      <c r="H60">
        <f>H9*0.0</f>
        <v>0</v>
      </c>
      <c r="I60">
        <f>I9*249.4152</f>
        <v>0</v>
      </c>
      <c r="J60">
        <f>J9*209.6653</f>
        <v>0</v>
      </c>
      <c r="K60">
        <f>K9*-157.249</f>
        <v>0</v>
      </c>
      <c r="L60">
        <f>L9*512.9363</f>
        <v>0</v>
      </c>
      <c r="M60">
        <f>M9*-7.8913</f>
        <v>0</v>
      </c>
      <c r="N60">
        <f>E60+F60+G60+H60+I60+J60+K60+L60</f>
        <v>0</v>
      </c>
    </row>
    <row r="61" spans="3:14">
      <c r="C61">
        <f>44.09</f>
        <v>0</v>
      </c>
      <c r="D61">
        <f>4.09</f>
        <v>0</v>
      </c>
      <c r="E61">
        <f>E9*15.8782</f>
        <v>0</v>
      </c>
      <c r="F61">
        <f>F9*264.7555</f>
        <v>0</v>
      </c>
      <c r="G61">
        <f>G9*38.5454</f>
        <v>0</v>
      </c>
      <c r="H61">
        <f>H9*0.0</f>
        <v>0</v>
      </c>
      <c r="I61">
        <f>I9*301.992</f>
        <v>0</v>
      </c>
      <c r="J61">
        <f>J9*250.1776</f>
        <v>0</v>
      </c>
      <c r="K61">
        <f>K9*-187.6332</f>
        <v>0</v>
      </c>
      <c r="L61">
        <f>L9*572.4975</f>
        <v>0</v>
      </c>
      <c r="M61">
        <f>M9*-6.6345</f>
        <v>0</v>
      </c>
      <c r="N61">
        <f>E61+F61+G61+H61+I61+J61+K61+L61</f>
        <v>0</v>
      </c>
    </row>
    <row r="62" spans="3:14">
      <c r="C62">
        <f>45.0</f>
        <v>0</v>
      </c>
      <c r="D62">
        <f>5.0</f>
        <v>0</v>
      </c>
      <c r="E62">
        <f>E9*18.9975</f>
        <v>0</v>
      </c>
      <c r="F62">
        <f>F9*286.9037</f>
        <v>0</v>
      </c>
      <c r="G62">
        <f>G9*40.7588</f>
        <v>0</v>
      </c>
      <c r="H62">
        <f>H9*0.0</f>
        <v>0</v>
      </c>
      <c r="I62">
        <f>I9*341.6191</f>
        <v>0</v>
      </c>
      <c r="J62">
        <f>J9*295.256</f>
        <v>0</v>
      </c>
      <c r="K62">
        <f>K9*-221.442</f>
        <v>0</v>
      </c>
      <c r="L62">
        <f>L9*589.8608</f>
        <v>0</v>
      </c>
      <c r="M62">
        <f>M9*-5.5973</f>
        <v>0</v>
      </c>
      <c r="N62">
        <f>E62+F62+G62+H62+I62+J62+K62+L62</f>
        <v>0</v>
      </c>
    </row>
    <row r="63" spans="3:14">
      <c r="C63">
        <f>46.0</f>
        <v>0</v>
      </c>
      <c r="D63">
        <f>6.0</f>
        <v>0</v>
      </c>
      <c r="E63">
        <f>E9*15.4704</f>
        <v>0</v>
      </c>
      <c r="F63">
        <f>F9*273.178</f>
        <v>0</v>
      </c>
      <c r="G63">
        <f>G9*39.9146</f>
        <v>0</v>
      </c>
      <c r="H63">
        <f>H9*0.0</f>
        <v>0</v>
      </c>
      <c r="I63">
        <f>I9*302.9931</f>
        <v>0</v>
      </c>
      <c r="J63">
        <f>J9*255.8011</f>
        <v>0</v>
      </c>
      <c r="K63">
        <f>K9*-191.8508</f>
        <v>0</v>
      </c>
      <c r="L63">
        <f>L9*586.8796</f>
        <v>0</v>
      </c>
      <c r="M63">
        <f>M9*-4.1169</f>
        <v>0</v>
      </c>
      <c r="N63">
        <f>E63+F63+G63+H63+I63+J63+K63+L63</f>
        <v>0</v>
      </c>
    </row>
    <row r="64" spans="3:14">
      <c r="C64">
        <f>47.0</f>
        <v>0</v>
      </c>
      <c r="D64">
        <f>7.0</f>
        <v>0</v>
      </c>
      <c r="E64">
        <f>E9*11.7334</f>
        <v>0</v>
      </c>
      <c r="F64">
        <f>F9*241.0082</f>
        <v>0</v>
      </c>
      <c r="G64">
        <f>G9*35.8533</f>
        <v>0</v>
      </c>
      <c r="H64">
        <f>H9*0.0</f>
        <v>0</v>
      </c>
      <c r="I64">
        <f>I9*251.0627</f>
        <v>0</v>
      </c>
      <c r="J64">
        <f>J9*219.5959</f>
        <v>0</v>
      </c>
      <c r="K64">
        <f>K9*-164.697</f>
        <v>0</v>
      </c>
      <c r="L64">
        <f>L9*541.1146</f>
        <v>0</v>
      </c>
      <c r="M64">
        <f>M9*-3.3402</f>
        <v>0</v>
      </c>
      <c r="N64">
        <f>E64+F64+G64+H64+I64+J64+K64+L64</f>
        <v>0</v>
      </c>
    </row>
    <row r="65" spans="3:14">
      <c r="C65">
        <f>48.0</f>
        <v>0</v>
      </c>
      <c r="D65">
        <f>8.0</f>
        <v>0</v>
      </c>
      <c r="E65">
        <f>E9*8.0058</f>
        <v>0</v>
      </c>
      <c r="F65">
        <f>F9*186.7185</f>
        <v>0</v>
      </c>
      <c r="G65">
        <f>G9*28.0887</f>
        <v>0</v>
      </c>
      <c r="H65">
        <f>H9*0.0</f>
        <v>0</v>
      </c>
      <c r="I65">
        <f>I9*183.4636</f>
        <v>0</v>
      </c>
      <c r="J65">
        <f>J9*191.0608</f>
        <v>0</v>
      </c>
      <c r="K65">
        <f>K9*-143.2956</f>
        <v>0</v>
      </c>
      <c r="L65">
        <f>L9*438.1063</f>
        <v>0</v>
      </c>
      <c r="M65">
        <f>M9*-3.6194</f>
        <v>0</v>
      </c>
      <c r="N65">
        <f>E65+F65+G65+H65+I65+J65+K65+L65</f>
        <v>0</v>
      </c>
    </row>
    <row r="66" spans="3:14">
      <c r="C66">
        <f>49.0</f>
        <v>0</v>
      </c>
      <c r="D66">
        <f>9.0</f>
        <v>0</v>
      </c>
      <c r="E66">
        <f>E9*4.5872</f>
        <v>0</v>
      </c>
      <c r="F66">
        <f>F9*108.8356</f>
        <v>0</v>
      </c>
      <c r="G66">
        <f>G9*16.3555</f>
        <v>0</v>
      </c>
      <c r="H66">
        <f>H9*0.0</f>
        <v>0</v>
      </c>
      <c r="I66">
        <f>I9*103.1572</f>
        <v>0</v>
      </c>
      <c r="J66">
        <f>J9*156.1467</f>
        <v>0</v>
      </c>
      <c r="K66">
        <f>K9*-117.11</f>
        <v>0</v>
      </c>
      <c r="L66">
        <f>L9*269.6893</f>
        <v>0</v>
      </c>
      <c r="M66">
        <f>M9*-3.7445</f>
        <v>0</v>
      </c>
      <c r="N66">
        <f>E66+F66+G66+H66+I66+J66+K66+L66</f>
        <v>0</v>
      </c>
    </row>
    <row r="67" spans="3:14">
      <c r="C67">
        <f>50.0</f>
        <v>0</v>
      </c>
      <c r="D67">
        <f>10.0</f>
        <v>0</v>
      </c>
      <c r="E67">
        <f>E9*1.1889</f>
        <v>0</v>
      </c>
      <c r="F67">
        <f>F9*-5.996</f>
        <v>0</v>
      </c>
      <c r="G67">
        <f>G9*-1.39</f>
        <v>0</v>
      </c>
      <c r="H67">
        <f>H9*0.0</f>
        <v>0</v>
      </c>
      <c r="I67">
        <f>I9*3.6959</f>
        <v>0</v>
      </c>
      <c r="J67">
        <f>J9*85.2057</f>
        <v>0</v>
      </c>
      <c r="K67">
        <f>K9*-63.9043</f>
        <v>0</v>
      </c>
      <c r="L67">
        <f>L9*2.9694</f>
        <v>0</v>
      </c>
      <c r="M67">
        <f>M9*-25.7234</f>
        <v>0</v>
      </c>
      <c r="N67">
        <f>E67+F67+G67+H67+I67+J67+K67+L67</f>
        <v>0</v>
      </c>
    </row>
    <row r="74" spans="3:14">
      <c r="C74" t="s">
        <v>0</v>
      </c>
      <c r="D74" t="s">
        <v>1</v>
      </c>
      <c r="E74" t="s">
        <v>2</v>
      </c>
      <c r="F74" t="s">
        <v>3</v>
      </c>
      <c r="G74" t="s">
        <v>4</v>
      </c>
      <c r="H74" t="s">
        <v>5</v>
      </c>
      <c r="I74" t="s">
        <v>6</v>
      </c>
      <c r="J74" t="s">
        <v>7</v>
      </c>
      <c r="K74" t="s">
        <v>8</v>
      </c>
      <c r="L74" t="s">
        <v>9</v>
      </c>
      <c r="M74" t="s">
        <v>10</v>
      </c>
      <c r="N74" t="s">
        <v>11</v>
      </c>
    </row>
    <row r="75" spans="3:14">
      <c r="C75">
        <f>0.0</f>
        <v>0</v>
      </c>
      <c r="D75">
        <f>0.0</f>
        <v>0</v>
      </c>
      <c r="E75">
        <f>E73*-10.707</f>
        <v>0</v>
      </c>
      <c r="F75">
        <f>F73*-258.967</f>
        <v>0</v>
      </c>
      <c r="G75">
        <f>G73*-37.96</f>
        <v>0</v>
      </c>
      <c r="H75">
        <f>H73*0.0</f>
        <v>0</v>
      </c>
      <c r="I75">
        <f>I73*-0.005790999999999999</f>
        <v>0</v>
      </c>
      <c r="J75">
        <f>J73*-139.374</f>
        <v>0</v>
      </c>
      <c r="K75">
        <f>K73*104.53</f>
        <v>0</v>
      </c>
      <c r="L75">
        <f>L73*6.284</f>
        <v>0</v>
      </c>
      <c r="M75">
        <f>M73*-439.236</f>
        <v>0</v>
      </c>
      <c r="N75">
        <f>E75+F75+G75+H75+I75+J75+K75+L75</f>
        <v>0</v>
      </c>
    </row>
    <row r="76" spans="3:14">
      <c r="C76">
        <f>1.0</f>
        <v>0</v>
      </c>
      <c r="D76">
        <f>1.0</f>
        <v>0</v>
      </c>
      <c r="E76">
        <f>E73*-11.51</f>
        <v>0</v>
      </c>
      <c r="F76">
        <f>F73*-232.928</f>
        <v>0</v>
      </c>
      <c r="G76">
        <f>G73*-35.768</f>
        <v>0</v>
      </c>
      <c r="H76">
        <f>H73*0.0</f>
        <v>0</v>
      </c>
      <c r="I76">
        <f>I73*-0.006299</f>
        <v>0</v>
      </c>
      <c r="J76">
        <f>J73*-129.52</f>
        <v>0</v>
      </c>
      <c r="K76">
        <f>K73*97.14</f>
        <v>0</v>
      </c>
      <c r="L76">
        <f>L73*20.711</f>
        <v>0</v>
      </c>
      <c r="M76">
        <f>M73*-418.64599999999996</f>
        <v>0</v>
      </c>
      <c r="N76">
        <f>E76+F76+G76+H76+I76+J76+K76+L76</f>
        <v>0</v>
      </c>
    </row>
    <row r="77" spans="3:14">
      <c r="C77">
        <f>2.0</f>
        <v>0</v>
      </c>
      <c r="D77">
        <f>2.0</f>
        <v>0</v>
      </c>
      <c r="E77">
        <f>E73*-12.378</f>
        <v>0</v>
      </c>
      <c r="F77">
        <f>F73*-204.582</f>
        <v>0</v>
      </c>
      <c r="G77">
        <f>G73*-30.999000000000002</f>
        <v>0</v>
      </c>
      <c r="H77">
        <f>H73*0.0</f>
        <v>0</v>
      </c>
      <c r="I77">
        <f>I73*-0.006531</f>
        <v>0</v>
      </c>
      <c r="J77">
        <f>J73*-107.46600000000001</f>
        <v>0</v>
      </c>
      <c r="K77">
        <f>K73*80.6</f>
        <v>0</v>
      </c>
      <c r="L77">
        <f>L73*45.906000000000006</f>
        <v>0</v>
      </c>
      <c r="M77">
        <f>M73*-375.385</f>
        <v>0</v>
      </c>
      <c r="N77">
        <f>E77+F77+G77+H77+I77+J77+K77+L77</f>
        <v>0</v>
      </c>
    </row>
    <row r="78" spans="3:14">
      <c r="C78">
        <f>3.0</f>
        <v>0</v>
      </c>
      <c r="D78">
        <f>3.0</f>
        <v>0</v>
      </c>
      <c r="E78">
        <f>E73*-12.784</f>
        <v>0</v>
      </c>
      <c r="F78">
        <f>F73*-176.49900000000002</f>
        <v>0</v>
      </c>
      <c r="G78">
        <f>G73*-26.296</f>
        <v>0</v>
      </c>
      <c r="H78">
        <f>H73*0.0</f>
        <v>0</v>
      </c>
      <c r="I78">
        <f>I73*-0.006436</f>
        <v>0</v>
      </c>
      <c r="J78">
        <f>J73*-95.682</f>
        <v>0</v>
      </c>
      <c r="K78">
        <f>K73*71.76100000000001</f>
        <v>0</v>
      </c>
      <c r="L78">
        <f>L73*70.223</f>
        <v>0</v>
      </c>
      <c r="M78">
        <f>M73*-336.273</f>
        <v>0</v>
      </c>
      <c r="N78">
        <f>E78+F78+G78+H78+I78+J78+K78+L78</f>
        <v>0</v>
      </c>
    </row>
    <row r="79" spans="3:14">
      <c r="C79">
        <f>4.0</f>
        <v>0</v>
      </c>
      <c r="D79">
        <f>4.0</f>
        <v>0</v>
      </c>
      <c r="E79">
        <f>E73*-13.603</f>
        <v>0</v>
      </c>
      <c r="F79">
        <f>F73*-156.697</f>
        <v>0</v>
      </c>
      <c r="G79">
        <f>G73*-21.662</f>
        <v>0</v>
      </c>
      <c r="H79">
        <f>H73*0.0</f>
        <v>0</v>
      </c>
      <c r="I79">
        <f>I73*-0.006102000000000001</f>
        <v>0</v>
      </c>
      <c r="J79">
        <f>J73*-88.949</f>
        <v>0</v>
      </c>
      <c r="K79">
        <f>K73*66.712</f>
        <v>0</v>
      </c>
      <c r="L79">
        <f>L73*96.229</f>
        <v>0</v>
      </c>
      <c r="M79">
        <f>M73*-300.026</f>
        <v>0</v>
      </c>
      <c r="N79">
        <f>E79+F79+G79+H79+I79+J79+K79+L79</f>
        <v>0</v>
      </c>
    </row>
    <row r="80" spans="3:14">
      <c r="C80">
        <f>5.0</f>
        <v>0</v>
      </c>
      <c r="D80">
        <f>5.0</f>
        <v>0</v>
      </c>
      <c r="E80">
        <f>E73*-13.179</f>
        <v>0</v>
      </c>
      <c r="F80">
        <f>F73*-131.27100000000002</f>
        <v>0</v>
      </c>
      <c r="G80">
        <f>G73*-18.582</f>
        <v>0</v>
      </c>
      <c r="H80">
        <f>H73*0.0</f>
        <v>0</v>
      </c>
      <c r="I80">
        <f>I73*-0.005186</f>
        <v>0</v>
      </c>
      <c r="J80">
        <f>J73*-71.97</f>
        <v>0</v>
      </c>
      <c r="K80">
        <f>K73*53.978</f>
        <v>0</v>
      </c>
      <c r="L80">
        <f>L73*101.626</f>
        <v>0</v>
      </c>
      <c r="M80">
        <f>M73*-284.955</f>
        <v>0</v>
      </c>
      <c r="N80">
        <f>E80+F80+G80+H80+I80+J80+K80+L80</f>
        <v>0</v>
      </c>
    </row>
    <row r="81" spans="3:14">
      <c r="C81">
        <f>6.0</f>
        <v>0</v>
      </c>
      <c r="D81">
        <f>6.0</f>
        <v>0</v>
      </c>
      <c r="E81">
        <f>E73*-6.327000000000001</f>
        <v>0</v>
      </c>
      <c r="F81">
        <f>F73*-97.75</f>
        <v>0</v>
      </c>
      <c r="G81">
        <f>G73*-15.812999999999999</f>
        <v>0</v>
      </c>
      <c r="H81">
        <f>H73*0.0</f>
        <v>0</v>
      </c>
      <c r="I81">
        <f>I73*-0.0033950000000000004</f>
        <v>0</v>
      </c>
      <c r="J81">
        <f>J73*6.724</f>
        <v>0</v>
      </c>
      <c r="K81">
        <f>K73*-5.043</f>
        <v>0</v>
      </c>
      <c r="L81">
        <f>L73*105.333</f>
        <v>0</v>
      </c>
      <c r="M81">
        <f>M73*-271.001</f>
        <v>0</v>
      </c>
      <c r="N81">
        <f>E81+F81+G81+H81+I81+J81+K81+L81</f>
        <v>0</v>
      </c>
    </row>
    <row r="82" spans="3:14">
      <c r="C82">
        <f>7.0</f>
        <v>0</v>
      </c>
      <c r="D82">
        <f>7.0</f>
        <v>0</v>
      </c>
      <c r="E82">
        <f>E73*-5.94</f>
        <v>0</v>
      </c>
      <c r="F82">
        <f>F73*-73.396</f>
        <v>0</v>
      </c>
      <c r="G82">
        <f>G73*-11.725999999999999</f>
        <v>0</v>
      </c>
      <c r="H82">
        <f>H73*0.0</f>
        <v>0</v>
      </c>
      <c r="I82">
        <f>I73*-0.003106</f>
        <v>0</v>
      </c>
      <c r="J82">
        <f>J73*3.6489999999999996</f>
        <v>0</v>
      </c>
      <c r="K82">
        <f>K73*-2.737</f>
        <v>0</v>
      </c>
      <c r="L82">
        <f>L73*129.666</f>
        <v>0</v>
      </c>
      <c r="M82">
        <f>M73*-241.73</f>
        <v>0</v>
      </c>
      <c r="N82">
        <f>E82+F82+G82+H82+I82+J82+K82+L82</f>
        <v>0</v>
      </c>
    </row>
    <row r="83" spans="3:14">
      <c r="C83">
        <f>8.0</f>
        <v>0</v>
      </c>
      <c r="D83">
        <f>8.0</f>
        <v>0</v>
      </c>
      <c r="E83">
        <f>E73*-5.7</f>
        <v>0</v>
      </c>
      <c r="F83">
        <f>F73*-49.308</f>
        <v>0</v>
      </c>
      <c r="G83">
        <f>G73*-7.664</f>
        <v>0</v>
      </c>
      <c r="H83">
        <f>H73*0.0</f>
        <v>0</v>
      </c>
      <c r="I83">
        <f>I73*-0.00256</f>
        <v>0</v>
      </c>
      <c r="J83">
        <f>J73*-7.12</f>
        <v>0</v>
      </c>
      <c r="K83">
        <f>K73*5.34</f>
        <v>0</v>
      </c>
      <c r="L83">
        <f>L73*160.685</f>
        <v>0</v>
      </c>
      <c r="M83">
        <f>M73*-213.945</f>
        <v>0</v>
      </c>
      <c r="N83">
        <f>E83+F83+G83+H83+I83+J83+K83+L83</f>
        <v>0</v>
      </c>
    </row>
    <row r="84" spans="3:14">
      <c r="C84">
        <f>9.0</f>
        <v>0</v>
      </c>
      <c r="D84">
        <f>9.0</f>
        <v>0</v>
      </c>
      <c r="E84">
        <f>E73*-5.247000000000001</f>
        <v>0</v>
      </c>
      <c r="F84">
        <f>F73*-25.329</f>
        <v>0</v>
      </c>
      <c r="G84">
        <f>G73*-3.638</f>
        <v>0</v>
      </c>
      <c r="H84">
        <f>H73*0.0</f>
        <v>0</v>
      </c>
      <c r="I84">
        <f>I73*-0.001744</f>
        <v>0</v>
      </c>
      <c r="J84">
        <f>J73*-13.274000000000001</f>
        <v>0</v>
      </c>
      <c r="K84">
        <f>K73*9.956</f>
        <v>0</v>
      </c>
      <c r="L84">
        <f>L73*170.67700000000002</f>
        <v>0</v>
      </c>
      <c r="M84">
        <f>M73*-187.593</f>
        <v>0</v>
      </c>
      <c r="N84">
        <f>E84+F84+G84+H84+I84+J84+K84+L84</f>
        <v>0</v>
      </c>
    </row>
    <row r="85" spans="3:14">
      <c r="C85">
        <f>10.0</f>
        <v>0</v>
      </c>
      <c r="D85">
        <f>10.0</f>
        <v>0</v>
      </c>
      <c r="E85">
        <f>E73*5.401</f>
        <v>0</v>
      </c>
      <c r="F85">
        <f>F73*6.435</f>
        <v>0</v>
      </c>
      <c r="G85">
        <f>G73*0.521</f>
        <v>0</v>
      </c>
      <c r="H85">
        <f>H73*0.0</f>
        <v>0</v>
      </c>
      <c r="I85">
        <f>I73*0.001472</f>
        <v>0</v>
      </c>
      <c r="J85">
        <f>J73*-13.824000000000002</f>
        <v>0</v>
      </c>
      <c r="K85">
        <f>K73*10.368</f>
        <v>0</v>
      </c>
      <c r="L85">
        <f>L73*181.27700000000002</f>
        <v>0</v>
      </c>
      <c r="M85">
        <f>M73*-182.86900000000003</f>
        <v>0</v>
      </c>
      <c r="N85">
        <f>E85+F85+G85+H85+I85+J85+K85+L85</f>
        <v>0</v>
      </c>
    </row>
    <row r="86" spans="3:14">
      <c r="C86">
        <f>11.0</f>
        <v>0</v>
      </c>
      <c r="D86">
        <f>11.0</f>
        <v>0</v>
      </c>
      <c r="E86">
        <f>E73*6.287000000000001</f>
        <v>0</v>
      </c>
      <c r="F86">
        <f>F73*31.441</f>
        <v>0</v>
      </c>
      <c r="G86">
        <f>G73*4.529</f>
        <v>0</v>
      </c>
      <c r="H86">
        <f>H73*0.0</f>
        <v>0</v>
      </c>
      <c r="I86">
        <f>I73*0.002206</f>
        <v>0</v>
      </c>
      <c r="J86">
        <f>J73*12.625</f>
        <v>0</v>
      </c>
      <c r="K86">
        <f>K73*-9.469</f>
        <v>0</v>
      </c>
      <c r="L86">
        <f>L73*189.34599999999998</f>
        <v>0</v>
      </c>
      <c r="M86">
        <f>M73*-172.017</f>
        <v>0</v>
      </c>
      <c r="N86">
        <f>E86+F86+G86+H86+I86+J86+K86+L86</f>
        <v>0</v>
      </c>
    </row>
    <row r="87" spans="3:14">
      <c r="C87">
        <f>12.0</f>
        <v>0</v>
      </c>
      <c r="D87">
        <f>12.0</f>
        <v>0</v>
      </c>
      <c r="E87">
        <f>E73*6.801</f>
        <v>0</v>
      </c>
      <c r="F87">
        <f>F73*55.331</f>
        <v>0</v>
      </c>
      <c r="G87">
        <f>G73*8.533</f>
        <v>0</v>
      </c>
      <c r="H87">
        <f>H73*0.0</f>
        <v>0</v>
      </c>
      <c r="I87">
        <f>I73*0.003181</f>
        <v>0</v>
      </c>
      <c r="J87">
        <f>J73*5.914</f>
        <v>0</v>
      </c>
      <c r="K87">
        <f>K73*-4.436</f>
        <v>0</v>
      </c>
      <c r="L87">
        <f>L73*215.24200000000002</f>
        <v>0</v>
      </c>
      <c r="M87">
        <f>M73*-147.597</f>
        <v>0</v>
      </c>
      <c r="N87">
        <f>E87+F87+G87+H87+I87+J87+K87+L87</f>
        <v>0</v>
      </c>
    </row>
    <row r="88" spans="3:14">
      <c r="C88">
        <f>13.0</f>
        <v>0</v>
      </c>
      <c r="D88">
        <f>13.0</f>
        <v>0</v>
      </c>
      <c r="E88">
        <f>E73*7.152</f>
        <v>0</v>
      </c>
      <c r="F88">
        <f>F73*79.27600000000001</f>
        <v>0</v>
      </c>
      <c r="G88">
        <f>G73*12.569</f>
        <v>0</v>
      </c>
      <c r="H88">
        <f>H73*0.0</f>
        <v>0</v>
      </c>
      <c r="I88">
        <f>I73*0.004354</f>
        <v>0</v>
      </c>
      <c r="J88">
        <f>J73*-6.832999999999999</f>
        <v>0</v>
      </c>
      <c r="K88">
        <f>K73*5.125</f>
        <v>0</v>
      </c>
      <c r="L88">
        <f>L73*245.122</f>
        <v>0</v>
      </c>
      <c r="M88">
        <f>M73*-124.62</f>
        <v>0</v>
      </c>
      <c r="N88">
        <f>E88+F88+G88+H88+I88+J88+K88+L88</f>
        <v>0</v>
      </c>
    </row>
    <row r="89" spans="3:14">
      <c r="C89">
        <f>14.0</f>
        <v>0</v>
      </c>
      <c r="D89">
        <f>14.0</f>
        <v>0</v>
      </c>
      <c r="E89">
        <f>E73*7.7379999999999995</f>
        <v>0</v>
      </c>
      <c r="F89">
        <f>F73*103.568</f>
        <v>0</v>
      </c>
      <c r="G89">
        <f>G73*16.641</f>
        <v>0</v>
      </c>
      <c r="H89">
        <f>H73*0.0</f>
        <v>0</v>
      </c>
      <c r="I89">
        <f>I73*0.005464</f>
        <v>0</v>
      </c>
      <c r="J89">
        <f>J73*-12.546</f>
        <v>0</v>
      </c>
      <c r="K89">
        <f>K73*9.408999999999999</f>
        <v>0</v>
      </c>
      <c r="L89">
        <f>L73*272.51599999999996</f>
        <v>0</v>
      </c>
      <c r="M89">
        <f>M73*-103.391</f>
        <v>0</v>
      </c>
      <c r="N89">
        <f>E89+F89+G89+H89+I89+J89+K89+L89</f>
        <v>0</v>
      </c>
    </row>
    <row r="90" spans="3:14">
      <c r="C90">
        <f>15.0</f>
        <v>0</v>
      </c>
      <c r="D90">
        <f>15.0</f>
        <v>0</v>
      </c>
      <c r="E90">
        <f>E73*17.48</f>
        <v>0</v>
      </c>
      <c r="F90">
        <f>F73*145.626</f>
        <v>0</v>
      </c>
      <c r="G90">
        <f>G73*20.308</f>
        <v>0</v>
      </c>
      <c r="H90">
        <f>H73*0.0</f>
        <v>0</v>
      </c>
      <c r="I90">
        <f>I73*-0.006945000000000001</f>
        <v>0</v>
      </c>
      <c r="J90">
        <f>J73*31.346</f>
        <v>0</v>
      </c>
      <c r="K90">
        <f>K73*-23.509</f>
        <v>0</v>
      </c>
      <c r="L90">
        <f>L73*286.58299999999997</f>
        <v>0</v>
      </c>
      <c r="M90">
        <f>M73*-117.275</f>
        <v>0</v>
      </c>
      <c r="N90">
        <f>E90+F90+G90+H90+I90+J90+K90+L90</f>
        <v>0</v>
      </c>
    </row>
    <row r="91" spans="3:14">
      <c r="C91">
        <f>15.91</f>
        <v>0</v>
      </c>
      <c r="D91">
        <f>15.91</f>
        <v>0</v>
      </c>
      <c r="E91">
        <f>E73*18.112000000000002</f>
        <v>0</v>
      </c>
      <c r="F91">
        <f>F73*169.063</f>
        <v>0</v>
      </c>
      <c r="G91">
        <f>G73*23.206999999999997</f>
        <v>0</v>
      </c>
      <c r="H91">
        <f>H73*0.0</f>
        <v>0</v>
      </c>
      <c r="I91">
        <f>I73*-0.007601999999999999</f>
        <v>0</v>
      </c>
      <c r="J91">
        <f>J73*41.251999999999995</f>
        <v>0</v>
      </c>
      <c r="K91">
        <f>K73*-30.939</f>
        <v>0</v>
      </c>
      <c r="L91">
        <f>L73*297.478</f>
        <v>0</v>
      </c>
      <c r="M91">
        <f>M73*-107.55799999999999</f>
        <v>0</v>
      </c>
      <c r="N91">
        <f>E91+F91+G91+H91+I91+J91+K91+L91</f>
        <v>0</v>
      </c>
    </row>
    <row r="92" spans="3:14">
      <c r="C92">
        <f>16.82</f>
        <v>0</v>
      </c>
      <c r="D92">
        <f>16.82</f>
        <v>0</v>
      </c>
      <c r="E92">
        <f>E73*18.162</f>
        <v>0</v>
      </c>
      <c r="F92">
        <f>F73*187.11</f>
        <v>0</v>
      </c>
      <c r="G92">
        <f>G73*27.285</f>
        <v>0</v>
      </c>
      <c r="H92">
        <f>H73*0.0</f>
        <v>0</v>
      </c>
      <c r="I92">
        <f>I73*-0.011000000000000001</f>
        <v>0</v>
      </c>
      <c r="J92">
        <f>J73*41.129</f>
        <v>0</v>
      </c>
      <c r="K92">
        <f>K73*-30.846999999999998</f>
        <v>0</v>
      </c>
      <c r="L92">
        <f>L73*327.89099999999996</f>
        <v>0</v>
      </c>
      <c r="M92">
        <f>M73*-86.052</f>
        <v>0</v>
      </c>
      <c r="N92">
        <f>E92+F92+G92+H92+I92+J92+K92+L92</f>
        <v>0</v>
      </c>
    </row>
    <row r="93" spans="3:14">
      <c r="C93">
        <f>17.73</f>
        <v>0</v>
      </c>
      <c r="D93">
        <f>17.73</f>
        <v>0</v>
      </c>
      <c r="E93">
        <f>E73*18.538</f>
        <v>0</v>
      </c>
      <c r="F93">
        <f>F73*214.08700000000002</f>
        <v>0</v>
      </c>
      <c r="G93">
        <f>G73*31.693</f>
        <v>0</v>
      </c>
      <c r="H93">
        <f>H73*0.0</f>
        <v>0</v>
      </c>
      <c r="I93">
        <f>I73*-0.018000000000000002</f>
        <v>0</v>
      </c>
      <c r="J93">
        <f>J73*41.1</f>
        <v>0</v>
      </c>
      <c r="K93">
        <f>K73*-30.825</f>
        <v>0</v>
      </c>
      <c r="L93">
        <f>L73*364.431</f>
        <v>0</v>
      </c>
      <c r="M93">
        <f>M73*-57.423</f>
        <v>0</v>
      </c>
      <c r="N93">
        <f>E93+F93+G93+H93+I93+J93+K93+L93</f>
        <v>0</v>
      </c>
    </row>
    <row r="94" spans="3:14">
      <c r="C94">
        <f>18.64</f>
        <v>0</v>
      </c>
      <c r="D94">
        <f>18.64</f>
        <v>0</v>
      </c>
      <c r="E94">
        <f>E73*18.969</f>
        <v>0</v>
      </c>
      <c r="F94">
        <f>F73*244.03900000000002</f>
        <v>0</v>
      </c>
      <c r="G94">
        <f>G73*36.510999999999996</f>
        <v>0</v>
      </c>
      <c r="H94">
        <f>H73*0.0</f>
        <v>0</v>
      </c>
      <c r="I94">
        <f>I73*-0.032</f>
        <v>0</v>
      </c>
      <c r="J94">
        <f>J73*48.005</f>
        <v>0</v>
      </c>
      <c r="K94">
        <f>K73*-36.004</f>
        <v>0</v>
      </c>
      <c r="L94">
        <f>L73*410.705</f>
        <v>0</v>
      </c>
      <c r="M94">
        <f>M73*-36.71</f>
        <v>0</v>
      </c>
      <c r="N94">
        <f>E94+F94+G94+H94+I94+J94+K94+L94</f>
        <v>0</v>
      </c>
    </row>
    <row r="95" spans="3:14">
      <c r="C95">
        <f>19.55</f>
        <v>0</v>
      </c>
      <c r="D95">
        <f>19.55</f>
        <v>0</v>
      </c>
      <c r="E95">
        <f>E73*19.239</f>
        <v>0</v>
      </c>
      <c r="F95">
        <f>F73*270.735</f>
        <v>0</v>
      </c>
      <c r="G95">
        <f>G73*38.891999999999996</f>
        <v>0</v>
      </c>
      <c r="H95">
        <f>H73*0.0</f>
        <v>0</v>
      </c>
      <c r="I95">
        <f>I73*-0.042</f>
        <v>0</v>
      </c>
      <c r="J95">
        <f>J73*58.31</f>
        <v>0</v>
      </c>
      <c r="K95">
        <f>K73*-43.733000000000004</f>
        <v>0</v>
      </c>
      <c r="L95">
        <f>L73*436.22900000000004</f>
        <v>0</v>
      </c>
      <c r="M95">
        <f>M73*-220.187</f>
        <v>0</v>
      </c>
      <c r="N95">
        <f>E95+F95+G95+H95+I95+J95+K95+L95</f>
        <v>0</v>
      </c>
    </row>
    <row r="96" spans="3:14">
      <c r="C96">
        <f>20.0</f>
        <v>0</v>
      </c>
      <c r="D96">
        <f>20.0</f>
        <v>0</v>
      </c>
      <c r="E96">
        <f>E73*0.711</f>
        <v>0</v>
      </c>
      <c r="F96">
        <f>F73*-12.083</f>
        <v>0</v>
      </c>
      <c r="G96">
        <f>G73*-2.728</f>
        <v>0</v>
      </c>
      <c r="H96">
        <f>H73*0.0</f>
        <v>0</v>
      </c>
      <c r="I96">
        <f>I73*0.027999999999999997</f>
        <v>0</v>
      </c>
      <c r="J96">
        <f>J73*-17.738</f>
        <v>0</v>
      </c>
      <c r="K96">
        <f>K73*13.302999999999999</f>
        <v>0</v>
      </c>
      <c r="L96">
        <f>L73*12.984000000000002</f>
        <v>0</v>
      </c>
      <c r="M96">
        <f>M73*-219.47</f>
        <v>0</v>
      </c>
      <c r="N96">
        <f>E96+F96+G96+H96+I96+J96+K96+L96</f>
        <v>0</v>
      </c>
    </row>
    <row r="97" spans="3:14">
      <c r="C97">
        <f>20.0</f>
        <v>0</v>
      </c>
      <c r="D97">
        <f>0.0</f>
        <v>0</v>
      </c>
      <c r="E97">
        <f>E73*-0.581</f>
        <v>0</v>
      </c>
      <c r="F97">
        <f>F73*11.365</f>
        <v>0</v>
      </c>
      <c r="G97">
        <f>G73*2.617</f>
        <v>0</v>
      </c>
      <c r="H97">
        <f>H73*0.0</f>
        <v>0</v>
      </c>
      <c r="I97">
        <f>I73*0.242</f>
        <v>0</v>
      </c>
      <c r="J97">
        <f>J73*15.716</f>
        <v>0</v>
      </c>
      <c r="K97">
        <f>K73*-11.787</f>
        <v>0</v>
      </c>
      <c r="L97">
        <f>L73*27.201</f>
        <v>0</v>
      </c>
      <c r="M97">
        <f>M73*-13.525</f>
        <v>0</v>
      </c>
      <c r="N97">
        <f>E97+F97+G97+H97+I97+J97+K97+L97</f>
        <v>0</v>
      </c>
    </row>
    <row r="98" spans="3:14">
      <c r="C98">
        <f>20.45</f>
        <v>0</v>
      </c>
      <c r="D98">
        <f>0.45</f>
        <v>0</v>
      </c>
      <c r="E98">
        <f>E73*-18.121</f>
        <v>0</v>
      </c>
      <c r="F98">
        <f>F73*-270.297</f>
        <v>0</v>
      </c>
      <c r="G98">
        <f>G73*-38.86</f>
        <v>0</v>
      </c>
      <c r="H98">
        <f>H73*0.0</f>
        <v>0</v>
      </c>
      <c r="I98">
        <f>I73*-0.982</f>
        <v>0</v>
      </c>
      <c r="J98">
        <f>J73*-67.429</f>
        <v>0</v>
      </c>
      <c r="K98">
        <f>K73*50.571999999999996</f>
        <v>0</v>
      </c>
      <c r="L98">
        <f>L73*27.201</f>
        <v>0</v>
      </c>
      <c r="M98">
        <f>M73*-443.412</f>
        <v>0</v>
      </c>
      <c r="N98">
        <f>E98+F98+G98+H98+I98+J98+K98+L98</f>
        <v>0</v>
      </c>
    </row>
    <row r="99" spans="3:14">
      <c r="C99">
        <f>21.36</f>
        <v>0</v>
      </c>
      <c r="D99">
        <f>1.36</f>
        <v>0</v>
      </c>
      <c r="E99">
        <f>E73*-17.892</f>
        <v>0</v>
      </c>
      <c r="F99">
        <f>F73*-243.282</f>
        <v>0</v>
      </c>
      <c r="G99">
        <f>G73*-36.43</f>
        <v>0</v>
      </c>
      <c r="H99">
        <f>H73*0.0</f>
        <v>0</v>
      </c>
      <c r="I99">
        <f>I73*-0.884</f>
        <v>0</v>
      </c>
      <c r="J99">
        <f>J73*-56.464</f>
        <v>0</v>
      </c>
      <c r="K99">
        <f>K73*42.348</f>
        <v>0</v>
      </c>
      <c r="L99">
        <f>L73*30.391</f>
        <v>0</v>
      </c>
      <c r="M99">
        <f>M73*-418.55400000000003</f>
        <v>0</v>
      </c>
      <c r="N99">
        <f>E99+F99+G99+H99+I99+J99+K99+L99</f>
        <v>0</v>
      </c>
    </row>
    <row r="100" spans="3:14">
      <c r="C100">
        <f>22.27</f>
        <v>0</v>
      </c>
      <c r="D100">
        <f>2.27</f>
        <v>0</v>
      </c>
      <c r="E100">
        <f>E73*-17.563</f>
        <v>0</v>
      </c>
      <c r="F100">
        <f>F73*-212.773</f>
        <v>0</v>
      </c>
      <c r="G100">
        <f>G73*-31.526999999999997</f>
        <v>0</v>
      </c>
      <c r="H100">
        <f>H73*0.0</f>
        <v>0</v>
      </c>
      <c r="I100">
        <f>I73*-0.755</f>
        <v>0</v>
      </c>
      <c r="J100">
        <f>J73*-48.067</f>
        <v>0</v>
      </c>
      <c r="K100">
        <f>K73*36.05</f>
        <v>0</v>
      </c>
      <c r="L100">
        <f>L73*50.966</f>
        <v>0</v>
      </c>
      <c r="M100">
        <f>M73*-371.621</f>
        <v>0</v>
      </c>
      <c r="N100">
        <f>E100+F100+G100+H100+I100+J100+K100+L100</f>
        <v>0</v>
      </c>
    </row>
    <row r="101" spans="3:14">
      <c r="C101">
        <f>23.18</f>
        <v>0</v>
      </c>
      <c r="D101">
        <f>3.18</f>
        <v>0</v>
      </c>
      <c r="E101">
        <f>E73*-17.278</f>
        <v>0</v>
      </c>
      <c r="F101">
        <f>F73*-185.33700000000002</f>
        <v>0</v>
      </c>
      <c r="G101">
        <f>G73*-27.046999999999997</f>
        <v>0</v>
      </c>
      <c r="H101">
        <f>H73*0.0</f>
        <v>0</v>
      </c>
      <c r="I101">
        <f>I73*-0.6829999999999999</f>
        <v>0</v>
      </c>
      <c r="J101">
        <f>J73*-46.757</f>
        <v>0</v>
      </c>
      <c r="K101">
        <f>K73*35.067</f>
        <v>0</v>
      </c>
      <c r="L101">
        <f>L73*78.329</f>
        <v>0</v>
      </c>
      <c r="M101">
        <f>M73*-333.24</f>
        <v>0</v>
      </c>
      <c r="N101">
        <f>E101+F101+G101+H101+I101+J101+K101+L101</f>
        <v>0</v>
      </c>
    </row>
    <row r="102" spans="3:14">
      <c r="C102">
        <f>24.09</f>
        <v>0</v>
      </c>
      <c r="D102">
        <f>4.09</f>
        <v>0</v>
      </c>
      <c r="E102">
        <f>E73*-17.329</f>
        <v>0</v>
      </c>
      <c r="F102">
        <f>F73*-166.56799999999998</f>
        <v>0</v>
      </c>
      <c r="G102">
        <f>G73*-22.913</f>
        <v>0</v>
      </c>
      <c r="H102">
        <f>H73*0.0</f>
        <v>0</v>
      </c>
      <c r="I102">
        <f>I73*-0.6679999999999999</f>
        <v>0</v>
      </c>
      <c r="J102">
        <f>J73*-45.766000000000005</f>
        <v>0</v>
      </c>
      <c r="K102">
        <f>K73*34.325</f>
        <v>0</v>
      </c>
      <c r="L102">
        <f>L73*101.12799999999999</f>
        <v>0</v>
      </c>
      <c r="M102">
        <f>M73*-300.948</f>
        <v>0</v>
      </c>
      <c r="N102">
        <f>E102+F102+G102+H102+I102+J102+K102+L102</f>
        <v>0</v>
      </c>
    </row>
    <row r="103" spans="3:14">
      <c r="C103">
        <f>25.0</f>
        <v>0</v>
      </c>
      <c r="D103">
        <f>5.0</f>
        <v>0</v>
      </c>
      <c r="E103">
        <f>E73*-16.725</f>
        <v>0</v>
      </c>
      <c r="F103">
        <f>F73*-143.024</f>
        <v>0</v>
      </c>
      <c r="G103">
        <f>G73*-19.94</f>
        <v>0</v>
      </c>
      <c r="H103">
        <f>H73*0.0</f>
        <v>0</v>
      </c>
      <c r="I103">
        <f>I73*-1.0</f>
        <v>0</v>
      </c>
      <c r="J103">
        <f>J73*-34.772</f>
        <v>0</v>
      </c>
      <c r="K103">
        <f>K73*26.079</f>
        <v>0</v>
      </c>
      <c r="L103">
        <f>L73*111.35799999999999</f>
        <v>0</v>
      </c>
      <c r="M103">
        <f>M73*-282.721</f>
        <v>0</v>
      </c>
      <c r="N103">
        <f>E103+F103+G103+H103+I103+J103+K103+L103</f>
        <v>0</v>
      </c>
    </row>
    <row r="104" spans="3:14">
      <c r="C104">
        <f>26.0</f>
        <v>0</v>
      </c>
      <c r="D104">
        <f>6.0</f>
        <v>0</v>
      </c>
      <c r="E104">
        <f>E73*-7.223</f>
        <v>0</v>
      </c>
      <c r="F104">
        <f>F73*-99.93299999999999</f>
        <v>0</v>
      </c>
      <c r="G104">
        <f>G73*-16.114</f>
        <v>0</v>
      </c>
      <c r="H104">
        <f>H73*0.0</f>
        <v>0</v>
      </c>
      <c r="I104">
        <f>I73*-1.122</f>
        <v>0</v>
      </c>
      <c r="J104">
        <f>J73*12.722000000000001</f>
        <v>0</v>
      </c>
      <c r="K104">
        <f>K73*-9.541</f>
        <v>0</v>
      </c>
      <c r="L104">
        <f>L73*102.54700000000001</f>
        <v>0</v>
      </c>
      <c r="M104">
        <f>M73*-270.16200000000003</f>
        <v>0</v>
      </c>
      <c r="N104">
        <f>E104+F104+G104+H104+I104+J104+K104+L104</f>
        <v>0</v>
      </c>
    </row>
    <row r="105" spans="3:14">
      <c r="C105">
        <f>27.0</f>
        <v>0</v>
      </c>
      <c r="D105">
        <f>7.0</f>
        <v>0</v>
      </c>
      <c r="E105">
        <f>E73*-6.685</f>
        <v>0</v>
      </c>
      <c r="F105">
        <f>F73*-75.632</f>
        <v>0</v>
      </c>
      <c r="G105">
        <f>G73*-12.03</f>
        <v>0</v>
      </c>
      <c r="H105">
        <f>H73*0.0</f>
        <v>0</v>
      </c>
      <c r="I105">
        <f>I73*-1.308</f>
        <v>0</v>
      </c>
      <c r="J105">
        <f>J73*7.7</f>
        <v>0</v>
      </c>
      <c r="K105">
        <f>K73*-5.775</f>
        <v>0</v>
      </c>
      <c r="L105">
        <f>L73*124.256</f>
        <v>0</v>
      </c>
      <c r="M105">
        <f>M73*-240.137</f>
        <v>0</v>
      </c>
      <c r="N105">
        <f>E105+F105+G105+H105+I105+J105+K105+L105</f>
        <v>0</v>
      </c>
    </row>
    <row r="106" spans="3:14">
      <c r="C106">
        <f>28.0</f>
        <v>0</v>
      </c>
      <c r="D106">
        <f>8.0</f>
        <v>0</v>
      </c>
      <c r="E106">
        <f>E73*-6.372999999999999</f>
        <v>0</v>
      </c>
      <c r="F106">
        <f>F73*-51.765</f>
        <v>0</v>
      </c>
      <c r="G106">
        <f>G73*-7.995</f>
        <v>0</v>
      </c>
      <c r="H106">
        <f>H73*0.0</f>
        <v>0</v>
      </c>
      <c r="I106">
        <f>I73*-1.547</f>
        <v>0</v>
      </c>
      <c r="J106">
        <f>J73*-4.254</f>
        <v>0</v>
      </c>
      <c r="K106">
        <f>K73*3.19</f>
        <v>0</v>
      </c>
      <c r="L106">
        <f>L73*147.2</f>
        <v>0</v>
      </c>
      <c r="M106">
        <f>M73*-212.73</f>
        <v>0</v>
      </c>
      <c r="N106">
        <f>E106+F106+G106+H106+I106+J106+K106+L106</f>
        <v>0</v>
      </c>
    </row>
    <row r="107" spans="3:14">
      <c r="C107">
        <f>29.0</f>
        <v>0</v>
      </c>
      <c r="D107">
        <f>9.0</f>
        <v>0</v>
      </c>
      <c r="E107">
        <f>E73*-5.886</f>
        <v>0</v>
      </c>
      <c r="F107">
        <f>F73*-28.026</f>
        <v>0</v>
      </c>
      <c r="G107">
        <f>G73*-4.005</f>
        <v>0</v>
      </c>
      <c r="H107">
        <f>H73*0.0</f>
        <v>0</v>
      </c>
      <c r="I107">
        <f>I73*-1.8330000000000002</f>
        <v>0</v>
      </c>
      <c r="J107">
        <f>J73*-10.684000000000001</f>
        <v>0</v>
      </c>
      <c r="K107">
        <f>K73*8.013</f>
        <v>0</v>
      </c>
      <c r="L107">
        <f>L73*171.574</f>
        <v>0</v>
      </c>
      <c r="M107">
        <f>M73*-186.838</f>
        <v>0</v>
      </c>
      <c r="N107">
        <f>E107+F107+G107+H107+I107+J107+K107+L107</f>
        <v>0</v>
      </c>
    </row>
    <row r="108" spans="3:14">
      <c r="C108">
        <f>30.0</f>
        <v>0</v>
      </c>
      <c r="D108">
        <f>10.0</f>
        <v>0</v>
      </c>
      <c r="E108">
        <f>E73*5.189</f>
        <v>0</v>
      </c>
      <c r="F108">
        <f>F73*3.634</f>
        <v>0</v>
      </c>
      <c r="G108">
        <f>G73*0.09</f>
        <v>0</v>
      </c>
      <c r="H108">
        <f>H73*0.0</f>
        <v>0</v>
      </c>
      <c r="I108">
        <f>I73*-2.673</f>
        <v>0</v>
      </c>
      <c r="J108">
        <f>J73*-11.37</f>
        <v>0</v>
      </c>
      <c r="K108">
        <f>K73*8.527999999999999</f>
        <v>0</v>
      </c>
      <c r="L108">
        <f>L73*180.547</f>
        <v>0</v>
      </c>
      <c r="M108">
        <f>M73*-182.813</f>
        <v>0</v>
      </c>
      <c r="N108">
        <f>E108+F108+G108+H108+I108+J108+K108+L108</f>
        <v>0</v>
      </c>
    </row>
    <row r="109" spans="3:14">
      <c r="C109">
        <f>31.0</f>
        <v>0</v>
      </c>
      <c r="D109">
        <f>11.0</f>
        <v>0</v>
      </c>
      <c r="E109">
        <f>E73*6.067</f>
        <v>0</v>
      </c>
      <c r="F109">
        <f>F73*28.529</f>
        <v>0</v>
      </c>
      <c r="G109">
        <f>G73*4.07</f>
        <v>0</v>
      </c>
      <c r="H109">
        <f>H73*0.0</f>
        <v>0</v>
      </c>
      <c r="I109">
        <f>I73*-3.0860000000000003</f>
        <v>0</v>
      </c>
      <c r="J109">
        <f>J73*9.557</f>
        <v>0</v>
      </c>
      <c r="K109">
        <f>K73*-7.167000000000001</f>
        <v>0</v>
      </c>
      <c r="L109">
        <f>L73*186.489</f>
        <v>0</v>
      </c>
      <c r="M109">
        <f>M73*-175.97400000000002</f>
        <v>0</v>
      </c>
      <c r="N109">
        <f>E109+F109+G109+H109+I109+J109+K109+L109</f>
        <v>0</v>
      </c>
    </row>
    <row r="110" spans="3:14">
      <c r="C110">
        <f>32.0</f>
        <v>0</v>
      </c>
      <c r="D110">
        <f>12.0</f>
        <v>0</v>
      </c>
      <c r="E110">
        <f>E73*6.564</f>
        <v>0</v>
      </c>
      <c r="F110">
        <f>F73*52.229</f>
        <v>0</v>
      </c>
      <c r="G110">
        <f>G73*8.051</f>
        <v>0</v>
      </c>
      <c r="H110">
        <f>H73*0.0</f>
        <v>0</v>
      </c>
      <c r="I110">
        <f>I73*-3.614</f>
        <v>0</v>
      </c>
      <c r="J110">
        <f>J73*3.025</f>
        <v>0</v>
      </c>
      <c r="K110">
        <f>K73*-2.269</f>
        <v>0</v>
      </c>
      <c r="L110">
        <f>L73*212.226</f>
        <v>0</v>
      </c>
      <c r="M110">
        <f>M73*-147.741</f>
        <v>0</v>
      </c>
      <c r="N110">
        <f>E110+F110+G110+H110+I110+J110+K110+L110</f>
        <v>0</v>
      </c>
    </row>
    <row r="111" spans="3:14">
      <c r="C111">
        <f>33.0</f>
        <v>0</v>
      </c>
      <c r="D111">
        <f>13.0</f>
        <v>0</v>
      </c>
      <c r="E111">
        <f>E73*6.893</f>
        <v>0</v>
      </c>
      <c r="F111">
        <f>F73*76.02</f>
        <v>0</v>
      </c>
      <c r="G111">
        <f>G73*12.069</f>
        <v>0</v>
      </c>
      <c r="H111">
        <f>H73*0.0</f>
        <v>0</v>
      </c>
      <c r="I111">
        <f>I73*-4.113</f>
        <v>0</v>
      </c>
      <c r="J111">
        <f>J73*-9.271</f>
        <v>0</v>
      </c>
      <c r="K111">
        <f>K73*6.952999999999999</f>
        <v>0</v>
      </c>
      <c r="L111">
        <f>L73*239.33900000000003</f>
        <v>0</v>
      </c>
      <c r="M111">
        <f>M73*-124.806</f>
        <v>0</v>
      </c>
      <c r="N111">
        <f>E111+F111+G111+H111+I111+J111+K111+L111</f>
        <v>0</v>
      </c>
    </row>
    <row r="112" spans="3:14">
      <c r="C112">
        <f>34.0</f>
        <v>0</v>
      </c>
      <c r="D112">
        <f>14.0</f>
        <v>0</v>
      </c>
      <c r="E112">
        <f>E73*7.452999999999999</f>
        <v>0</v>
      </c>
      <c r="F112">
        <f>F73*100.15</f>
        <v>0</v>
      </c>
      <c r="G112">
        <f>G73*16.12</f>
        <v>0</v>
      </c>
      <c r="H112">
        <f>H73*0.0</f>
        <v>0</v>
      </c>
      <c r="I112">
        <f>I73*-4.433</f>
        <v>0</v>
      </c>
      <c r="J112">
        <f>J73*-14.698</f>
        <v>0</v>
      </c>
      <c r="K112">
        <f>K73*11.024000000000001</f>
        <v>0</v>
      </c>
      <c r="L112">
        <f>L73*270.567</f>
        <v>0</v>
      </c>
      <c r="M112">
        <f>M73*-103.287</f>
        <v>0</v>
      </c>
      <c r="N112">
        <f>E112+F112+G112+H112+I112+J112+K112+L112</f>
        <v>0</v>
      </c>
    </row>
    <row r="113" spans="3:14">
      <c r="C113">
        <f>35.0</f>
        <v>0</v>
      </c>
      <c r="D113">
        <f>15.0</f>
        <v>0</v>
      </c>
      <c r="E113">
        <f>E73*16.971</f>
        <v>0</v>
      </c>
      <c r="F113">
        <f>F73*139.283</f>
        <v>0</v>
      </c>
      <c r="G113">
        <f>G73*19.381</f>
        <v>0</v>
      </c>
      <c r="H113">
        <f>H73*0.0</f>
        <v>0</v>
      </c>
      <c r="I113">
        <f>I73*-4.524</f>
        <v>0</v>
      </c>
      <c r="J113">
        <f>J73*28.983</f>
        <v>0</v>
      </c>
      <c r="K113">
        <f>K73*-21.737</f>
        <v>0</v>
      </c>
      <c r="L113">
        <f>L73*281.251</f>
        <v>0</v>
      </c>
      <c r="M113">
        <f>M73*-117.101</f>
        <v>0</v>
      </c>
      <c r="N113">
        <f>E113+F113+G113+H113+I113+J113+K113+L113</f>
        <v>0</v>
      </c>
    </row>
    <row r="114" spans="3:14">
      <c r="C114">
        <f>35.91</f>
        <v>0</v>
      </c>
      <c r="D114">
        <f>15.91</f>
        <v>0</v>
      </c>
      <c r="E114">
        <f>E73*17.587</f>
        <v>0</v>
      </c>
      <c r="F114">
        <f>F73*162.578</f>
        <v>0</v>
      </c>
      <c r="G114">
        <f>G73*22.276999999999997</f>
        <v>0</v>
      </c>
      <c r="H114">
        <f>H73*0.0</f>
        <v>0</v>
      </c>
      <c r="I114">
        <f>I73*4.0569999999999995</f>
        <v>0</v>
      </c>
      <c r="J114">
        <f>J73*39.1</f>
        <v>0</v>
      </c>
      <c r="K114">
        <f>K73*-29.325</f>
        <v>0</v>
      </c>
      <c r="L114">
        <f>L73*294.974</f>
        <v>0</v>
      </c>
      <c r="M114">
        <f>M73*-107.396</f>
        <v>0</v>
      </c>
      <c r="N114">
        <f>E114+F114+G114+H114+I114+J114+K114+L114</f>
        <v>0</v>
      </c>
    </row>
    <row r="115" spans="3:14">
      <c r="C115">
        <f>36.82</f>
        <v>0</v>
      </c>
      <c r="D115">
        <f>16.82</f>
        <v>0</v>
      </c>
      <c r="E115">
        <f>E73*17.607</f>
        <v>0</v>
      </c>
      <c r="F115">
        <f>F73*180.40599999999998</f>
        <v>0</v>
      </c>
      <c r="G115">
        <f>G73*26.309</f>
        <v>0</v>
      </c>
      <c r="H115">
        <f>H73*0.0</f>
        <v>0</v>
      </c>
      <c r="I115">
        <f>I73*5.882999999999999</f>
        <v>0</v>
      </c>
      <c r="J115">
        <f>J73*39.056999999999995</f>
        <v>0</v>
      </c>
      <c r="K115">
        <f>K73*-29.293000000000003</f>
        <v>0</v>
      </c>
      <c r="L115">
        <f>L73*325.475</f>
        <v>0</v>
      </c>
      <c r="M115">
        <f>M73*-85.919</f>
        <v>0</v>
      </c>
      <c r="N115">
        <f>E115+F115+G115+H115+I115+J115+K115+L115</f>
        <v>0</v>
      </c>
    </row>
    <row r="116" spans="3:14">
      <c r="C116">
        <f>37.73</f>
        <v>0</v>
      </c>
      <c r="D116">
        <f>17.73</f>
        <v>0</v>
      </c>
      <c r="E116">
        <f>E73*17.937</f>
        <v>0</v>
      </c>
      <c r="F116">
        <f>F73*206.907</f>
        <v>0</v>
      </c>
      <c r="G116">
        <f>G73*30.65</f>
        <v>0</v>
      </c>
      <c r="H116">
        <f>H73*0.0</f>
        <v>0</v>
      </c>
      <c r="I116">
        <f>I73*9.434</f>
        <v>0</v>
      </c>
      <c r="J116">
        <f>J73*39.013000000000005</f>
        <v>0</v>
      </c>
      <c r="K116">
        <f>K73*-29.259</f>
        <v>0</v>
      </c>
      <c r="L116">
        <f>L73*362.048</f>
        <v>0</v>
      </c>
      <c r="M116">
        <f>M73*-57.338</f>
        <v>0</v>
      </c>
      <c r="N116">
        <f>E116+F116+G116+H116+I116+J116+K116+L116</f>
        <v>0</v>
      </c>
    </row>
    <row r="117" spans="3:14">
      <c r="C117">
        <f>38.64</f>
        <v>0</v>
      </c>
      <c r="D117">
        <f>18.64</f>
        <v>0</v>
      </c>
      <c r="E117">
        <f>E73*18.294</f>
        <v>0</v>
      </c>
      <c r="F117">
        <f>F73*236.015</f>
        <v>0</v>
      </c>
      <c r="G117">
        <f>G73*35.346</f>
        <v>0</v>
      </c>
      <c r="H117">
        <f>H73*0.0</f>
        <v>0</v>
      </c>
      <c r="I117">
        <f>I73*16.325</f>
        <v>0</v>
      </c>
      <c r="J117">
        <f>J73*45.743</f>
        <v>0</v>
      </c>
      <c r="K117">
        <f>K73*-34.306999999999995</f>
        <v>0</v>
      </c>
      <c r="L117">
        <f>L73*407.879</f>
        <v>0</v>
      </c>
      <c r="M117">
        <f>M73*-36.639</f>
        <v>0</v>
      </c>
      <c r="N117">
        <f>E117+F117+G117+H117+I117+J117+K117+L117</f>
        <v>0</v>
      </c>
    </row>
    <row r="118" spans="3:14">
      <c r="C118">
        <f>39.55</f>
        <v>0</v>
      </c>
      <c r="D118">
        <f>19.55</f>
        <v>0</v>
      </c>
      <c r="E118">
        <f>E73*18.506</f>
        <v>0</v>
      </c>
      <c r="F118">
        <f>F73*262.01099999999997</f>
        <v>0</v>
      </c>
      <c r="G118">
        <f>G73*37.626</f>
        <v>0</v>
      </c>
      <c r="H118">
        <f>H73*0.0</f>
        <v>0</v>
      </c>
      <c r="I118">
        <f>I73*21.858</f>
        <v>0</v>
      </c>
      <c r="J118">
        <f>J73*55.854</f>
        <v>0</v>
      </c>
      <c r="K118">
        <f>K73*-41.891000000000005</f>
        <v>0</v>
      </c>
      <c r="L118">
        <f>L73*432.949</f>
        <v>0</v>
      </c>
      <c r="M118">
        <f>M73*-219.067</f>
        <v>0</v>
      </c>
      <c r="N118">
        <f>E118+F118+G118+H118+I118+J118+K118+L118</f>
        <v>0</v>
      </c>
    </row>
    <row r="119" spans="3:14">
      <c r="C119">
        <f>40.0</f>
        <v>0</v>
      </c>
      <c r="D119">
        <f>20.0</f>
        <v>0</v>
      </c>
      <c r="E119">
        <f>E73*0.897</f>
        <v>0</v>
      </c>
      <c r="F119">
        <f>F73*-9.979</f>
        <v>0</v>
      </c>
      <c r="G119">
        <f>G73*-2.425</f>
        <v>0</v>
      </c>
      <c r="H119">
        <f>H73*0.0</f>
        <v>0</v>
      </c>
      <c r="I119">
        <f>I73*-14.321</f>
        <v>0</v>
      </c>
      <c r="J119">
        <f>J73*-17.192999999999998</f>
        <v>0</v>
      </c>
      <c r="K119">
        <f>K73*12.895</f>
        <v>0</v>
      </c>
      <c r="L119">
        <f>L73*15.094000000000001</f>
        <v>0</v>
      </c>
      <c r="M119">
        <f>M73*-219.273</f>
        <v>0</v>
      </c>
      <c r="N119">
        <f>E119+F119+G119+H119+I119+J119+K119+L119</f>
        <v>0</v>
      </c>
    </row>
    <row r="120" spans="3:14">
      <c r="C120">
        <f>40.0</f>
        <v>0</v>
      </c>
      <c r="D120">
        <f>0.0</f>
        <v>0</v>
      </c>
      <c r="E120">
        <f>E73*-0.41200000000000003</f>
        <v>0</v>
      </c>
      <c r="F120">
        <f>F73*9.449</f>
        <v>0</v>
      </c>
      <c r="G120">
        <f>G73*2.329</f>
        <v>0</v>
      </c>
      <c r="H120">
        <f>H73*0.0</f>
        <v>0</v>
      </c>
      <c r="I120">
        <f>I73*2.156</f>
        <v>0</v>
      </c>
      <c r="J120">
        <f>J73*-0.375</f>
        <v>0</v>
      </c>
      <c r="K120">
        <f>K73*0.281</f>
        <v>0</v>
      </c>
      <c r="L120">
        <f>L73*24.857</f>
        <v>0</v>
      </c>
      <c r="M120">
        <f>M73*-11.427</f>
        <v>0</v>
      </c>
      <c r="N120">
        <f>E120+F120+G120+H120+I120+J120+K120+L120</f>
        <v>0</v>
      </c>
    </row>
    <row r="121" spans="3:14">
      <c r="C121">
        <f>40.45</f>
        <v>0</v>
      </c>
      <c r="D121">
        <f>0.45</f>
        <v>0</v>
      </c>
      <c r="E121">
        <f>E73*-4.449</f>
        <v>0</v>
      </c>
      <c r="F121">
        <f>F73*-142.183</f>
        <v>0</v>
      </c>
      <c r="G121">
        <f>G73*-20.69</f>
        <v>0</v>
      </c>
      <c r="H121">
        <f>H73*0.0</f>
        <v>0</v>
      </c>
      <c r="I121">
        <f>I73*-118.18</f>
        <v>0</v>
      </c>
      <c r="J121">
        <f>J73*-90.561</f>
        <v>0</v>
      </c>
      <c r="K121">
        <f>K73*67.921</f>
        <v>0</v>
      </c>
      <c r="L121">
        <f>L73*24.857</f>
        <v>0</v>
      </c>
      <c r="M121">
        <f>M73*-338.50199999999995</f>
        <v>0</v>
      </c>
      <c r="N121">
        <f>E121+F121+G121+H121+I121+J121+K121+L121</f>
        <v>0</v>
      </c>
    </row>
    <row r="122" spans="3:14">
      <c r="C122">
        <f>41.36</f>
        <v>0</v>
      </c>
      <c r="D122">
        <f>1.36</f>
        <v>0</v>
      </c>
      <c r="E122">
        <f>E73*-4.35</f>
        <v>0</v>
      </c>
      <c r="F122">
        <f>F73*-115.735</f>
        <v>0</v>
      </c>
      <c r="G122">
        <f>G73*-18.340999999999998</f>
        <v>0</v>
      </c>
      <c r="H122">
        <f>H73*0.0</f>
        <v>0</v>
      </c>
      <c r="I122">
        <f>I73*-111.105</f>
        <v>0</v>
      </c>
      <c r="J122">
        <f>J73*-79.579</f>
        <v>0</v>
      </c>
      <c r="K122">
        <f>K73*59.685</f>
        <v>0</v>
      </c>
      <c r="L122">
        <f>L73*31.158</f>
        <v>0</v>
      </c>
      <c r="M122">
        <f>M73*-309.045</f>
        <v>0</v>
      </c>
      <c r="N122">
        <f>E122+F122+G122+H122+I122+J122+K122+L122</f>
        <v>0</v>
      </c>
    </row>
    <row r="123" spans="3:14">
      <c r="C123">
        <f>42.27</f>
        <v>0</v>
      </c>
      <c r="D123">
        <f>2.27</f>
        <v>0</v>
      </c>
      <c r="E123">
        <f>E73*-4.336</f>
        <v>0</v>
      </c>
      <c r="F123">
        <f>F73*-89.666</f>
        <v>0</v>
      </c>
      <c r="G123">
        <f>G73*-13.886</f>
        <v>0</v>
      </c>
      <c r="H123">
        <f>H73*0.0</f>
        <v>0</v>
      </c>
      <c r="I123">
        <f>I73*-93.663</f>
        <v>0</v>
      </c>
      <c r="J123">
        <f>J73*-65.138</f>
        <v>0</v>
      </c>
      <c r="K123">
        <f>K73*48.853</f>
        <v>0</v>
      </c>
      <c r="L123">
        <f>L73*61.146</f>
        <v>0</v>
      </c>
      <c r="M123">
        <f>M73*-256.784</f>
        <v>0</v>
      </c>
      <c r="N123">
        <f>E123+F123+G123+H123+I123+J123+K123+L123</f>
        <v>0</v>
      </c>
    </row>
    <row r="124" spans="3:14">
      <c r="C124">
        <f>43.18</f>
        <v>0</v>
      </c>
      <c r="D124">
        <f>3.18</f>
        <v>0</v>
      </c>
      <c r="E124">
        <f>E73*-4.149</f>
        <v>0</v>
      </c>
      <c r="F124">
        <f>F73*-65.44800000000001</f>
        <v>0</v>
      </c>
      <c r="G124">
        <f>G73*-10.076</f>
        <v>0</v>
      </c>
      <c r="H124">
        <f>H73*0.0</f>
        <v>0</v>
      </c>
      <c r="I124">
        <f>I73*-77.76100000000001</f>
        <v>0</v>
      </c>
      <c r="J124">
        <f>J73*-50.93</f>
        <v>0</v>
      </c>
      <c r="K124">
        <f>K73*38.198</f>
        <v>0</v>
      </c>
      <c r="L124">
        <f>L73*89.98</f>
        <v>0</v>
      </c>
      <c r="M124">
        <f>M73*-219.877</f>
        <v>0</v>
      </c>
      <c r="N124">
        <f>E124+F124+G124+H124+I124+J124+K124+L124</f>
        <v>0</v>
      </c>
    </row>
    <row r="125" spans="3:14">
      <c r="C125">
        <f>44.09</f>
        <v>0</v>
      </c>
      <c r="D125">
        <f>4.09</f>
        <v>0</v>
      </c>
      <c r="E125">
        <f>E73*-3.761</f>
        <v>0</v>
      </c>
      <c r="F125">
        <f>F73*-41.108999999999995</f>
        <v>0</v>
      </c>
      <c r="G125">
        <f>G73*-6.063</f>
        <v>0</v>
      </c>
      <c r="H125">
        <f>H73*0.0</f>
        <v>0</v>
      </c>
      <c r="I125">
        <f>I73*-58.928000000000004</f>
        <v>0</v>
      </c>
      <c r="J125">
        <f>J73*-51.567</f>
        <v>0</v>
      </c>
      <c r="K125">
        <f>K73*38.675</f>
        <v>0</v>
      </c>
      <c r="L125">
        <f>L73*130.17700000000002</f>
        <v>0</v>
      </c>
      <c r="M125">
        <f>M73*-183.207</f>
        <v>0</v>
      </c>
      <c r="N125">
        <f>E125+F125+G125+H125+I125+J125+K125+L125</f>
        <v>0</v>
      </c>
    </row>
    <row r="126" spans="3:14">
      <c r="C126">
        <f>45.0</f>
        <v>0</v>
      </c>
      <c r="D126">
        <f>5.0</f>
        <v>0</v>
      </c>
      <c r="E126">
        <f>E73*3.115</f>
        <v>0</v>
      </c>
      <c r="F126">
        <f>F73*-17.472</f>
        <v>0</v>
      </c>
      <c r="G126">
        <f>G73*-2.154</f>
        <v>0</v>
      </c>
      <c r="H126">
        <f>H73*0.0</f>
        <v>0</v>
      </c>
      <c r="I126">
        <f>I73*-42.013000000000005</f>
        <v>0</v>
      </c>
      <c r="J126">
        <f>J73*-49.243</f>
        <v>0</v>
      </c>
      <c r="K126">
        <f>K73*36.931999999999995</f>
        <v>0</v>
      </c>
      <c r="L126">
        <f>L73*134.74</f>
        <v>0</v>
      </c>
      <c r="M126">
        <f>M73*-154.067</f>
        <v>0</v>
      </c>
      <c r="N126">
        <f>E126+F126+G126+H126+I126+J126+K126+L126</f>
        <v>0</v>
      </c>
    </row>
    <row r="127" spans="3:14">
      <c r="C127">
        <f>46.0</f>
        <v>0</v>
      </c>
      <c r="D127">
        <f>6.0</f>
        <v>0</v>
      </c>
      <c r="E127">
        <f>E73*3.793</f>
        <v>0</v>
      </c>
      <c r="F127">
        <f>F73*26.538</f>
        <v>0</v>
      </c>
      <c r="G127">
        <f>G73*3.9960000000000004</f>
        <v>0</v>
      </c>
      <c r="H127">
        <f>H73*0.0</f>
        <v>0</v>
      </c>
      <c r="I127">
        <f>I73*52.571000000000005</f>
        <v>0</v>
      </c>
      <c r="J127">
        <f>J73*38.033</f>
        <v>0</v>
      </c>
      <c r="K127">
        <f>K73*-28.524</f>
        <v>0</v>
      </c>
      <c r="L127">
        <f>L73*166.227</f>
        <v>0</v>
      </c>
      <c r="M127">
        <f>M73*-139.02</f>
        <v>0</v>
      </c>
      <c r="N127">
        <f>E127+F127+G127+H127+I127+J127+K127+L127</f>
        <v>0</v>
      </c>
    </row>
    <row r="128" spans="3:14">
      <c r="C128">
        <f>47.0</f>
        <v>0</v>
      </c>
      <c r="D128">
        <f>7.0</f>
        <v>0</v>
      </c>
      <c r="E128">
        <f>E73*4.093</f>
        <v>0</v>
      </c>
      <c r="F128">
        <f>F73*52.033</f>
        <v>0</v>
      </c>
      <c r="G128">
        <f>G73*8.255</f>
        <v>0</v>
      </c>
      <c r="H128">
        <f>H73*0.0</f>
        <v>0</v>
      </c>
      <c r="I128">
        <f>I73*71.514</f>
        <v>0</v>
      </c>
      <c r="J128">
        <f>J73*37.289</f>
        <v>0</v>
      </c>
      <c r="K128">
        <f>K73*-27.967</f>
        <v>0</v>
      </c>
      <c r="L128">
        <f>L73*203.343</f>
        <v>0</v>
      </c>
      <c r="M128">
        <f>M73*-104.84100000000001</f>
        <v>0</v>
      </c>
      <c r="N128">
        <f>E128+F128+G128+H128+I128+J128+K128+L128</f>
        <v>0</v>
      </c>
    </row>
    <row r="129" spans="3:14">
      <c r="C129">
        <f>48.0</f>
        <v>0</v>
      </c>
      <c r="D129">
        <f>8.0</f>
        <v>0</v>
      </c>
      <c r="E129">
        <f>E73*4.131</f>
        <v>0</v>
      </c>
      <c r="F129">
        <f>F73*77.681</f>
        <v>0</v>
      </c>
      <c r="G129">
        <f>G73*11.934000000000001</f>
        <v>0</v>
      </c>
      <c r="H129">
        <f>H73*0.0</f>
        <v>0</v>
      </c>
      <c r="I129">
        <f>I73*83.76899999999999</f>
        <v>0</v>
      </c>
      <c r="J129">
        <f>J73*59.18600000000001</f>
        <v>0</v>
      </c>
      <c r="K129">
        <f>K73*-44.388999999999996</f>
        <v>0</v>
      </c>
      <c r="L129">
        <f>L73*235.05200000000002</f>
        <v>0</v>
      </c>
      <c r="M129">
        <f>M73*-68.717</f>
        <v>0</v>
      </c>
      <c r="N129">
        <f>E129+F129+G129+H129+I129+J129+K129+L129</f>
        <v>0</v>
      </c>
    </row>
    <row r="130" spans="3:14">
      <c r="C130">
        <f>49.0</f>
        <v>0</v>
      </c>
      <c r="D130">
        <f>9.0</f>
        <v>0</v>
      </c>
      <c r="E130">
        <f>E73*3.735</f>
        <v>0</v>
      </c>
      <c r="F130">
        <f>F73*101.76700000000001</f>
        <v>0</v>
      </c>
      <c r="G130">
        <f>G73*16.644000000000002</f>
        <v>0</v>
      </c>
      <c r="H130">
        <f>H73*0.0</f>
        <v>0</v>
      </c>
      <c r="I130">
        <f>I73*97.264</f>
        <v>0</v>
      </c>
      <c r="J130">
        <f>J73*73.083</f>
        <v>0</v>
      </c>
      <c r="K130">
        <f>K73*-54.812</f>
        <v>0</v>
      </c>
      <c r="L130">
        <f>L73*290.48400000000004</f>
        <v>0</v>
      </c>
      <c r="M130">
        <f>M73*-41.435</f>
        <v>0</v>
      </c>
      <c r="N130">
        <f>E130+F130+G130+H130+I130+J130+K130+L130</f>
        <v>0</v>
      </c>
    </row>
    <row r="131" spans="3:14">
      <c r="C131">
        <f>50.0</f>
        <v>0</v>
      </c>
      <c r="D131">
        <f>10.0</f>
        <v>0</v>
      </c>
      <c r="E131">
        <f>E73*3.426</f>
        <v>0</v>
      </c>
      <c r="F131">
        <f>F73*127.867</f>
        <v>0</v>
      </c>
      <c r="G131">
        <f>G73*18.835</f>
        <v>0</v>
      </c>
      <c r="H131">
        <f>H73*0.0</f>
        <v>0</v>
      </c>
      <c r="I131">
        <f>I73*101.995</f>
        <v>0</v>
      </c>
      <c r="J131">
        <f>J73*81.376</f>
        <v>0</v>
      </c>
      <c r="K131">
        <f>K73*-61.032</f>
        <v>0</v>
      </c>
      <c r="L131">
        <f>L73*319.195</f>
        <v>0</v>
      </c>
      <c r="M131">
        <f>M73*-2.9960000000000004</f>
        <v>0</v>
      </c>
      <c r="N131">
        <f>E131+F131+G131+H131+I131+J131+K131+L131</f>
        <v>0</v>
      </c>
    </row>
    <row r="138" spans="3:14">
      <c r="C138" t="s">
        <v>0</v>
      </c>
      <c r="D138" t="s">
        <v>1</v>
      </c>
      <c r="E138" t="s">
        <v>2</v>
      </c>
      <c r="F138" t="s">
        <v>3</v>
      </c>
      <c r="G138" t="s">
        <v>4</v>
      </c>
      <c r="H138" t="s">
        <v>5</v>
      </c>
      <c r="I138" t="s">
        <v>6</v>
      </c>
      <c r="J138" t="s">
        <v>7</v>
      </c>
      <c r="K138" t="s">
        <v>8</v>
      </c>
      <c r="L138" t="s">
        <v>9</v>
      </c>
      <c r="M138" t="s">
        <v>10</v>
      </c>
      <c r="N138" t="s">
        <v>11</v>
      </c>
    </row>
    <row r="139" spans="3:14">
      <c r="C139">
        <f>0.0</f>
        <v>0</v>
      </c>
      <c r="D139">
        <f>0.0</f>
        <v>0</v>
      </c>
      <c r="E139">
        <f>E137*-0.9056</f>
        <v>0</v>
      </c>
      <c r="F139">
        <f>F137*-2.8163</f>
        <v>0</v>
      </c>
      <c r="G139">
        <f>G137*-0.3824</f>
        <v>0</v>
      </c>
      <c r="H139">
        <f>H137*0.0</f>
        <v>0</v>
      </c>
      <c r="I139">
        <f>I137*0.0121</f>
        <v>0</v>
      </c>
      <c r="J139">
        <f>J137*80.9675</f>
        <v>0</v>
      </c>
      <c r="K139">
        <f>K137*-60.7256</f>
        <v>0</v>
      </c>
      <c r="L139">
        <f>L137*24.8262</f>
        <v>0</v>
      </c>
      <c r="M139">
        <f>M137*-29.4432</f>
        <v>0</v>
      </c>
      <c r="N139">
        <f>E139+F139+G139+H139+I139+J139+K139+L139</f>
        <v>0</v>
      </c>
    </row>
    <row r="140" spans="3:14">
      <c r="C140">
        <f>1.0</f>
        <v>0</v>
      </c>
      <c r="D140">
        <f>1.0</f>
        <v>0</v>
      </c>
      <c r="E140">
        <f>E137*2.9873</f>
        <v>0</v>
      </c>
      <c r="F140">
        <f>F137*-5.7887</f>
        <v>0</v>
      </c>
      <c r="G140">
        <f>G137*0.6647</f>
        <v>0</v>
      </c>
      <c r="H140">
        <f>H137*0.0</f>
        <v>0</v>
      </c>
      <c r="I140">
        <f>I137*0.0248</f>
        <v>0</v>
      </c>
      <c r="J140">
        <f>J137*-187.7991</f>
        <v>0</v>
      </c>
      <c r="K140">
        <f>K137*140.8493</f>
        <v>0</v>
      </c>
      <c r="L140">
        <f>L137*50.7763</f>
        <v>0</v>
      </c>
      <c r="M140">
        <f>M137*-50.8461</f>
        <v>0</v>
      </c>
      <c r="N140">
        <f>E140+F140+G140+H140+I140+J140+K140+L140</f>
        <v>0</v>
      </c>
    </row>
    <row r="141" spans="3:14">
      <c r="C141">
        <f>2.0</f>
        <v>0</v>
      </c>
      <c r="D141">
        <f>2.0</f>
        <v>0</v>
      </c>
      <c r="E141">
        <f>E137*-5.0236</f>
        <v>0</v>
      </c>
      <c r="F141">
        <f>F137*-11.3005</f>
        <v>0</v>
      </c>
      <c r="G141">
        <f>G137*-1.258</f>
        <v>0</v>
      </c>
      <c r="H141">
        <f>H137*0.0</f>
        <v>0</v>
      </c>
      <c r="I141">
        <f>I137*0.0171</f>
        <v>0</v>
      </c>
      <c r="J141">
        <f>J137*-99.2368</f>
        <v>0</v>
      </c>
      <c r="K141">
        <f>K137*74.4276</f>
        <v>0</v>
      </c>
      <c r="L141">
        <f>L137*80.3795</f>
        <v>0</v>
      </c>
      <c r="M141">
        <f>M137*-86.9537</f>
        <v>0</v>
      </c>
      <c r="N141">
        <f>E141+F141+G141+H141+I141+J141+K141+L141</f>
        <v>0</v>
      </c>
    </row>
    <row r="142" spans="3:14">
      <c r="C142">
        <f>3.0</f>
        <v>0</v>
      </c>
      <c r="D142">
        <f>3.0</f>
        <v>0</v>
      </c>
      <c r="E142">
        <f>E137*-7.6749</f>
        <v>0</v>
      </c>
      <c r="F142">
        <f>F137*-13.1646</f>
        <v>0</v>
      </c>
      <c r="G142">
        <f>G137*-1.4053</f>
        <v>0</v>
      </c>
      <c r="H142">
        <f>H137*0.0</f>
        <v>0</v>
      </c>
      <c r="I142">
        <f>I137*0.0158</f>
        <v>0</v>
      </c>
      <c r="J142">
        <f>J137*-45.3517</f>
        <v>0</v>
      </c>
      <c r="K142">
        <f>K137*34.0137</f>
        <v>0</v>
      </c>
      <c r="L142">
        <f>L137*107.4298</f>
        <v>0</v>
      </c>
      <c r="M142">
        <f>M137*-115.3517</f>
        <v>0</v>
      </c>
      <c r="N142">
        <f>E142+F142+G142+H142+I142+J142+K142+L142</f>
        <v>0</v>
      </c>
    </row>
    <row r="143" spans="3:14">
      <c r="C143">
        <f>4.0</f>
        <v>0</v>
      </c>
      <c r="D143">
        <f>4.0</f>
        <v>0</v>
      </c>
      <c r="E143">
        <f>E137*-9.277000000000001</f>
        <v>0</v>
      </c>
      <c r="F143">
        <f>F137*-12.6317</f>
        <v>0</v>
      </c>
      <c r="G143">
        <f>G137*-1.265</f>
        <v>0</v>
      </c>
      <c r="H143">
        <f>H137*0.0</f>
        <v>0</v>
      </c>
      <c r="I143">
        <f>I137*0.0144</f>
        <v>0</v>
      </c>
      <c r="J143">
        <f>J137*-31.4339</f>
        <v>0</v>
      </c>
      <c r="K143">
        <f>K137*23.5754</f>
        <v>0</v>
      </c>
      <c r="L143">
        <f>L137*130.3623</f>
        <v>0</v>
      </c>
      <c r="M143">
        <f>M137*-139.7329</f>
        <v>0</v>
      </c>
      <c r="N143">
        <f>E143+F143+G143+H143+I143+J143+K143+L143</f>
        <v>0</v>
      </c>
    </row>
    <row r="144" spans="3:14">
      <c r="C144">
        <f>5.0</f>
        <v>0</v>
      </c>
      <c r="D144">
        <f>5.0</f>
        <v>0</v>
      </c>
      <c r="E144">
        <f>E137*-3.3834</f>
        <v>0</v>
      </c>
      <c r="F144">
        <f>F137*-18.4668</f>
        <v>0</v>
      </c>
      <c r="G144">
        <f>G137*-2.5561</f>
        <v>0</v>
      </c>
      <c r="H144">
        <f>H137*0.0</f>
        <v>0</v>
      </c>
      <c r="I144">
        <f>I137*0.0016</f>
        <v>0</v>
      </c>
      <c r="J144">
        <f>J137*35.900999999999996</f>
        <v>0</v>
      </c>
      <c r="K144">
        <f>K137*-26.9257</f>
        <v>0</v>
      </c>
      <c r="L144">
        <f>L137*108.3773</f>
        <v>0</v>
      </c>
      <c r="M144">
        <f>M137*-130.8664</f>
        <v>0</v>
      </c>
      <c r="N144">
        <f>E144+F144+G144+H144+I144+J144+K144+L144</f>
        <v>0</v>
      </c>
    </row>
    <row r="145" spans="3:14">
      <c r="C145">
        <f>6.0</f>
        <v>0</v>
      </c>
      <c r="D145">
        <f>6.0</f>
        <v>0</v>
      </c>
      <c r="E145">
        <f>E137*-5.9876</f>
        <v>0</v>
      </c>
      <c r="F145">
        <f>F137*-11.9544</f>
        <v>0</v>
      </c>
      <c r="G145">
        <f>G137*-1.3696</f>
        <v>0</v>
      </c>
      <c r="H145">
        <f>H137*0.0</f>
        <v>0</v>
      </c>
      <c r="I145">
        <f>I137*0.0145</f>
        <v>0</v>
      </c>
      <c r="J145">
        <f>J137*-46.7114</f>
        <v>0</v>
      </c>
      <c r="K145">
        <f>K137*35.0335</f>
        <v>0</v>
      </c>
      <c r="L145">
        <f>L137*151.791</f>
        <v>0</v>
      </c>
      <c r="M145">
        <f>M137*-164.9314</f>
        <v>0</v>
      </c>
      <c r="N145">
        <f>E145+F145+G145+H145+I145+J145+K145+L145</f>
        <v>0</v>
      </c>
    </row>
    <row r="146" spans="3:14">
      <c r="C146">
        <f>7.0</f>
        <v>0</v>
      </c>
      <c r="D146">
        <f>7.0</f>
        <v>0</v>
      </c>
      <c r="E146">
        <f>E137*-4.9727</f>
        <v>0</v>
      </c>
      <c r="F146">
        <f>F137*-9.0559</f>
        <v>0</v>
      </c>
      <c r="G146">
        <f>G137*-1.0032</f>
        <v>0</v>
      </c>
      <c r="H146">
        <f>H137*0.0</f>
        <v>0</v>
      </c>
      <c r="I146">
        <f>I137*-0.012</f>
        <v>0</v>
      </c>
      <c r="J146">
        <f>J137*-19.9263</f>
        <v>0</v>
      </c>
      <c r="K146">
        <f>K137*14.9447</f>
        <v>0</v>
      </c>
      <c r="L146">
        <f>L137*166.899</f>
        <v>0</v>
      </c>
      <c r="M146">
        <f>M137*-177.2663</f>
        <v>0</v>
      </c>
      <c r="N146">
        <f>E146+F146+G146+H146+I146+J146+K146+L146</f>
        <v>0</v>
      </c>
    </row>
    <row r="147" spans="3:14">
      <c r="C147">
        <f>8.0</f>
        <v>0</v>
      </c>
      <c r="D147">
        <f>8.0</f>
        <v>0</v>
      </c>
      <c r="E147">
        <f>E137*-5.1523</f>
        <v>0</v>
      </c>
      <c r="F147">
        <f>F137*-5.9291</f>
        <v>0</v>
      </c>
      <c r="G147">
        <f>G137*-0.5278</f>
        <v>0</v>
      </c>
      <c r="H147">
        <f>H137*0.0</f>
        <v>0</v>
      </c>
      <c r="I147">
        <f>I137*-0.0129</f>
        <v>0</v>
      </c>
      <c r="J147">
        <f>J137*-4.4903</f>
        <v>0</v>
      </c>
      <c r="K147">
        <f>K137*3.3677</f>
        <v>0</v>
      </c>
      <c r="L147">
        <f>L137*177.8583</f>
        <v>0</v>
      </c>
      <c r="M147">
        <f>M137*-183.9082</f>
        <v>0</v>
      </c>
      <c r="N147">
        <f>E147+F147+G147+H147+I147+J147+K147+L147</f>
        <v>0</v>
      </c>
    </row>
    <row r="148" spans="3:14">
      <c r="C148">
        <f>9.0</f>
        <v>0</v>
      </c>
      <c r="D148">
        <f>9.0</f>
        <v>0</v>
      </c>
      <c r="E148">
        <f>E137*-5.66</f>
        <v>0</v>
      </c>
      <c r="F148">
        <f>F137*-5.2414</f>
        <v>0</v>
      </c>
      <c r="G148">
        <f>G137*-0.6236</f>
        <v>0</v>
      </c>
      <c r="H148">
        <f>H137*0.0</f>
        <v>0</v>
      </c>
      <c r="I148">
        <f>I137*-0.0182</f>
        <v>0</v>
      </c>
      <c r="J148">
        <f>J137*-25.7923</f>
        <v>0</v>
      </c>
      <c r="K148">
        <f>K137*19.3442</f>
        <v>0</v>
      </c>
      <c r="L148">
        <f>L137*183.3094</f>
        <v>0</v>
      </c>
      <c r="M148">
        <f>M137*-185.6443</f>
        <v>0</v>
      </c>
      <c r="N148">
        <f>E148+F148+G148+H148+I148+J148+K148+L148</f>
        <v>0</v>
      </c>
    </row>
    <row r="149" spans="3:14">
      <c r="C149">
        <f>10.0</f>
        <v>0</v>
      </c>
      <c r="D149">
        <f>10.0</f>
        <v>0</v>
      </c>
      <c r="E149">
        <f>E137*3.4374</f>
        <v>0</v>
      </c>
      <c r="F149">
        <f>F137*-13.3973</f>
        <v>0</v>
      </c>
      <c r="G149">
        <f>G137*-2.2274</f>
        <v>0</v>
      </c>
      <c r="H149">
        <f>H137*0.0</f>
        <v>0</v>
      </c>
      <c r="I149">
        <f>I137*-0.0069</f>
        <v>0</v>
      </c>
      <c r="J149">
        <f>J137*-6.4505</f>
        <v>0</v>
      </c>
      <c r="K149">
        <f>K137*4.8378</f>
        <v>0</v>
      </c>
      <c r="L149">
        <f>L137*162.6152</f>
        <v>0</v>
      </c>
      <c r="M149">
        <f>M137*-175.8766</f>
        <v>0</v>
      </c>
      <c r="N149">
        <f>E149+F149+G149+H149+I149+J149+K149+L149</f>
        <v>0</v>
      </c>
    </row>
    <row r="150" spans="3:14">
      <c r="C150">
        <f>11.0</f>
        <v>0</v>
      </c>
      <c r="D150">
        <f>11.0</f>
        <v>0</v>
      </c>
      <c r="E150">
        <f>E137*-4.8955</f>
        <v>0</v>
      </c>
      <c r="F150">
        <f>F137*-6.6912</f>
        <v>0</v>
      </c>
      <c r="G150">
        <f>G137*-0.6537</f>
        <v>0</v>
      </c>
      <c r="H150">
        <f>H137*0.0</f>
        <v>0</v>
      </c>
      <c r="I150">
        <f>I137*-0.0154</f>
        <v>0</v>
      </c>
      <c r="J150">
        <f>J137*-37.8166</f>
        <v>0</v>
      </c>
      <c r="K150">
        <f>K137*28.3625</f>
        <v>0</v>
      </c>
      <c r="L150">
        <f>L137*177.3584</f>
        <v>0</v>
      </c>
      <c r="M150">
        <f>M137*-180.1614</f>
        <v>0</v>
      </c>
      <c r="N150">
        <f>E150+F150+G150+H150+I150+J150+K150+L150</f>
        <v>0</v>
      </c>
    </row>
    <row r="151" spans="3:14">
      <c r="C151">
        <f>12.0</f>
        <v>0</v>
      </c>
      <c r="D151">
        <f>12.0</f>
        <v>0</v>
      </c>
      <c r="E151">
        <f>E137*-3.9605</f>
        <v>0</v>
      </c>
      <c r="F151">
        <f>F137*-9.8484</f>
        <v>0</v>
      </c>
      <c r="G151">
        <f>G137*-1.1677</f>
        <v>0</v>
      </c>
      <c r="H151">
        <f>H137*0.0</f>
        <v>0</v>
      </c>
      <c r="I151">
        <f>I137*-0.015</f>
        <v>0</v>
      </c>
      <c r="J151">
        <f>J137*-21.0224</f>
        <v>0</v>
      </c>
      <c r="K151">
        <f>K137*15.7668</f>
        <v>0</v>
      </c>
      <c r="L151">
        <f>L137*176.7406</f>
        <v>0</v>
      </c>
      <c r="M151">
        <f>M137*-177.7902</f>
        <v>0</v>
      </c>
      <c r="N151">
        <f>E151+F151+G151+H151+I151+J151+K151+L151</f>
        <v>0</v>
      </c>
    </row>
    <row r="152" spans="3:14">
      <c r="C152">
        <f>13.0</f>
        <v>0</v>
      </c>
      <c r="D152">
        <f>13.0</f>
        <v>0</v>
      </c>
      <c r="E152">
        <f>E137*-3.2384</f>
        <v>0</v>
      </c>
      <c r="F152">
        <f>F137*-13.1381</f>
        <v>0</v>
      </c>
      <c r="G152">
        <f>G137*-1.7031</f>
        <v>0</v>
      </c>
      <c r="H152">
        <f>H137*0.0</f>
        <v>0</v>
      </c>
      <c r="I152">
        <f>I137*-0.0145</f>
        <v>0</v>
      </c>
      <c r="J152">
        <f>J137*-17.9974</f>
        <v>0</v>
      </c>
      <c r="K152">
        <f>K137*13.498</f>
        <v>0</v>
      </c>
      <c r="L152">
        <f>L137*170.8175</f>
        <v>0</v>
      </c>
      <c r="M152">
        <f>M137*-169.5436</f>
        <v>0</v>
      </c>
      <c r="N152">
        <f>E152+F152+G152+H152+I152+J152+K152+L152</f>
        <v>0</v>
      </c>
    </row>
    <row r="153" spans="3:14">
      <c r="C153">
        <f>14.0</f>
        <v>0</v>
      </c>
      <c r="D153">
        <f>14.0</f>
        <v>0</v>
      </c>
      <c r="E153">
        <f>E137*-4.1604</f>
        <v>0</v>
      </c>
      <c r="F153">
        <f>F137*-16.1798</f>
        <v>0</v>
      </c>
      <c r="G153">
        <f>G137*-2.1276</f>
        <v>0</v>
      </c>
      <c r="H153">
        <f>H137*0.0</f>
        <v>0</v>
      </c>
      <c r="I153">
        <f>I137*-0.0189</f>
        <v>0</v>
      </c>
      <c r="J153">
        <f>J137*-41.4914</f>
        <v>0</v>
      </c>
      <c r="K153">
        <f>K137*31.1186</f>
        <v>0</v>
      </c>
      <c r="L153">
        <f>L137*153.5297</f>
        <v>0</v>
      </c>
      <c r="M153">
        <f>M137*-150.9365</f>
        <v>0</v>
      </c>
      <c r="N153">
        <f>E153+F153+G153+H153+I153+J153+K153+L153</f>
        <v>0</v>
      </c>
    </row>
    <row r="154" spans="3:14">
      <c r="C154">
        <f>15.0</f>
        <v>0</v>
      </c>
      <c r="D154">
        <f>15.0</f>
        <v>0</v>
      </c>
      <c r="E154">
        <f>E137*3.0299</f>
        <v>0</v>
      </c>
      <c r="F154">
        <f>F137*-18.0605</f>
        <v>0</v>
      </c>
      <c r="G154">
        <f>G137*-2.8072</f>
        <v>0</v>
      </c>
      <c r="H154">
        <f>H137*0.0</f>
        <v>0</v>
      </c>
      <c r="I154">
        <f>I137*-0.0077</f>
        <v>0</v>
      </c>
      <c r="J154">
        <f>J137*-10.7631</f>
        <v>0</v>
      </c>
      <c r="K154">
        <f>K137*8.0723</f>
        <v>0</v>
      </c>
      <c r="L154">
        <f>L137*139.5219</f>
        <v>0</v>
      </c>
      <c r="M154">
        <f>M137*-138.6503</f>
        <v>0</v>
      </c>
      <c r="N154">
        <f>E154+F154+G154+H154+I154+J154+K154+L154</f>
        <v>0</v>
      </c>
    </row>
    <row r="155" spans="3:14">
      <c r="C155">
        <f>15.91</f>
        <v>0</v>
      </c>
      <c r="D155">
        <f>15.91</f>
        <v>0</v>
      </c>
      <c r="E155">
        <f>E137*-6.7105</f>
        <v>0</v>
      </c>
      <c r="F155">
        <f>F137*-18.1562</f>
        <v>0</v>
      </c>
      <c r="G155">
        <f>G137*-2.2193</f>
        <v>0</v>
      </c>
      <c r="H155">
        <f>H137*0.0</f>
        <v>0</v>
      </c>
      <c r="I155">
        <f>I137*-0.0139</f>
        <v>0</v>
      </c>
      <c r="J155">
        <f>J137*-48.4386</f>
        <v>0</v>
      </c>
      <c r="K155">
        <f>K137*36.3289</f>
        <v>0</v>
      </c>
      <c r="L155">
        <f>L137*116.0781</f>
        <v>0</v>
      </c>
      <c r="M155">
        <f>M137*-116.9051</f>
        <v>0</v>
      </c>
      <c r="N155">
        <f>E155+F155+G155+H155+I155+J155+K155+L155</f>
        <v>0</v>
      </c>
    </row>
    <row r="156" spans="3:14">
      <c r="C156">
        <f>16.82</f>
        <v>0</v>
      </c>
      <c r="D156">
        <f>16.82</f>
        <v>0</v>
      </c>
      <c r="E156">
        <f>E137*-5.6188</f>
        <v>0</v>
      </c>
      <c r="F156">
        <f>F137*-18.9048</f>
        <v>0</v>
      </c>
      <c r="G156">
        <f>G137*-2.3643</f>
        <v>0</v>
      </c>
      <c r="H156">
        <f>H137*0.0</f>
        <v>0</v>
      </c>
      <c r="I156">
        <f>I137*-0.0155</f>
        <v>0</v>
      </c>
      <c r="J156">
        <f>J137*-28.465</f>
        <v>0</v>
      </c>
      <c r="K156">
        <f>K137*21.3487</f>
        <v>0</v>
      </c>
      <c r="L156">
        <f>L137*97.2801</f>
        <v>0</v>
      </c>
      <c r="M156">
        <f>M137*-99.735</f>
        <v>0</v>
      </c>
      <c r="N156">
        <f>E156+F156+G156+H156+I156+J156+K156+L156</f>
        <v>0</v>
      </c>
    </row>
    <row r="157" spans="3:14">
      <c r="C157">
        <f>17.73</f>
        <v>0</v>
      </c>
      <c r="D157">
        <f>17.73</f>
        <v>0</v>
      </c>
      <c r="E157">
        <f>E137*-3.7332</f>
        <v>0</v>
      </c>
      <c r="F157">
        <f>F137*-16.8076</f>
        <v>0</v>
      </c>
      <c r="G157">
        <f>G137*-2.1571</f>
        <v>0</v>
      </c>
      <c r="H157">
        <f>H137*0.0</f>
        <v>0</v>
      </c>
      <c r="I157">
        <f>I137*-0.0181</f>
        <v>0</v>
      </c>
      <c r="J157">
        <f>J137*-42.2608</f>
        <v>0</v>
      </c>
      <c r="K157">
        <f>K137*31.6956</f>
        <v>0</v>
      </c>
      <c r="L157">
        <f>L137*69.84899999999999</f>
        <v>0</v>
      </c>
      <c r="M157">
        <f>M137*-77.7765</f>
        <v>0</v>
      </c>
      <c r="N157">
        <f>E157+F157+G157+H157+I157+J157+K157+L157</f>
        <v>0</v>
      </c>
    </row>
    <row r="158" spans="3:14">
      <c r="C158">
        <f>18.64</f>
        <v>0</v>
      </c>
      <c r="D158">
        <f>18.64</f>
        <v>0</v>
      </c>
      <c r="E158">
        <f>E137*-1.9714</f>
        <v>0</v>
      </c>
      <c r="F158">
        <f>F137*-15.9959</f>
        <v>0</v>
      </c>
      <c r="G158">
        <f>G137*-2.0417</f>
        <v>0</v>
      </c>
      <c r="H158">
        <f>H137*0.0</f>
        <v>0</v>
      </c>
      <c r="I158">
        <f>I137*-0.0267</f>
        <v>0</v>
      </c>
      <c r="J158">
        <f>J137*-67.3606</f>
        <v>0</v>
      </c>
      <c r="K158">
        <f>K137*50.5205</f>
        <v>0</v>
      </c>
      <c r="L158">
        <f>L137*31.7248</f>
        <v>0</v>
      </c>
      <c r="M158">
        <f>M137*-41.8683</f>
        <v>0</v>
      </c>
      <c r="N158">
        <f>E158+F158+G158+H158+I158+J158+K158+L158</f>
        <v>0</v>
      </c>
    </row>
    <row r="159" spans="3:14">
      <c r="C159">
        <f>19.55</f>
        <v>0</v>
      </c>
      <c r="D159">
        <f>19.55</f>
        <v>0</v>
      </c>
      <c r="E159">
        <f>E137*2.813</f>
        <v>0</v>
      </c>
      <c r="F159">
        <f>F137*13.3624</f>
        <v>0</v>
      </c>
      <c r="G159">
        <f>G137*1.6412</f>
        <v>0</v>
      </c>
      <c r="H159">
        <f>H137*0.0</f>
        <v>0</v>
      </c>
      <c r="I159">
        <f>I137*0.0108</f>
        <v>0</v>
      </c>
      <c r="J159">
        <f>J137*77.2448</f>
        <v>0</v>
      </c>
      <c r="K159">
        <f>K137*-57.9336</f>
        <v>0</v>
      </c>
      <c r="L159">
        <f>L137*49.4484</f>
        <v>0</v>
      </c>
      <c r="M159">
        <f>M137*-36.9989</f>
        <v>0</v>
      </c>
      <c r="N159">
        <f>E159+F159+G159+H159+I159+J159+K159+L159</f>
        <v>0</v>
      </c>
    </row>
    <row r="160" spans="3:14">
      <c r="C160">
        <f>20.0</f>
        <v>0</v>
      </c>
      <c r="D160">
        <f>20.0</f>
        <v>0</v>
      </c>
      <c r="E160">
        <f>E137*0.5895</f>
        <v>0</v>
      </c>
      <c r="F160">
        <f>F137*3.8851</f>
        <v>0</v>
      </c>
      <c r="G160">
        <f>G137*0.5048</f>
        <v>0</v>
      </c>
      <c r="H160">
        <f>H137*0.0</f>
        <v>0</v>
      </c>
      <c r="I160">
        <f>I137*0.0083</f>
        <v>0</v>
      </c>
      <c r="J160">
        <f>J137*22.4102</f>
        <v>0</v>
      </c>
      <c r="K160">
        <f>K137*-16.8076</f>
        <v>0</v>
      </c>
      <c r="L160">
        <f>L137*6.3292</f>
        <v>0</v>
      </c>
      <c r="M160">
        <f>M137*-3.4607</f>
        <v>0</v>
      </c>
      <c r="N160">
        <f>E160+F160+G160+H160+I160+J160+K160+L160</f>
        <v>0</v>
      </c>
    </row>
    <row r="161" spans="3:14">
      <c r="C161">
        <f>20.0</f>
        <v>0</v>
      </c>
      <c r="D161">
        <f>0.0</f>
        <v>0</v>
      </c>
      <c r="E161">
        <f>E137*0.4956</f>
        <v>0</v>
      </c>
      <c r="F161">
        <f>F137*4.2477</f>
        <v>0</v>
      </c>
      <c r="G161">
        <f>G137*0.5627</f>
        <v>0</v>
      </c>
      <c r="H161">
        <f>H137*0.0</f>
        <v>0</v>
      </c>
      <c r="I161">
        <f>I137*-0.253</f>
        <v>0</v>
      </c>
      <c r="J161">
        <f>J137*23.7894</f>
        <v>0</v>
      </c>
      <c r="K161">
        <f>K137*-17.842</f>
        <v>0</v>
      </c>
      <c r="L161">
        <f>L137*12.8801</f>
        <v>0</v>
      </c>
      <c r="M161">
        <f>M137*-9.4973</f>
        <v>0</v>
      </c>
      <c r="N161">
        <f>E161+F161+G161+H161+I161+J161+K161+L161</f>
        <v>0</v>
      </c>
    </row>
    <row r="162" spans="3:14">
      <c r="C162">
        <f>20.45</f>
        <v>0</v>
      </c>
      <c r="D162">
        <f>0.45</f>
        <v>0</v>
      </c>
      <c r="E162">
        <f>E137*2.5711</f>
        <v>0</v>
      </c>
      <c r="F162">
        <f>F137*14.8532</f>
        <v>0</v>
      </c>
      <c r="G162">
        <f>G137*1.8704</f>
        <v>0</v>
      </c>
      <c r="H162">
        <f>H137*0.0</f>
        <v>0</v>
      </c>
      <c r="I162">
        <f>I137*-0.3014</f>
        <v>0</v>
      </c>
      <c r="J162">
        <f>J137*81.0902</f>
        <v>0</v>
      </c>
      <c r="K162">
        <f>K137*-60.8176</f>
        <v>0</v>
      </c>
      <c r="L162">
        <f>L137*27.6128</f>
        <v>0</v>
      </c>
      <c r="M162">
        <f>M137*-15.5907</f>
        <v>0</v>
      </c>
      <c r="N162">
        <f>E162+F162+G162+H162+I162+J162+K162+L162</f>
        <v>0</v>
      </c>
    </row>
    <row r="163" spans="3:14">
      <c r="C163">
        <f>21.36</f>
        <v>0</v>
      </c>
      <c r="D163">
        <f>1.36</f>
        <v>0</v>
      </c>
      <c r="E163">
        <f>E137*-2.0488</f>
        <v>0</v>
      </c>
      <c r="F163">
        <f>F137*-16.3277</f>
        <v>0</v>
      </c>
      <c r="G163">
        <f>G137*-2.0947</f>
        <v>0</v>
      </c>
      <c r="H163">
        <f>H137*0.0</f>
        <v>0</v>
      </c>
      <c r="I163">
        <f>I137*0.4492</f>
        <v>0</v>
      </c>
      <c r="J163">
        <f>J137*-68.8672</f>
        <v>0</v>
      </c>
      <c r="K163">
        <f>K137*51.6504</f>
        <v>0</v>
      </c>
      <c r="L163">
        <f>L137*35.5304</f>
        <v>0</v>
      </c>
      <c r="M163">
        <f>M137*-44.0653</f>
        <v>0</v>
      </c>
      <c r="N163">
        <f>E163+F163+G163+H163+I163+J163+K163+L163</f>
        <v>0</v>
      </c>
    </row>
    <row r="164" spans="3:14">
      <c r="C164">
        <f>22.27</f>
        <v>0</v>
      </c>
      <c r="D164">
        <f>2.27</f>
        <v>0</v>
      </c>
      <c r="E164">
        <f>E137*-3.8813</f>
        <v>0</v>
      </c>
      <c r="F164">
        <f>F137*-15.8225</f>
        <v>0</v>
      </c>
      <c r="G164">
        <f>G137*-2.005</f>
        <v>0</v>
      </c>
      <c r="H164">
        <f>H137*0.0</f>
        <v>0</v>
      </c>
      <c r="I164">
        <f>I137*0.1761</f>
        <v>0</v>
      </c>
      <c r="J164">
        <f>J137*-44.2095</f>
        <v>0</v>
      </c>
      <c r="K164">
        <f>K137*33.1571</f>
        <v>0</v>
      </c>
      <c r="L164">
        <f>L137*59.1423</f>
        <v>0</v>
      </c>
      <c r="M164">
        <f>M137*-72.8799</f>
        <v>0</v>
      </c>
      <c r="N164">
        <f>E164+F164+G164+H164+I164+J164+K164+L164</f>
        <v>0</v>
      </c>
    </row>
    <row r="165" spans="3:14">
      <c r="C165">
        <f>23.18</f>
        <v>0</v>
      </c>
      <c r="D165">
        <f>3.18</f>
        <v>0</v>
      </c>
      <c r="E165">
        <f>E137*-5.7898</f>
        <v>0</v>
      </c>
      <c r="F165">
        <f>F137*-17.4722</f>
        <v>0</v>
      </c>
      <c r="G165">
        <f>G137*-2.1456</f>
        <v>0</v>
      </c>
      <c r="H165">
        <f>H137*0.0</f>
        <v>0</v>
      </c>
      <c r="I165">
        <f>I137*-0.0443</f>
        <v>0</v>
      </c>
      <c r="J165">
        <f>J137*-25.3027</f>
        <v>0</v>
      </c>
      <c r="K165">
        <f>K137*18.977</f>
        <v>0</v>
      </c>
      <c r="L165">
        <f>L137*79.9423</f>
        <v>0</v>
      </c>
      <c r="M165">
        <f>M137*-95.1256</f>
        <v>0</v>
      </c>
      <c r="N165">
        <f>E165+F165+G165+H165+I165+J165+K165+L165</f>
        <v>0</v>
      </c>
    </row>
    <row r="166" spans="3:14">
      <c r="C166">
        <f>24.09</f>
        <v>0</v>
      </c>
      <c r="D166">
        <f>4.09</f>
        <v>0</v>
      </c>
      <c r="E166">
        <f>E137*-6.9229</f>
        <v>0</v>
      </c>
      <c r="F166">
        <f>F137*-16.4335</f>
        <v>0</v>
      </c>
      <c r="G166">
        <f>G137*-1.9555</f>
        <v>0</v>
      </c>
      <c r="H166">
        <f>H137*0.0</f>
        <v>0</v>
      </c>
      <c r="I166">
        <f>I137*-0.3029</f>
        <v>0</v>
      </c>
      <c r="J166">
        <f>J137*-44.5891</f>
        <v>0</v>
      </c>
      <c r="K166">
        <f>K137*33.4418</f>
        <v>0</v>
      </c>
      <c r="L166">
        <f>L137*101.4739</f>
        <v>0</v>
      </c>
      <c r="M166">
        <f>M137*-116.3644</f>
        <v>0</v>
      </c>
      <c r="N166">
        <f>E166+F166+G166+H166+I166+J166+K166+L166</f>
        <v>0</v>
      </c>
    </row>
    <row r="167" spans="3:14">
      <c r="C167">
        <f>25.0</f>
        <v>0</v>
      </c>
      <c r="D167">
        <f>5.0</f>
        <v>0</v>
      </c>
      <c r="E167">
        <f>E137*2.8144</f>
        <v>0</v>
      </c>
      <c r="F167">
        <f>F137*-15.0927</f>
        <v>0</v>
      </c>
      <c r="G167">
        <f>G137*-2.3565</f>
        <v>0</v>
      </c>
      <c r="H167">
        <f>H137*0.0</f>
        <v>0</v>
      </c>
      <c r="I167">
        <f>I137*-1.2056</f>
        <v>0</v>
      </c>
      <c r="J167">
        <f>J137*-4.9066</f>
        <v>0</v>
      </c>
      <c r="K167">
        <f>K137*3.6799</f>
        <v>0</v>
      </c>
      <c r="L167">
        <f>L137*111.9816</f>
        <v>0</v>
      </c>
      <c r="M167">
        <f>M137*-113.9829</f>
        <v>0</v>
      </c>
      <c r="N167">
        <f>E167+F167+G167+H167+I167+J167+K167+L167</f>
        <v>0</v>
      </c>
    </row>
    <row r="168" spans="3:14">
      <c r="C168">
        <f>26.0</f>
        <v>0</v>
      </c>
      <c r="D168">
        <f>6.0</f>
        <v>0</v>
      </c>
      <c r="E168">
        <f>E137*-4.1368</f>
        <v>0</v>
      </c>
      <c r="F168">
        <f>F137*-14.163</f>
        <v>0</v>
      </c>
      <c r="G168">
        <f>G137*-1.8193</f>
        <v>0</v>
      </c>
      <c r="H168">
        <f>H137*0.0</f>
        <v>0</v>
      </c>
      <c r="I168">
        <f>I137*-0.5668</f>
        <v>0</v>
      </c>
      <c r="J168">
        <f>J137*-42.4398</f>
        <v>0</v>
      </c>
      <c r="K168">
        <f>K137*31.8298</f>
        <v>0</v>
      </c>
      <c r="L168">
        <f>L137*121.2896</f>
        <v>0</v>
      </c>
      <c r="M168">
        <f>M137*-135.8133</f>
        <v>0</v>
      </c>
      <c r="N168">
        <f>E168+F168+G168+H168+I168+J168+K168+L168</f>
        <v>0</v>
      </c>
    </row>
    <row r="169" spans="3:14">
      <c r="C169">
        <f>27.0</f>
        <v>0</v>
      </c>
      <c r="D169">
        <f>7.0</f>
        <v>0</v>
      </c>
      <c r="E169">
        <f>E137*-3.4342</f>
        <v>0</v>
      </c>
      <c r="F169">
        <f>F137*-11.5274</f>
        <v>0</v>
      </c>
      <c r="G169">
        <f>G137*-1.4557</f>
        <v>0</v>
      </c>
      <c r="H169">
        <f>H137*0.0</f>
        <v>0</v>
      </c>
      <c r="I169">
        <f>I137*-0.9856</f>
        <v>0</v>
      </c>
      <c r="J169">
        <f>J137*-19.6452</f>
        <v>0</v>
      </c>
      <c r="K169">
        <f>K137*14.7339</f>
        <v>0</v>
      </c>
      <c r="L169">
        <f>L137*137.3571</f>
        <v>0</v>
      </c>
      <c r="M169">
        <f>M137*-146.7426</f>
        <v>0</v>
      </c>
      <c r="N169">
        <f>E169+F169+G169+H169+I169+J169+K169+L169</f>
        <v>0</v>
      </c>
    </row>
    <row r="170" spans="3:14">
      <c r="C170">
        <f>28.0</f>
        <v>0</v>
      </c>
      <c r="D170">
        <f>8.0</f>
        <v>0</v>
      </c>
      <c r="E170">
        <f>E137*-4.118</f>
        <v>0</v>
      </c>
      <c r="F170">
        <f>F137*-8.7065</f>
        <v>0</v>
      </c>
      <c r="G170">
        <f>G137*-0.9895</f>
        <v>0</v>
      </c>
      <c r="H170">
        <f>H137*0.0</f>
        <v>0</v>
      </c>
      <c r="I170">
        <f>I137*-1.206</f>
        <v>0</v>
      </c>
      <c r="J170">
        <f>J137*-18.3721</f>
        <v>0</v>
      </c>
      <c r="K170">
        <f>K137*13.7791</f>
        <v>0</v>
      </c>
      <c r="L170">
        <f>L137*144.8282</f>
        <v>0</v>
      </c>
      <c r="M170">
        <f>M137*-152.3986</f>
        <v>0</v>
      </c>
      <c r="N170">
        <f>E170+F170+G170+H170+I170+J170+K170+L170</f>
        <v>0</v>
      </c>
    </row>
    <row r="171" spans="3:14">
      <c r="C171">
        <f>29.0</f>
        <v>0</v>
      </c>
      <c r="D171">
        <f>9.0</f>
        <v>0</v>
      </c>
      <c r="E171">
        <f>E137*-5.0226</f>
        <v>0</v>
      </c>
      <c r="F171">
        <f>F137*-6.0629</f>
        <v>0</v>
      </c>
      <c r="G171">
        <f>G137*-0.5762</f>
        <v>0</v>
      </c>
      <c r="H171">
        <f>H137*0.0</f>
        <v>0</v>
      </c>
      <c r="I171">
        <f>I137*-1.3817</f>
        <v>0</v>
      </c>
      <c r="J171">
        <f>J137*-35.8421</f>
        <v>0</v>
      </c>
      <c r="K171">
        <f>K137*26.8816</f>
        <v>0</v>
      </c>
      <c r="L171">
        <f>L137*150.5279</f>
        <v>0</v>
      </c>
      <c r="M171">
        <f>M137*-153.7652</f>
        <v>0</v>
      </c>
      <c r="N171">
        <f>E171+F171+G171+H171+I171+J171+K171+L171</f>
        <v>0</v>
      </c>
    </row>
    <row r="172" spans="3:14">
      <c r="C172">
        <f>30.0</f>
        <v>0</v>
      </c>
      <c r="D172">
        <f>10.0</f>
        <v>0</v>
      </c>
      <c r="E172">
        <f>E137*4.0921</f>
        <v>0</v>
      </c>
      <c r="F172">
        <f>F137*-12.5974</f>
        <v>0</v>
      </c>
      <c r="G172">
        <f>G137*-2.1481</f>
        <v>0</v>
      </c>
      <c r="H172">
        <f>H137*0.0</f>
        <v>0</v>
      </c>
      <c r="I172">
        <f>I137*-1.945</f>
        <v>0</v>
      </c>
      <c r="J172">
        <f>J137*-13.878</f>
        <v>0</v>
      </c>
      <c r="K172">
        <f>K137*10.4085</f>
        <v>0</v>
      </c>
      <c r="L172">
        <f>L137*130.0155</f>
        <v>0</v>
      </c>
      <c r="M172">
        <f>M137*-147.2521</f>
        <v>0</v>
      </c>
      <c r="N172">
        <f>E172+F172+G172+H172+I172+J172+K172+L172</f>
        <v>0</v>
      </c>
    </row>
    <row r="173" spans="3:14">
      <c r="C173">
        <f>31.0</f>
        <v>0</v>
      </c>
      <c r="D173">
        <f>11.0</f>
        <v>0</v>
      </c>
      <c r="E173">
        <f>E137*-4.8262</f>
        <v>0</v>
      </c>
      <c r="F173">
        <f>F137*-6.2111</f>
        <v>0</v>
      </c>
      <c r="G173">
        <f>G137*-0.6313</f>
        <v>0</v>
      </c>
      <c r="H173">
        <f>H137*0.0</f>
        <v>0</v>
      </c>
      <c r="I173">
        <f>I137*-1.4505</f>
        <v>0</v>
      </c>
      <c r="J173">
        <f>J137*-37.7906</f>
        <v>0</v>
      </c>
      <c r="K173">
        <f>K137*28.3429</f>
        <v>0</v>
      </c>
      <c r="L173">
        <f>L137*146.6258</f>
        <v>0</v>
      </c>
      <c r="M173">
        <f>M137*-151.7291</f>
        <v>0</v>
      </c>
      <c r="N173">
        <f>E173+F173+G173+H173+I173+J173+K173+L173</f>
        <v>0</v>
      </c>
    </row>
    <row r="174" spans="3:14">
      <c r="C174">
        <f>32.0</f>
        <v>0</v>
      </c>
      <c r="D174">
        <f>12.0</f>
        <v>0</v>
      </c>
      <c r="E174">
        <f>E137*-3.8680000000000003</f>
        <v>0</v>
      </c>
      <c r="F174">
        <f>F137*-9.1704</f>
        <v>0</v>
      </c>
      <c r="G174">
        <f>G137*-1.0675</f>
        <v>0</v>
      </c>
      <c r="H174">
        <f>H137*0.0</f>
        <v>0</v>
      </c>
      <c r="I174">
        <f>I137*-1.6416</f>
        <v>0</v>
      </c>
      <c r="J174">
        <f>J137*-21.1016</f>
        <v>0</v>
      </c>
      <c r="K174">
        <f>K137*15.8262</f>
        <v>0</v>
      </c>
      <c r="L174">
        <f>L137*147.4566</f>
        <v>0</v>
      </c>
      <c r="M174">
        <f>M137*-151.2137</f>
        <v>0</v>
      </c>
      <c r="N174">
        <f>E174+F174+G174+H174+I174+J174+K174+L174</f>
        <v>0</v>
      </c>
    </row>
    <row r="175" spans="3:14">
      <c r="C175">
        <f>33.0</f>
        <v>0</v>
      </c>
      <c r="D175">
        <f>13.0</f>
        <v>0</v>
      </c>
      <c r="E175">
        <f>E137*-3.1324</f>
        <v>0</v>
      </c>
      <c r="F175">
        <f>F137*-12.3832</f>
        <v>0</v>
      </c>
      <c r="G175">
        <f>G137*-1.5932</f>
        <v>0</v>
      </c>
      <c r="H175">
        <f>H137*0.0</f>
        <v>0</v>
      </c>
      <c r="I175">
        <f>I137*-1.6915</f>
        <v>0</v>
      </c>
      <c r="J175">
        <f>J137*-19.5563</f>
        <v>0</v>
      </c>
      <c r="K175">
        <f>K137*14.6672</f>
        <v>0</v>
      </c>
      <c r="L175">
        <f>L137*143.6703</f>
        <v>0</v>
      </c>
      <c r="M175">
        <f>M137*-146.2391</f>
        <v>0</v>
      </c>
      <c r="N175">
        <f>E175+F175+G175+H175+I175+J175+K175+L175</f>
        <v>0</v>
      </c>
    </row>
    <row r="176" spans="3:14">
      <c r="C176">
        <f>34.0</f>
        <v>0</v>
      </c>
      <c r="D176">
        <f>14.0</f>
        <v>0</v>
      </c>
      <c r="E176">
        <f>E137*-4.1083</f>
        <v>0</v>
      </c>
      <c r="F176">
        <f>F137*-15.3226</f>
        <v>0</v>
      </c>
      <c r="G176">
        <f>G137*-2.0031</f>
        <v>0</v>
      </c>
      <c r="H176">
        <f>H137*0.0</f>
        <v>0</v>
      </c>
      <c r="I176">
        <f>I137*-2.6093</f>
        <v>0</v>
      </c>
      <c r="J176">
        <f>J137*-42.2118</f>
        <v>0</v>
      </c>
      <c r="K176">
        <f>K137*31.6588</f>
        <v>0</v>
      </c>
      <c r="L176">
        <f>L137*128.18200000000002</f>
        <v>0</v>
      </c>
      <c r="M176">
        <f>M137*-135.6516</f>
        <v>0</v>
      </c>
      <c r="N176">
        <f>E176+F176+G176+H176+I176+J176+K176+L176</f>
        <v>0</v>
      </c>
    </row>
    <row r="177" spans="3:14">
      <c r="C177">
        <f>35.0</f>
        <v>0</v>
      </c>
      <c r="D177">
        <f>15.0</f>
        <v>0</v>
      </c>
      <c r="E177">
        <f>E137*2.8061</f>
        <v>0</v>
      </c>
      <c r="F177">
        <f>F137*-18.4977</f>
        <v>0</v>
      </c>
      <c r="G177">
        <f>G137*-2.8701</f>
        <v>0</v>
      </c>
      <c r="H177">
        <f>H137*0.0</f>
        <v>0</v>
      </c>
      <c r="I177">
        <f>I137*1.1177</f>
        <v>0</v>
      </c>
      <c r="J177">
        <f>J137*-11.3259</f>
        <v>0</v>
      </c>
      <c r="K177">
        <f>K137*8.4944</f>
        <v>0</v>
      </c>
      <c r="L177">
        <f>L137*118.7332</f>
        <v>0</v>
      </c>
      <c r="M177">
        <f>M137*-119.9139</f>
        <v>0</v>
      </c>
      <c r="N177">
        <f>E177+F177+G177+H177+I177+J177+K177+L177</f>
        <v>0</v>
      </c>
    </row>
    <row r="178" spans="3:14">
      <c r="C178">
        <f>35.91</f>
        <v>0</v>
      </c>
      <c r="D178">
        <f>15.91</f>
        <v>0</v>
      </c>
      <c r="E178">
        <f>E137*-6.5685</f>
        <v>0</v>
      </c>
      <c r="F178">
        <f>F137*-16.6044</f>
        <v>0</v>
      </c>
      <c r="G178">
        <f>G137*-1.9946</f>
        <v>0</v>
      </c>
      <c r="H178">
        <f>H137*0.0</f>
        <v>0</v>
      </c>
      <c r="I178">
        <f>I137*-1.902</f>
        <v>0</v>
      </c>
      <c r="J178">
        <f>J137*-48.0129</f>
        <v>0</v>
      </c>
      <c r="K178">
        <f>K137*36.0097</f>
        <v>0</v>
      </c>
      <c r="L178">
        <f>L137*99.8104</f>
        <v>0</v>
      </c>
      <c r="M178">
        <f>M137*-117.2988</f>
        <v>0</v>
      </c>
      <c r="N178">
        <f>E178+F178+G178+H178+I178+J178+K178+L178</f>
        <v>0</v>
      </c>
    </row>
    <row r="179" spans="3:14">
      <c r="C179">
        <f>36.82</f>
        <v>0</v>
      </c>
      <c r="D179">
        <f>16.82</f>
        <v>0</v>
      </c>
      <c r="E179">
        <f>E137*-5.4619</f>
        <v>0</v>
      </c>
      <c r="F179">
        <f>F137*-17.2539</f>
        <v>0</v>
      </c>
      <c r="G179">
        <f>G137*-2.1268</f>
        <v>0</v>
      </c>
      <c r="H179">
        <f>H137*0.0</f>
        <v>0</v>
      </c>
      <c r="I179">
        <f>I137*-2.2574</f>
        <v>0</v>
      </c>
      <c r="J179">
        <f>J137*-28.143</f>
        <v>0</v>
      </c>
      <c r="K179">
        <f>K137*21.1072</f>
        <v>0</v>
      </c>
      <c r="L179">
        <f>L137*80.5204</f>
        <v>0</v>
      </c>
      <c r="M179">
        <f>M137*-95.9478</f>
        <v>0</v>
      </c>
      <c r="N179">
        <f>E179+F179+G179+H179+I179+J179+K179+L179</f>
        <v>0</v>
      </c>
    </row>
    <row r="180" spans="3:14">
      <c r="C180">
        <f>37.73</f>
        <v>0</v>
      </c>
      <c r="D180">
        <f>17.73</f>
        <v>0</v>
      </c>
      <c r="E180">
        <f>E137*-3.6103</f>
        <v>0</v>
      </c>
      <c r="F180">
        <f>F137*-15.4857</f>
        <v>0</v>
      </c>
      <c r="G180">
        <f>G137*-1.9667</f>
        <v>0</v>
      </c>
      <c r="H180">
        <f>H137*0.0</f>
        <v>0</v>
      </c>
      <c r="I180">
        <f>I137*-2.9933</f>
        <v>0</v>
      </c>
      <c r="J180">
        <f>J137*-42.4993</f>
        <v>0</v>
      </c>
      <c r="K180">
        <f>K137*31.8745</f>
        <v>0</v>
      </c>
      <c r="L180">
        <f>L137*59.1027</f>
        <v>0</v>
      </c>
      <c r="M180">
        <f>M137*-73.6468</f>
        <v>0</v>
      </c>
      <c r="N180">
        <f>E180+F180+G180+H180+I180+J180+K180+L180</f>
        <v>0</v>
      </c>
    </row>
    <row r="181" spans="3:14">
      <c r="C181">
        <f>38.64</f>
        <v>0</v>
      </c>
      <c r="D181">
        <f>18.64</f>
        <v>0</v>
      </c>
      <c r="E181">
        <f>E137*-1.8175</f>
        <v>0</v>
      </c>
      <c r="F181">
        <f>F137*-11.2236</f>
        <v>0</v>
      </c>
      <c r="G181">
        <f>G137*-1.3624</f>
        <v>0</v>
      </c>
      <c r="H181">
        <f>H137*0.0</f>
        <v>0</v>
      </c>
      <c r="I181">
        <f>I137*-4.3058</f>
        <v>0</v>
      </c>
      <c r="J181">
        <f>J137*-67.9542</f>
        <v>0</v>
      </c>
      <c r="K181">
        <f>K137*50.9656</f>
        <v>0</v>
      </c>
      <c r="L181">
        <f>L137*33.5507</f>
        <v>0</v>
      </c>
      <c r="M181">
        <f>M137*-43.7585</f>
        <v>0</v>
      </c>
      <c r="N181">
        <f>E181+F181+G181+H181+I181+J181+K181+L181</f>
        <v>0</v>
      </c>
    </row>
    <row r="182" spans="3:14">
      <c r="C182">
        <f>39.55</f>
        <v>0</v>
      </c>
      <c r="D182">
        <f>19.55</f>
        <v>0</v>
      </c>
      <c r="E182">
        <f>E137*2.3671</f>
        <v>0</v>
      </c>
      <c r="F182">
        <f>F137*8.9268</f>
        <v>0</v>
      </c>
      <c r="G182">
        <f>G137*1.021</f>
        <v>0</v>
      </c>
      <c r="H182">
        <f>H137*0.0</f>
        <v>0</v>
      </c>
      <c r="I182">
        <f>I137*3.0464</f>
        <v>0</v>
      </c>
      <c r="J182">
        <f>J137*77.6097</f>
        <v>0</v>
      </c>
      <c r="K182">
        <f>K137*-58.2073</f>
        <v>0</v>
      </c>
      <c r="L182">
        <f>L137*31.3231</f>
        <v>0</v>
      </c>
      <c r="M182">
        <f>M137*-21.4535</f>
        <v>0</v>
      </c>
      <c r="N182">
        <f>E182+F182+G182+H182+I182+J182+K182+L182</f>
        <v>0</v>
      </c>
    </row>
    <row r="183" spans="3:14">
      <c r="C183">
        <f>40.0</f>
        <v>0</v>
      </c>
      <c r="D183">
        <f>20.0</f>
        <v>0</v>
      </c>
      <c r="E183">
        <f>E137*0.4505</f>
        <v>0</v>
      </c>
      <c r="F183">
        <f>F137*2.6401</f>
        <v>0</v>
      </c>
      <c r="G183">
        <f>G137*0.3288</f>
        <v>0</v>
      </c>
      <c r="H183">
        <f>H137*0.0</f>
        <v>0</v>
      </c>
      <c r="I183">
        <f>I137*1.5201</f>
        <v>0</v>
      </c>
      <c r="J183">
        <f>J137*22.741</f>
        <v>0</v>
      </c>
      <c r="K183">
        <f>K137*-17.0558</f>
        <v>0</v>
      </c>
      <c r="L183">
        <f>L137*10.5195</f>
        <v>0</v>
      </c>
      <c r="M183">
        <f>M137*-8.1619</f>
        <v>0</v>
      </c>
      <c r="N183">
        <f>E183+F183+G183+H183+I183+J183+K183+L183</f>
        <v>0</v>
      </c>
    </row>
    <row r="184" spans="3:14">
      <c r="C184">
        <f>40.0</f>
        <v>0</v>
      </c>
      <c r="D184">
        <f>0.0</f>
        <v>0</v>
      </c>
      <c r="E184">
        <f>E137*0.4799</f>
        <v>0</v>
      </c>
      <c r="F184">
        <f>F137*3.6114</f>
        <v>0</v>
      </c>
      <c r="G184">
        <f>G137*0.4708</f>
        <v>0</v>
      </c>
      <c r="H184">
        <f>H137*0.0</f>
        <v>0</v>
      </c>
      <c r="I184">
        <f>I137*-2.4642</f>
        <v>0</v>
      </c>
      <c r="J184">
        <f>J137*23.8693</f>
        <v>0</v>
      </c>
      <c r="K184">
        <f>K137*-17.9019</f>
        <v>0</v>
      </c>
      <c r="L184">
        <f>L137*6.0956</f>
        <v>0</v>
      </c>
      <c r="M184">
        <f>M137*-2.7163</f>
        <v>0</v>
      </c>
      <c r="N184">
        <f>E184+F184+G184+H184+I184+J184+K184+L184</f>
        <v>0</v>
      </c>
    </row>
    <row r="185" spans="3:14">
      <c r="C185">
        <f>40.45</f>
        <v>0</v>
      </c>
      <c r="D185">
        <f>0.45</f>
        <v>0</v>
      </c>
      <c r="E185">
        <f>E137*1.9559</f>
        <v>0</v>
      </c>
      <c r="F185">
        <f>F137*13.1125</f>
        <v>0</v>
      </c>
      <c r="G185">
        <f>G137*1.6559</f>
        <v>0</v>
      </c>
      <c r="H185">
        <f>H137*0.0</f>
        <v>0</v>
      </c>
      <c r="I185">
        <f>I137*-6.5258</f>
        <v>0</v>
      </c>
      <c r="J185">
        <f>J137*89.3668</f>
        <v>0</v>
      </c>
      <c r="K185">
        <f>K137*-67.0251</f>
        <v>0</v>
      </c>
      <c r="L185">
        <f>L137*20.8359</f>
        <v>0</v>
      </c>
      <c r="M185">
        <f>M137*-7.3722</f>
        <v>0</v>
      </c>
      <c r="N185">
        <f>E185+F185+G185+H185+I185+J185+K185+L185</f>
        <v>0</v>
      </c>
    </row>
    <row r="186" spans="3:14">
      <c r="C186">
        <f>41.36</f>
        <v>0</v>
      </c>
      <c r="D186">
        <f>1.36</f>
        <v>0</v>
      </c>
      <c r="E186">
        <f>E137*-2.3081</f>
        <v>0</v>
      </c>
      <c r="F186">
        <f>F137*-14.2445</f>
        <v>0</v>
      </c>
      <c r="G186">
        <f>G137*-1.7918</f>
        <v>0</v>
      </c>
      <c r="H186">
        <f>H137*0.0</f>
        <v>0</v>
      </c>
      <c r="I186">
        <f>I137*-52.3083</f>
        <v>0</v>
      </c>
      <c r="J186">
        <f>J137*-73.699</f>
        <v>0</v>
      </c>
      <c r="K186">
        <f>K137*55.2742</f>
        <v>0</v>
      </c>
      <c r="L186">
        <f>L137*33.1098</f>
        <v>0</v>
      </c>
      <c r="M186">
        <f>M137*-34.8161</f>
        <v>0</v>
      </c>
      <c r="N186">
        <f>E186+F186+G186+H186+I186+J186+K186+L186</f>
        <v>0</v>
      </c>
    </row>
    <row r="187" spans="3:14">
      <c r="C187">
        <f>42.27</f>
        <v>0</v>
      </c>
      <c r="D187">
        <f>2.27</f>
        <v>0</v>
      </c>
      <c r="E187">
        <f>E137*-4.0607</f>
        <v>0</v>
      </c>
      <c r="F187">
        <f>F137*-10.5403</f>
        <v>0</v>
      </c>
      <c r="G187">
        <f>G137*-1.2529</f>
        <v>0</v>
      </c>
      <c r="H187">
        <f>H137*0.0</f>
        <v>0</v>
      </c>
      <c r="I187">
        <f>I137*-90.016</f>
        <v>0</v>
      </c>
      <c r="J187">
        <f>J137*-51.732</f>
        <v>0</v>
      </c>
      <c r="K187">
        <f>K137*38.799</f>
        <v>0</v>
      </c>
      <c r="L187">
        <f>L137*50.9007</f>
        <v>0</v>
      </c>
      <c r="M187">
        <f>M137*-53.7467</f>
        <v>0</v>
      </c>
      <c r="N187">
        <f>E187+F187+G187+H187+I187+J187+K187+L187</f>
        <v>0</v>
      </c>
    </row>
    <row r="188" spans="3:14">
      <c r="C188">
        <f>43.18</f>
        <v>0</v>
      </c>
      <c r="D188">
        <f>3.18</f>
        <v>0</v>
      </c>
      <c r="E188">
        <f>E137*-5.7473</f>
        <v>0</v>
      </c>
      <c r="F188">
        <f>F137*-6.2752</f>
        <v>0</v>
      </c>
      <c r="G188">
        <f>G137*-0.669</f>
        <v>0</v>
      </c>
      <c r="H188">
        <f>H137*0.0</f>
        <v>0</v>
      </c>
      <c r="I188">
        <f>I137*-120.1861</f>
        <v>0</v>
      </c>
      <c r="J188">
        <f>J137*-34.6429</f>
        <v>0</v>
      </c>
      <c r="K188">
        <f>K137*25.9822</f>
        <v>0</v>
      </c>
      <c r="L188">
        <f>L137*62.9715</f>
        <v>0</v>
      </c>
      <c r="M188">
        <f>M137*-65.3251</f>
        <v>0</v>
      </c>
      <c r="N188">
        <f>E188+F188+G188+H188+I188+J188+K188+L188</f>
        <v>0</v>
      </c>
    </row>
    <row r="189" spans="3:14">
      <c r="C189">
        <f>44.09</f>
        <v>0</v>
      </c>
      <c r="D189">
        <f>4.09</f>
        <v>0</v>
      </c>
      <c r="E189">
        <f>E137*-6.715</f>
        <v>0</v>
      </c>
      <c r="F189">
        <f>F137*-3.6463</f>
        <v>0</v>
      </c>
      <c r="G189">
        <f>G137*-0.1843</f>
        <v>0</v>
      </c>
      <c r="H189">
        <f>H137*0.0</f>
        <v>0</v>
      </c>
      <c r="I189">
        <f>I137*-137.5757</f>
        <v>0</v>
      </c>
      <c r="J189">
        <f>J137*-48.9689</f>
        <v>0</v>
      </c>
      <c r="K189">
        <f>K137*36.7267</f>
        <v>0</v>
      </c>
      <c r="L189">
        <f>L137*68.2828</f>
        <v>0</v>
      </c>
      <c r="M189">
        <f>M137*-68.7253</f>
        <v>0</v>
      </c>
      <c r="N189">
        <f>E189+F189+G189+H189+I189+J189+K189+L189</f>
        <v>0</v>
      </c>
    </row>
    <row r="190" spans="3:14">
      <c r="C190">
        <f>45.0</f>
        <v>0</v>
      </c>
      <c r="D190">
        <f>5.0</f>
        <v>0</v>
      </c>
      <c r="E190">
        <f>E137*-2.0119</f>
        <v>0</v>
      </c>
      <c r="F190">
        <f>F137*2.3303</f>
        <v>0</v>
      </c>
      <c r="G190">
        <f>G137*0.2754</f>
        <v>0</v>
      </c>
      <c r="H190">
        <f>H137*0.0</f>
        <v>0</v>
      </c>
      <c r="I190">
        <f>I137*-111.6159</f>
        <v>0</v>
      </c>
      <c r="J190">
        <f>J137*27.5692</f>
        <v>0</v>
      </c>
      <c r="K190">
        <f>K137*-20.6769</f>
        <v>0</v>
      </c>
      <c r="L190">
        <f>L137*51.7122</f>
        <v>0</v>
      </c>
      <c r="M190">
        <f>M137*-56.3741</f>
        <v>0</v>
      </c>
      <c r="N190">
        <f>E190+F190+G190+H190+I190+J190+K190+L190</f>
        <v>0</v>
      </c>
    </row>
    <row r="191" spans="3:14">
      <c r="C191">
        <f>46.0</f>
        <v>0</v>
      </c>
      <c r="D191">
        <f>6.0</f>
        <v>0</v>
      </c>
      <c r="E191">
        <f>E137*-6.1353</f>
        <v>0</v>
      </c>
      <c r="F191">
        <f>F137*-1.5819</f>
        <v>0</v>
      </c>
      <c r="G191">
        <f>G137*0.2248</f>
        <v>0</v>
      </c>
      <c r="H191">
        <f>H137*0.0</f>
        <v>0</v>
      </c>
      <c r="I191">
        <f>I137*-135.8265</f>
        <v>0</v>
      </c>
      <c r="J191">
        <f>J137*-68.1589</f>
        <v>0</v>
      </c>
      <c r="K191">
        <f>K137*51.1192</f>
        <v>0</v>
      </c>
      <c r="L191">
        <f>L137*68.5098</f>
        <v>0</v>
      </c>
      <c r="M191">
        <f>M137*-66.3207</f>
        <v>0</v>
      </c>
      <c r="N191">
        <f>E191+F191+G191+H191+I191+J191+K191+L191</f>
        <v>0</v>
      </c>
    </row>
    <row r="192" spans="3:14">
      <c r="C192">
        <f>47.0</f>
        <v>0</v>
      </c>
      <c r="D192">
        <f>7.0</f>
        <v>0</v>
      </c>
      <c r="E192">
        <f>E137*-4.8659</f>
        <v>0</v>
      </c>
      <c r="F192">
        <f>F137*-0.9015</f>
        <v>0</v>
      </c>
      <c r="G192">
        <f>G137*0.2714</f>
        <v>0</v>
      </c>
      <c r="H192">
        <f>H137*0.0</f>
        <v>0</v>
      </c>
      <c r="I192">
        <f>I137*-119.3351</f>
        <v>0</v>
      </c>
      <c r="J192">
        <f>J137*-38.538000000000004</f>
        <v>0</v>
      </c>
      <c r="K192">
        <f>K137*28.9035</f>
        <v>0</v>
      </c>
      <c r="L192">
        <f>L137*64.6011</f>
        <v>0</v>
      </c>
      <c r="M192">
        <f>M137*-61.994</f>
        <v>0</v>
      </c>
      <c r="N192">
        <f>E192+F192+G192+H192+I192+J192+K192+L192</f>
        <v>0</v>
      </c>
    </row>
    <row r="193" spans="3:14">
      <c r="C193">
        <f>48.0</f>
        <v>0</v>
      </c>
      <c r="D193">
        <f>8.0</f>
        <v>0</v>
      </c>
      <c r="E193">
        <f>E137*-2.8687</f>
        <v>0</v>
      </c>
      <c r="F193">
        <f>F137*-0.6063</f>
        <v>0</v>
      </c>
      <c r="G193">
        <f>G137*0.2337</f>
        <v>0</v>
      </c>
      <c r="H193">
        <f>H137*0.0</f>
        <v>0</v>
      </c>
      <c r="I193">
        <f>I137*-86.4896</f>
        <v>0</v>
      </c>
      <c r="J193">
        <f>J137*-88.7139</f>
        <v>0</v>
      </c>
      <c r="K193">
        <f>K137*66.5354</f>
        <v>0</v>
      </c>
      <c r="L193">
        <f>L137*51.4288</f>
        <v>0</v>
      </c>
      <c r="M193">
        <f>M137*-49.2573</f>
        <v>0</v>
      </c>
      <c r="N193">
        <f>E193+F193+G193+H193+I193+J193+K193+L193</f>
        <v>0</v>
      </c>
    </row>
    <row r="194" spans="3:14">
      <c r="C194">
        <f>49.0</f>
        <v>0</v>
      </c>
      <c r="D194">
        <f>9.0</f>
        <v>0</v>
      </c>
      <c r="E194">
        <f>E137*1.7697</f>
        <v>0</v>
      </c>
      <c r="F194">
        <f>F137*-0.8718</f>
        <v>0</v>
      </c>
      <c r="G194">
        <f>G137*-0.1769</f>
        <v>0</v>
      </c>
      <c r="H194">
        <f>H137*0.0</f>
        <v>0</v>
      </c>
      <c r="I194">
        <f>I137*-34.6801</f>
        <v>0</v>
      </c>
      <c r="J194">
        <f>J137*-186.7396</f>
        <v>0</v>
      </c>
      <c r="K194">
        <f>K137*140.0547</f>
        <v>0</v>
      </c>
      <c r="L194">
        <f>L137*25.1722</f>
        <v>0</v>
      </c>
      <c r="M194">
        <f>M137*-27.7813</f>
        <v>0</v>
      </c>
      <c r="N194">
        <f>E194+F194+G194+H194+I194+J194+K194+L194</f>
        <v>0</v>
      </c>
    </row>
    <row r="195" spans="3:14">
      <c r="C195">
        <f>50.0</f>
        <v>0</v>
      </c>
      <c r="D195">
        <f>10.0</f>
        <v>0</v>
      </c>
      <c r="E195">
        <f>E137*0.4031</f>
        <v>0</v>
      </c>
      <c r="F195">
        <f>F137*0.4196</f>
        <v>0</v>
      </c>
      <c r="G195">
        <f>G137*-0.0088</f>
        <v>0</v>
      </c>
      <c r="H195">
        <f>H137*0.0</f>
        <v>0</v>
      </c>
      <c r="I195">
        <f>I137*18.4603</f>
        <v>0</v>
      </c>
      <c r="J195">
        <f>J137*69.6812</f>
        <v>0</v>
      </c>
      <c r="K195">
        <f>K137*-52.2609</f>
        <v>0</v>
      </c>
      <c r="L195">
        <f>L137*13.8574</f>
        <v>0</v>
      </c>
      <c r="M195">
        <f>M137*-14.3869</f>
        <v>0</v>
      </c>
      <c r="N195">
        <f>E195+F195+G195+H195+I195+J195+K195+L195</f>
        <v>0</v>
      </c>
    </row>
    <row r="202" spans="3:14">
      <c r="C202" t="s">
        <v>0</v>
      </c>
      <c r="D202" t="s">
        <v>1</v>
      </c>
      <c r="E202" t="s">
        <v>2</v>
      </c>
      <c r="F202" t="s">
        <v>3</v>
      </c>
      <c r="G202" t="s">
        <v>4</v>
      </c>
      <c r="H202" t="s">
        <v>5</v>
      </c>
      <c r="I202" t="s">
        <v>6</v>
      </c>
      <c r="J202" t="s">
        <v>7</v>
      </c>
      <c r="K202" t="s">
        <v>8</v>
      </c>
      <c r="L202" t="s">
        <v>9</v>
      </c>
      <c r="M202" t="s">
        <v>10</v>
      </c>
      <c r="N202" t="s">
        <v>11</v>
      </c>
    </row>
    <row r="203" spans="3:14">
      <c r="C203">
        <f>0.0</f>
        <v>0</v>
      </c>
      <c r="D203">
        <f>0.0</f>
        <v>0</v>
      </c>
      <c r="E203">
        <f>E201*-5.41</f>
        <v>0</v>
      </c>
      <c r="F203">
        <f>F201*-9.64</f>
        <v>0</v>
      </c>
      <c r="G203">
        <f>G201*-1.215</f>
        <v>0</v>
      </c>
      <c r="H203">
        <f>H201*0.0</f>
        <v>0</v>
      </c>
      <c r="I203">
        <f>I201*-0.027000000000000003</f>
        <v>0</v>
      </c>
      <c r="J203">
        <f>J201*414.869</f>
        <v>0</v>
      </c>
      <c r="K203">
        <f>K201*-311.152</f>
        <v>0</v>
      </c>
      <c r="L203">
        <f>L201*72.0</f>
        <v>0</v>
      </c>
      <c r="M203">
        <f>M201*-70.686</f>
        <v>0</v>
      </c>
      <c r="N203">
        <f>E203+F203+G203+H203+I203+J203+K203+L203</f>
        <v>0</v>
      </c>
    </row>
    <row r="204" spans="3:14">
      <c r="C204">
        <f>1.0</f>
        <v>0</v>
      </c>
      <c r="D204">
        <f>1.0</f>
        <v>0</v>
      </c>
      <c r="E204">
        <f>E201*-6.718</f>
        <v>0</v>
      </c>
      <c r="F204">
        <f>F201*-20.682</f>
        <v>0</v>
      </c>
      <c r="G204">
        <f>G201*-2.5980000000000003</f>
        <v>0</v>
      </c>
      <c r="H204">
        <f>H201*0.0</f>
        <v>0</v>
      </c>
      <c r="I204">
        <f>I201*-0.037000000000000005</f>
        <v>0</v>
      </c>
      <c r="J204">
        <f>J201*344.73699999999997</f>
        <v>0</v>
      </c>
      <c r="K204">
        <f>K201*-258.553</f>
        <v>0</v>
      </c>
      <c r="L204">
        <f>L201*66.782</f>
        <v>0</v>
      </c>
      <c r="M204">
        <f>M201*-77.369</f>
        <v>0</v>
      </c>
      <c r="N204">
        <f>E204+F204+G204+H204+I204+J204+K204+L204</f>
        <v>0</v>
      </c>
    </row>
    <row r="205" spans="3:14">
      <c r="C205">
        <f>2.0</f>
        <v>0</v>
      </c>
      <c r="D205">
        <f>2.0</f>
        <v>0</v>
      </c>
      <c r="E205">
        <f>E201*-10.414000000000001</f>
        <v>0</v>
      </c>
      <c r="F205">
        <f>F201*-28.269000000000002</f>
        <v>0</v>
      </c>
      <c r="G205">
        <f>G201*-3.478</f>
        <v>0</v>
      </c>
      <c r="H205">
        <f>H201*0.0</f>
        <v>0</v>
      </c>
      <c r="I205">
        <f>I201*-0.039</f>
        <v>0</v>
      </c>
      <c r="J205">
        <f>J201*198.84099999999998</f>
        <v>0</v>
      </c>
      <c r="K205">
        <f>K201*-149.131</f>
        <v>0</v>
      </c>
      <c r="L205">
        <f>L201*56.163000000000004</f>
        <v>0</v>
      </c>
      <c r="M205">
        <f>M201*-85.338</f>
        <v>0</v>
      </c>
      <c r="N205">
        <f>E205+F205+G205+H205+I205+J205+K205+L205</f>
        <v>0</v>
      </c>
    </row>
    <row r="206" spans="3:14">
      <c r="C206">
        <f>3.0</f>
        <v>0</v>
      </c>
      <c r="D206">
        <f>3.0</f>
        <v>0</v>
      </c>
      <c r="E206">
        <f>E201*-13.765</f>
        <v>0</v>
      </c>
      <c r="F206">
        <f>F201*-29.799</f>
        <v>0</v>
      </c>
      <c r="G206">
        <f>G201*-3.5839999999999996</f>
        <v>0</v>
      </c>
      <c r="H206">
        <f>H201*0.0</f>
        <v>0</v>
      </c>
      <c r="I206">
        <f>I201*-0.039</f>
        <v>0</v>
      </c>
      <c r="J206">
        <f>J201*78.027</f>
        <v>0</v>
      </c>
      <c r="K206">
        <f>K201*-58.52</f>
        <v>0</v>
      </c>
      <c r="L206">
        <f>L201*64.458</f>
        <v>0</v>
      </c>
      <c r="M206">
        <f>M201*-92.37799999999999</f>
        <v>0</v>
      </c>
      <c r="N206">
        <f>E206+F206+G206+H206+I206+J206+K206+L206</f>
        <v>0</v>
      </c>
    </row>
    <row r="207" spans="3:14">
      <c r="C207">
        <f>4.0</f>
        <v>0</v>
      </c>
      <c r="D207">
        <f>4.0</f>
        <v>0</v>
      </c>
      <c r="E207">
        <f>E201*-16.005</f>
        <v>0</v>
      </c>
      <c r="F207">
        <f>F201*-28.465999999999998</f>
        <v>0</v>
      </c>
      <c r="G207">
        <f>G201*-3.25</f>
        <v>0</v>
      </c>
      <c r="H207">
        <f>H201*0.0</f>
        <v>0</v>
      </c>
      <c r="I207">
        <f>I201*-0.038</f>
        <v>0</v>
      </c>
      <c r="J207">
        <f>J201*-47.458</f>
        <v>0</v>
      </c>
      <c r="K207">
        <f>K201*35.594</f>
        <v>0</v>
      </c>
      <c r="L207">
        <f>L201*84.26299999999999</f>
        <v>0</v>
      </c>
      <c r="M207">
        <f>M201*-106.07799999999999</f>
        <v>0</v>
      </c>
      <c r="N207">
        <f>E207+F207+G207+H207+I207+J207+K207+L207</f>
        <v>0</v>
      </c>
    </row>
    <row r="208" spans="3:14">
      <c r="C208">
        <f>5.0</f>
        <v>0</v>
      </c>
      <c r="D208">
        <f>5.0</f>
        <v>0</v>
      </c>
      <c r="E208">
        <f>E201*-16.851</f>
        <v>0</v>
      </c>
      <c r="F208">
        <f>F201*-36.256</f>
        <v>0</v>
      </c>
      <c r="G208">
        <f>G201*-5.367000000000001</f>
        <v>0</v>
      </c>
      <c r="H208">
        <f>H201*0.0</f>
        <v>0</v>
      </c>
      <c r="I208">
        <f>I201*-0.038</f>
        <v>0</v>
      </c>
      <c r="J208">
        <f>J201*129.16899999999998</f>
        <v>0</v>
      </c>
      <c r="K208">
        <f>K201*-96.87700000000001</f>
        <v>0</v>
      </c>
      <c r="L208">
        <f>L201*100.30799999999999</f>
        <v>0</v>
      </c>
      <c r="M208">
        <f>M201*-114.85700000000001</f>
        <v>0</v>
      </c>
      <c r="N208">
        <f>E208+F208+G208+H208+I208+J208+K208+L208</f>
        <v>0</v>
      </c>
    </row>
    <row r="209" spans="3:14">
      <c r="C209">
        <f>6.0</f>
        <v>0</v>
      </c>
      <c r="D209">
        <f>6.0</f>
        <v>0</v>
      </c>
      <c r="E209">
        <f>E201*-3.358</f>
        <v>0</v>
      </c>
      <c r="F209">
        <f>F201*-31.114</f>
        <v>0</v>
      </c>
      <c r="G209">
        <f>G201*-4.535</f>
        <v>0</v>
      </c>
      <c r="H209">
        <f>H201*0.0</f>
        <v>0</v>
      </c>
      <c r="I209">
        <f>I201*-0.038</f>
        <v>0</v>
      </c>
      <c r="J209">
        <f>J201*109.777</f>
        <v>0</v>
      </c>
      <c r="K209">
        <f>K201*-82.333</f>
        <v>0</v>
      </c>
      <c r="L209">
        <f>L201*58.231</f>
        <v>0</v>
      </c>
      <c r="M209">
        <f>M201*-98.21700000000001</f>
        <v>0</v>
      </c>
      <c r="N209">
        <f>E209+F209+G209+H209+I209+J209+K209+L209</f>
        <v>0</v>
      </c>
    </row>
    <row r="210" spans="3:14">
      <c r="C210">
        <f>7.0</f>
        <v>0</v>
      </c>
      <c r="D210">
        <f>7.0</f>
        <v>0</v>
      </c>
      <c r="E210">
        <f>E201*-5.22</f>
        <v>0</v>
      </c>
      <c r="F210">
        <f>F201*-20.549</f>
        <v>0</v>
      </c>
      <c r="G210">
        <f>G201*-2.823</f>
        <v>0</v>
      </c>
      <c r="H210">
        <f>H201*0.0</f>
        <v>0</v>
      </c>
      <c r="I210">
        <f>I201*-0.038</f>
        <v>0</v>
      </c>
      <c r="J210">
        <f>J201*66.22399999999999</f>
        <v>0</v>
      </c>
      <c r="K210">
        <f>K201*-49.668</f>
        <v>0</v>
      </c>
      <c r="L210">
        <f>L201*72.872</f>
        <v>0</v>
      </c>
      <c r="M210">
        <f>M201*-89.04700000000001</f>
        <v>0</v>
      </c>
      <c r="N210">
        <f>E210+F210+G210+H210+I210+J210+K210+L210</f>
        <v>0</v>
      </c>
    </row>
    <row r="211" spans="3:14">
      <c r="C211">
        <f>8.0</f>
        <v>0</v>
      </c>
      <c r="D211">
        <f>8.0</f>
        <v>0</v>
      </c>
      <c r="E211">
        <f>E201*-7.72</f>
        <v>0</v>
      </c>
      <c r="F211">
        <f>F201*-9.797</f>
        <v>0</v>
      </c>
      <c r="G211">
        <f>G201*-1.063</f>
        <v>0</v>
      </c>
      <c r="H211">
        <f>H201*0.0</f>
        <v>0</v>
      </c>
      <c r="I211">
        <f>I201*-0.038</f>
        <v>0</v>
      </c>
      <c r="J211">
        <f>J201*15.742</f>
        <v>0</v>
      </c>
      <c r="K211">
        <f>K201*-11.806</f>
        <v>0</v>
      </c>
      <c r="L211">
        <f>L201*95.054</f>
        <v>0</v>
      </c>
      <c r="M211">
        <f>M201*-92.764</f>
        <v>0</v>
      </c>
      <c r="N211">
        <f>E211+F211+G211+H211+I211+J211+K211+L211</f>
        <v>0</v>
      </c>
    </row>
    <row r="212" spans="3:14">
      <c r="C212">
        <f>9.0</f>
        <v>0</v>
      </c>
      <c r="D212">
        <f>9.0</f>
        <v>0</v>
      </c>
      <c r="E212">
        <f>E201*-10.886</f>
        <v>0</v>
      </c>
      <c r="F212">
        <f>F201*8.572000000000001</f>
        <v>0</v>
      </c>
      <c r="G212">
        <f>G201*1.9880000000000002</f>
        <v>0</v>
      </c>
      <c r="H212">
        <f>H201*0.0</f>
        <v>0</v>
      </c>
      <c r="I212">
        <f>I201*-0.038</f>
        <v>0</v>
      </c>
      <c r="J212">
        <f>J201*-27.354</f>
        <v>0</v>
      </c>
      <c r="K212">
        <f>K201*20.516</f>
        <v>0</v>
      </c>
      <c r="L212">
        <f>L201*128.257</f>
        <v>0</v>
      </c>
      <c r="M212">
        <f>M201*-105.26799999999999</f>
        <v>0</v>
      </c>
      <c r="N212">
        <f>E212+F212+G212+H212+I212+J212+K212+L212</f>
        <v>0</v>
      </c>
    </row>
    <row r="213" spans="3:14">
      <c r="C213">
        <f>10.0</f>
        <v>0</v>
      </c>
      <c r="D213">
        <f>10.0</f>
        <v>0</v>
      </c>
      <c r="E213">
        <f>E201*-12.802</f>
        <v>0</v>
      </c>
      <c r="F213">
        <f>F201*15.564</f>
        <v>0</v>
      </c>
      <c r="G213">
        <f>G201*3.179</f>
        <v>0</v>
      </c>
      <c r="H213">
        <f>H201*0.0</f>
        <v>0</v>
      </c>
      <c r="I213">
        <f>I201*-0.04</f>
        <v>0</v>
      </c>
      <c r="J213">
        <f>J201*56.473</f>
        <v>0</v>
      </c>
      <c r="K213">
        <f>K201*-42.355</f>
        <v>0</v>
      </c>
      <c r="L213">
        <f>L201*148.792</f>
        <v>0</v>
      </c>
      <c r="M213">
        <f>M201*-119.323</f>
        <v>0</v>
      </c>
      <c r="N213">
        <f>E213+F213+G213+H213+I213+J213+K213+L213</f>
        <v>0</v>
      </c>
    </row>
    <row r="214" spans="3:14">
      <c r="C214">
        <f>11.0</f>
        <v>0</v>
      </c>
      <c r="D214">
        <f>11.0</f>
        <v>0</v>
      </c>
      <c r="E214">
        <f>E201*9.151</f>
        <v>0</v>
      </c>
      <c r="F214">
        <f>F201*9.949</f>
        <v>0</v>
      </c>
      <c r="G214">
        <f>G201*0.968</f>
        <v>0</v>
      </c>
      <c r="H214">
        <f>H201*0.0</f>
        <v>0</v>
      </c>
      <c r="I214">
        <f>I201*-0.039</f>
        <v>0</v>
      </c>
      <c r="J214">
        <f>J201*57.903</f>
        <v>0</v>
      </c>
      <c r="K214">
        <f>K201*-43.427</f>
        <v>0</v>
      </c>
      <c r="L214">
        <f>L201*103.667</f>
        <v>0</v>
      </c>
      <c r="M214">
        <f>M201*-104.891</f>
        <v>0</v>
      </c>
      <c r="N214">
        <f>E214+F214+G214+H214+I214+J214+K214+L214</f>
        <v>0</v>
      </c>
    </row>
    <row r="215" spans="3:14">
      <c r="C215">
        <f>12.0</f>
        <v>0</v>
      </c>
      <c r="D215">
        <f>12.0</f>
        <v>0</v>
      </c>
      <c r="E215">
        <f>E201*5.41</f>
        <v>0</v>
      </c>
      <c r="F215">
        <f>F201*20.032</f>
        <v>0</v>
      </c>
      <c r="G215">
        <f>G201*2.714</f>
        <v>0</v>
      </c>
      <c r="H215">
        <f>H201*0.0</f>
        <v>0</v>
      </c>
      <c r="I215">
        <f>I201*-0.038</f>
        <v>0</v>
      </c>
      <c r="J215">
        <f>J201*41.701</f>
        <v>0</v>
      </c>
      <c r="K215">
        <f>K201*-31.276</f>
        <v>0</v>
      </c>
      <c r="L215">
        <f>L201*115.977</f>
        <v>0</v>
      </c>
      <c r="M215">
        <f>M201*-91.82700000000001</f>
        <v>0</v>
      </c>
      <c r="N215">
        <f>E215+F215+G215+H215+I215+J215+K215+L215</f>
        <v>0</v>
      </c>
    </row>
    <row r="216" spans="3:14">
      <c r="C216">
        <f>13.0</f>
        <v>0</v>
      </c>
      <c r="D216">
        <f>13.0</f>
        <v>0</v>
      </c>
      <c r="E216">
        <f>E201*1.874</f>
        <v>0</v>
      </c>
      <c r="F216">
        <f>F201*27.891</f>
        <v>0</v>
      </c>
      <c r="G216">
        <f>G201*4.154</f>
        <v>0</v>
      </c>
      <c r="H216">
        <f>H201*0.0</f>
        <v>0</v>
      </c>
      <c r="I216">
        <f>I201*-0.037000000000000005</f>
        <v>0</v>
      </c>
      <c r="J216">
        <f>J201*-13.388</f>
        <v>0</v>
      </c>
      <c r="K216">
        <f>K201*10.041</f>
        <v>0</v>
      </c>
      <c r="L216">
        <f>L201*133.662</f>
        <v>0</v>
      </c>
      <c r="M216">
        <f>M201*-94.45100000000001</f>
        <v>0</v>
      </c>
      <c r="N216">
        <f>E216+F216+G216+H216+I216+J216+K216+L216</f>
        <v>0</v>
      </c>
    </row>
    <row r="217" spans="3:14">
      <c r="C217">
        <f>14.0</f>
        <v>0</v>
      </c>
      <c r="D217">
        <f>14.0</f>
        <v>0</v>
      </c>
      <c r="E217">
        <f>E201*-3.786</f>
        <v>0</v>
      </c>
      <c r="F217">
        <f>F201*32.765</f>
        <v>0</v>
      </c>
      <c r="G217">
        <f>G201*5.212999999999999</f>
        <v>0</v>
      </c>
      <c r="H217">
        <f>H201*0.0</f>
        <v>0</v>
      </c>
      <c r="I217">
        <f>I201*-0.037000000000000005</f>
        <v>0</v>
      </c>
      <c r="J217">
        <f>J201*-37.593</f>
        <v>0</v>
      </c>
      <c r="K217">
        <f>K201*28.195</f>
        <v>0</v>
      </c>
      <c r="L217">
        <f>L201*158.055</f>
        <v>0</v>
      </c>
      <c r="M217">
        <f>M201*-103.589</f>
        <v>0</v>
      </c>
      <c r="N217">
        <f>E217+F217+G217+H217+I217+J217+K217+L217</f>
        <v>0</v>
      </c>
    </row>
    <row r="218" spans="3:14">
      <c r="C218">
        <f>15.0</f>
        <v>0</v>
      </c>
      <c r="D218">
        <f>15.0</f>
        <v>0</v>
      </c>
      <c r="E218">
        <f>E201*15.880999999999998</f>
        <v>0</v>
      </c>
      <c r="F218">
        <f>F201*40.707</f>
        <v>0</v>
      </c>
      <c r="G218">
        <f>G201*5.525</f>
        <v>0</v>
      </c>
      <c r="H218">
        <f>H201*0.0</f>
        <v>0</v>
      </c>
      <c r="I218">
        <f>I201*-0.038</f>
        <v>0</v>
      </c>
      <c r="J218">
        <f>J201*78.73100000000001</f>
        <v>0</v>
      </c>
      <c r="K218">
        <f>K201*-59.048</f>
        <v>0</v>
      </c>
      <c r="L218">
        <f>L201*174.801</f>
        <v>0</v>
      </c>
      <c r="M218">
        <f>M201*-122.962</f>
        <v>0</v>
      </c>
      <c r="N218">
        <f>E218+F218+G218+H218+I218+J218+K218+L218</f>
        <v>0</v>
      </c>
    </row>
    <row r="219" spans="3:14">
      <c r="C219">
        <f>15.91</f>
        <v>0</v>
      </c>
      <c r="D219">
        <f>15.91</f>
        <v>0</v>
      </c>
      <c r="E219">
        <f>E201*13.724</f>
        <v>0</v>
      </c>
      <c r="F219">
        <f>F201*39.294000000000004</f>
        <v>0</v>
      </c>
      <c r="G219">
        <f>G201*4.8260000000000005</f>
        <v>0</v>
      </c>
      <c r="H219">
        <f>H201*0.0</f>
        <v>0</v>
      </c>
      <c r="I219">
        <f>I201*-0.038</f>
        <v>0</v>
      </c>
      <c r="J219">
        <f>J201*69.32600000000001</f>
        <v>0</v>
      </c>
      <c r="K219">
        <f>K201*-51.994</f>
        <v>0</v>
      </c>
      <c r="L219">
        <f>L201*141.368</f>
        <v>0</v>
      </c>
      <c r="M219">
        <f>M201*-111.51299999999999</f>
        <v>0</v>
      </c>
      <c r="N219">
        <f>E219+F219+G219+H219+I219+J219+K219+L219</f>
        <v>0</v>
      </c>
    </row>
    <row r="220" spans="3:14">
      <c r="C220">
        <f>16.82</f>
        <v>0</v>
      </c>
      <c r="D220">
        <f>16.82</f>
        <v>0</v>
      </c>
      <c r="E220">
        <f>E201*9.08</f>
        <v>0</v>
      </c>
      <c r="F220">
        <f>F201*32.935</f>
        <v>0</v>
      </c>
      <c r="G220">
        <f>G201*4.29</f>
        <v>0</v>
      </c>
      <c r="H220">
        <f>H201*0.0</f>
        <v>0</v>
      </c>
      <c r="I220">
        <f>I201*-0.036000000000000004</f>
        <v>0</v>
      </c>
      <c r="J220">
        <f>J201*27.469</f>
        <v>0</v>
      </c>
      <c r="K220">
        <f>K201*-20.601</f>
        <v>0</v>
      </c>
      <c r="L220">
        <f>L201*140.812</f>
        <v>0</v>
      </c>
      <c r="M220">
        <f>M201*-102.28399999999999</f>
        <v>0</v>
      </c>
      <c r="N220">
        <f>E220+F220+G220+H220+I220+J220+K220+L220</f>
        <v>0</v>
      </c>
    </row>
    <row r="221" spans="3:14">
      <c r="C221">
        <f>17.73</f>
        <v>0</v>
      </c>
      <c r="D221">
        <f>17.73</f>
        <v>0</v>
      </c>
      <c r="E221">
        <f>E201*4.0489999999999995</f>
        <v>0</v>
      </c>
      <c r="F221">
        <f>F201*19.645</f>
        <v>0</v>
      </c>
      <c r="G221">
        <f>G201*2.7430000000000003</f>
        <v>0</v>
      </c>
      <c r="H221">
        <f>H201*0.0</f>
        <v>0</v>
      </c>
      <c r="I221">
        <f>I201*-0.036000000000000004</f>
        <v>0</v>
      </c>
      <c r="J221">
        <f>J201*-91.46</f>
        <v>0</v>
      </c>
      <c r="K221">
        <f>K201*68.595</f>
        <v>0</v>
      </c>
      <c r="L221">
        <f>L201*136.43200000000002</f>
        <v>0</v>
      </c>
      <c r="M221">
        <f>M201*-106.088</f>
        <v>0</v>
      </c>
      <c r="N221">
        <f>E221+F221+G221+H221+I221+J221+K221+L221</f>
        <v>0</v>
      </c>
    </row>
    <row r="222" spans="3:14">
      <c r="C222">
        <f>18.64</f>
        <v>0</v>
      </c>
      <c r="D222">
        <f>18.64</f>
        <v>0</v>
      </c>
      <c r="E222">
        <f>E201*-5.164</f>
        <v>0</v>
      </c>
      <c r="F222">
        <f>F201*-26.151</f>
        <v>0</v>
      </c>
      <c r="G222">
        <f>G201*-3.1310000000000002</f>
        <v>0</v>
      </c>
      <c r="H222">
        <f>H201*0.0</f>
        <v>0</v>
      </c>
      <c r="I222">
        <f>I201*-0.043</f>
        <v>0</v>
      </c>
      <c r="J222">
        <f>J201*-194.25900000000001</f>
        <v>0</v>
      </c>
      <c r="K222">
        <f>K201*145.695</f>
        <v>0</v>
      </c>
      <c r="L222">
        <f>L201*115.2</f>
        <v>0</v>
      </c>
      <c r="M222">
        <f>M201*-114.186</f>
        <v>0</v>
      </c>
      <c r="N222">
        <f>E222+F222+G222+H222+I222+J222+K222+L222</f>
        <v>0</v>
      </c>
    </row>
    <row r="223" spans="3:14">
      <c r="C223">
        <f>19.55</f>
        <v>0</v>
      </c>
      <c r="D223">
        <f>19.55</f>
        <v>0</v>
      </c>
      <c r="E223">
        <f>E201*-8.21</f>
        <v>0</v>
      </c>
      <c r="F223">
        <f>F201*-48.495</f>
        <v>0</v>
      </c>
      <c r="G223">
        <f>G201*-6.069</f>
        <v>0</v>
      </c>
      <c r="H223">
        <f>H201*0.0</f>
        <v>0</v>
      </c>
      <c r="I223">
        <f>I201*-0.051</f>
        <v>0</v>
      </c>
      <c r="J223">
        <f>J201*-242.903</f>
        <v>0</v>
      </c>
      <c r="K223">
        <f>K201*182.17700000000002</f>
        <v>0</v>
      </c>
      <c r="L223">
        <f>L201*83.355</f>
        <v>0</v>
      </c>
      <c r="M223">
        <f>M201*-120.044</f>
        <v>0</v>
      </c>
      <c r="N223">
        <f>E223+F223+G223+H223+I223+J223+K223+L223</f>
        <v>0</v>
      </c>
    </row>
    <row r="224" spans="3:14">
      <c r="C224">
        <f>20.0</f>
        <v>0</v>
      </c>
      <c r="D224">
        <f>20.0</f>
        <v>0</v>
      </c>
      <c r="E224">
        <f>E201*1.264</f>
        <v>0</v>
      </c>
      <c r="F224">
        <f>F201*14.619000000000002</f>
        <v>0</v>
      </c>
      <c r="G224">
        <f>G201*1.9469999999999998</f>
        <v>0</v>
      </c>
      <c r="H224">
        <f>H201*0.0</f>
        <v>0</v>
      </c>
      <c r="I224">
        <f>I201*0.005693999999999999</f>
        <v>0</v>
      </c>
      <c r="J224">
        <f>J201*22.473000000000003</f>
        <v>0</v>
      </c>
      <c r="K224">
        <f>K201*-16.855</f>
        <v>0</v>
      </c>
      <c r="L224">
        <f>L201*42.614</f>
        <v>0</v>
      </c>
      <c r="M224">
        <f>M201*-26.045</f>
        <v>0</v>
      </c>
      <c r="N224">
        <f>E224+F224+G224+H224+I224+J224+K224+L224</f>
        <v>0</v>
      </c>
    </row>
    <row r="225" spans="3:14">
      <c r="C225">
        <f>20.0</f>
        <v>0</v>
      </c>
      <c r="D225">
        <f>0.0</f>
        <v>0</v>
      </c>
      <c r="E225">
        <f>E201*-1.324</f>
        <v>0</v>
      </c>
      <c r="F225">
        <f>F201*-14.263</f>
        <v>0</v>
      </c>
      <c r="G225">
        <f>G201*-1.893</f>
        <v>0</v>
      </c>
      <c r="H225">
        <f>H201*0.0</f>
        <v>0</v>
      </c>
      <c r="I225">
        <f>I201*0.10800000000000001</f>
        <v>0</v>
      </c>
      <c r="J225">
        <f>J201*-21.511</f>
        <v>0</v>
      </c>
      <c r="K225">
        <f>K201*16.133</f>
        <v>0</v>
      </c>
      <c r="L225">
        <f>L201*14.671</f>
        <v>0</v>
      </c>
      <c r="M225">
        <f>M201*-30.930999999999997</f>
        <v>0</v>
      </c>
      <c r="N225">
        <f>E225+F225+G225+H225+I225+J225+K225+L225</f>
        <v>0</v>
      </c>
    </row>
    <row r="226" spans="3:14">
      <c r="C226">
        <f>20.45</f>
        <v>0</v>
      </c>
      <c r="D226">
        <f>0.45</f>
        <v>0</v>
      </c>
      <c r="E226">
        <f>E201*7.611000000000001</f>
        <v>0</v>
      </c>
      <c r="F226">
        <f>F201*51.208</f>
        <v>0</v>
      </c>
      <c r="G226">
        <f>G201*6.494</f>
        <v>0</v>
      </c>
      <c r="H226">
        <f>H201*0.0</f>
        <v>0</v>
      </c>
      <c r="I226">
        <f>I201*-0.846</f>
        <v>0</v>
      </c>
      <c r="J226">
        <f>J201*251.984</f>
        <v>0</v>
      </c>
      <c r="K226">
        <f>K201*-188.988</f>
        <v>0</v>
      </c>
      <c r="L226">
        <f>L201*79.0</f>
        <v>0</v>
      </c>
      <c r="M226">
        <f>M201*-33.865</f>
        <v>0</v>
      </c>
      <c r="N226">
        <f>E226+F226+G226+H226+I226+J226+K226+L226</f>
        <v>0</v>
      </c>
    </row>
    <row r="227" spans="3:14">
      <c r="C227">
        <f>21.36</f>
        <v>0</v>
      </c>
      <c r="D227">
        <f>1.36</f>
        <v>0</v>
      </c>
      <c r="E227">
        <f>E201*4.57</f>
        <v>0</v>
      </c>
      <c r="F227">
        <f>F201*29.206999999999997</f>
        <v>0</v>
      </c>
      <c r="G227">
        <f>G201*3.605</f>
        <v>0</v>
      </c>
      <c r="H227">
        <f>H201*0.0</f>
        <v>0</v>
      </c>
      <c r="I227">
        <f>I201*-0.527</f>
        <v>0</v>
      </c>
      <c r="J227">
        <f>J201*203.548</f>
        <v>0</v>
      </c>
      <c r="K227">
        <f>K201*-152.661</f>
        <v>0</v>
      </c>
      <c r="L227">
        <f>L201*49.233000000000004</f>
        <v>0</v>
      </c>
      <c r="M227">
        <f>M201*-25.991</f>
        <v>0</v>
      </c>
      <c r="N227">
        <f>E227+F227+G227+H227+I227+J227+K227+L227</f>
        <v>0</v>
      </c>
    </row>
    <row r="228" spans="3:14">
      <c r="C228">
        <f>22.27</f>
        <v>0</v>
      </c>
      <c r="D228">
        <f>2.27</f>
        <v>0</v>
      </c>
      <c r="E228">
        <f>E201*-4.486000000000001</f>
        <v>0</v>
      </c>
      <c r="F228">
        <f>F201*-16.007</f>
        <v>0</v>
      </c>
      <c r="G228">
        <f>G201*-2.1959999999999997</f>
        <v>0</v>
      </c>
      <c r="H228">
        <f>H201*0.0</f>
        <v>0</v>
      </c>
      <c r="I228">
        <f>I201*0.22399999999999998</f>
        <v>0</v>
      </c>
      <c r="J228">
        <f>J201*99.801</f>
        <v>0</v>
      </c>
      <c r="K228">
        <f>K201*-74.851</f>
        <v>0</v>
      </c>
      <c r="L228">
        <f>L201*21.743000000000002</f>
        <v>0</v>
      </c>
      <c r="M228">
        <f>M201*-46.394</f>
        <v>0</v>
      </c>
      <c r="N228">
        <f>E228+F228+G228+H228+I228+J228+K228+L228</f>
        <v>0</v>
      </c>
    </row>
    <row r="229" spans="3:14">
      <c r="C229">
        <f>23.18</f>
        <v>0</v>
      </c>
      <c r="D229">
        <f>3.18</f>
        <v>0</v>
      </c>
      <c r="E229">
        <f>E201*-9.418</f>
        <v>0</v>
      </c>
      <c r="F229">
        <f>F201*-28.831</f>
        <v>0</v>
      </c>
      <c r="G229">
        <f>G201*-3.6839999999999997</f>
        <v>0</v>
      </c>
      <c r="H229">
        <f>H201*0.0</f>
        <v>0</v>
      </c>
      <c r="I229">
        <f>I201*0.5539999999999999</f>
        <v>0</v>
      </c>
      <c r="J229">
        <f>J201*-20.53</f>
        <v>0</v>
      </c>
      <c r="K229">
        <f>K201*15.397</f>
        <v>0</v>
      </c>
      <c r="L229">
        <f>L201*26.111</f>
        <v>0</v>
      </c>
      <c r="M229">
        <f>M201*-58.891999999999996</f>
        <v>0</v>
      </c>
      <c r="N229">
        <f>E229+F229+G229+H229+I229+J229+K229+L229</f>
        <v>0</v>
      </c>
    </row>
    <row r="230" spans="3:14">
      <c r="C230">
        <f>24.09</f>
        <v>0</v>
      </c>
      <c r="D230">
        <f>4.09</f>
        <v>0</v>
      </c>
      <c r="E230">
        <f>E201*-13.947000000000001</f>
        <v>0</v>
      </c>
      <c r="F230">
        <f>F201*-35.17</f>
        <v>0</v>
      </c>
      <c r="G230">
        <f>G201*-4.226</f>
        <v>0</v>
      </c>
      <c r="H230">
        <f>H201*0.0</f>
        <v>0</v>
      </c>
      <c r="I230">
        <f>I201*0.887</f>
        <v>0</v>
      </c>
      <c r="J230">
        <f>J201*-63.799</f>
        <v>0</v>
      </c>
      <c r="K230">
        <f>K201*47.849</f>
        <v>0</v>
      </c>
      <c r="L230">
        <f>L201*46.706</f>
        <v>0</v>
      </c>
      <c r="M230">
        <f>M201*-76.19</f>
        <v>0</v>
      </c>
      <c r="N230">
        <f>E230+F230+G230+H230+I230+J230+K230+L230</f>
        <v>0</v>
      </c>
    </row>
    <row r="231" spans="3:14">
      <c r="C231">
        <f>25.0</f>
        <v>0</v>
      </c>
      <c r="D231">
        <f>5.0</f>
        <v>0</v>
      </c>
      <c r="E231">
        <f>E201*-16.044</f>
        <v>0</v>
      </c>
      <c r="F231">
        <f>F201*-36.735</f>
        <v>0</v>
      </c>
      <c r="G231">
        <f>G201*-4.535</f>
        <v>0</v>
      </c>
      <c r="H231">
        <f>H201*0.0</f>
        <v>0</v>
      </c>
      <c r="I231">
        <f>I201*1.07</f>
        <v>0</v>
      </c>
      <c r="J231">
        <f>J201*-74.03699999999999</f>
        <v>0</v>
      </c>
      <c r="K231">
        <f>K201*55.528</f>
        <v>0</v>
      </c>
      <c r="L231">
        <f>L201*60.282</f>
        <v>0</v>
      </c>
      <c r="M231">
        <f>M201*-90.096</f>
        <v>0</v>
      </c>
      <c r="N231">
        <f>E231+F231+G231+H231+I231+J231+K231+L231</f>
        <v>0</v>
      </c>
    </row>
    <row r="232" spans="3:14">
      <c r="C232">
        <f>26.0</f>
        <v>0</v>
      </c>
      <c r="D232">
        <f>6.0</f>
        <v>0</v>
      </c>
      <c r="E232">
        <f>E201*3.2230000000000003</f>
        <v>0</v>
      </c>
      <c r="F232">
        <f>F201*-26.346</f>
        <v>0</v>
      </c>
      <c r="G232">
        <f>G201*-4.262</f>
        <v>0</v>
      </c>
      <c r="H232">
        <f>H201*0.0</f>
        <v>0</v>
      </c>
      <c r="I232">
        <f>I201*0.941</f>
        <v>0</v>
      </c>
      <c r="J232">
        <f>J201*48.67</f>
        <v>0</v>
      </c>
      <c r="K232">
        <f>K201*-36.501999999999995</f>
        <v>0</v>
      </c>
      <c r="L232">
        <f>L201*28.881</f>
        <v>0</v>
      </c>
      <c r="M232">
        <f>M201*-71.85</f>
        <v>0</v>
      </c>
      <c r="N232">
        <f>E232+F232+G232+H232+I232+J232+K232+L232</f>
        <v>0</v>
      </c>
    </row>
    <row r="233" spans="3:14">
      <c r="C233">
        <f>27.0</f>
        <v>0</v>
      </c>
      <c r="D233">
        <f>7.0</f>
        <v>0</v>
      </c>
      <c r="E233">
        <f>E201*-2.484</f>
        <v>0</v>
      </c>
      <c r="F233">
        <f>F201*-21.799</f>
        <v>0</v>
      </c>
      <c r="G233">
        <f>G201*-3.2510000000000003</f>
        <v>0</v>
      </c>
      <c r="H233">
        <f>H201*0.0</f>
        <v>0</v>
      </c>
      <c r="I233">
        <f>I201*1.208</f>
        <v>0</v>
      </c>
      <c r="J233">
        <f>J201*24.289</f>
        <v>0</v>
      </c>
      <c r="K233">
        <f>K201*-18.217</f>
        <v>0</v>
      </c>
      <c r="L233">
        <f>L201*14.512</f>
        <v>0</v>
      </c>
      <c r="M233">
        <f>M201*-46.226000000000006</f>
        <v>0</v>
      </c>
      <c r="N233">
        <f>E233+F233+G233+H233+I233+J233+K233+L233</f>
        <v>0</v>
      </c>
    </row>
    <row r="234" spans="3:14">
      <c r="C234">
        <f>28.0</f>
        <v>0</v>
      </c>
      <c r="D234">
        <f>8.0</f>
        <v>0</v>
      </c>
      <c r="E234">
        <f>E201*-6.224</f>
        <v>0</v>
      </c>
      <c r="F234">
        <f>F201*-14.071</f>
        <v>0</v>
      </c>
      <c r="G234">
        <f>G201*-1.8219999999999998</f>
        <v>0</v>
      </c>
      <c r="H234">
        <f>H201*0.0</f>
        <v>0</v>
      </c>
      <c r="I234">
        <f>I201*1.358</f>
        <v>0</v>
      </c>
      <c r="J234">
        <f>J201*-27.669</f>
        <v>0</v>
      </c>
      <c r="K234">
        <f>K201*20.752</f>
        <v>0</v>
      </c>
      <c r="L234">
        <f>L201*27.309</f>
        <v>0</v>
      </c>
      <c r="M234">
        <f>M201*-37.693000000000005</f>
        <v>0</v>
      </c>
      <c r="N234">
        <f>E234+F234+G234+H234+I234+J234+K234+L234</f>
        <v>0</v>
      </c>
    </row>
    <row r="235" spans="3:14">
      <c r="C235">
        <f>29.0</f>
        <v>0</v>
      </c>
      <c r="D235">
        <f>9.0</f>
        <v>0</v>
      </c>
      <c r="E235">
        <f>E201*-10.397</f>
        <v>0</v>
      </c>
      <c r="F235">
        <f>F201*-4.0889999999999995</f>
        <v>0</v>
      </c>
      <c r="G235">
        <f>G201*1.014</f>
        <v>0</v>
      </c>
      <c r="H235">
        <f>H201*0.0</f>
        <v>0</v>
      </c>
      <c r="I235">
        <f>I201*1.375</f>
        <v>0</v>
      </c>
      <c r="J235">
        <f>J201*-38.5</f>
        <v>0</v>
      </c>
      <c r="K235">
        <f>K201*28.875</f>
        <v>0</v>
      </c>
      <c r="L235">
        <f>L201*65.82</f>
        <v>0</v>
      </c>
      <c r="M235">
        <f>M201*-52.391999999999996</f>
        <v>0</v>
      </c>
      <c r="N235">
        <f>E235+F235+G235+H235+I235+J235+K235+L235</f>
        <v>0</v>
      </c>
    </row>
    <row r="236" spans="3:14">
      <c r="C236">
        <f>30.0</f>
        <v>0</v>
      </c>
      <c r="D236">
        <f>10.0</f>
        <v>0</v>
      </c>
      <c r="E236">
        <f>E201*-12.757</f>
        <v>0</v>
      </c>
      <c r="F236">
        <f>F201*-9.174</f>
        <v>0</v>
      </c>
      <c r="G236">
        <f>G201*-2.24</f>
        <v>0</v>
      </c>
      <c r="H236">
        <f>H201*0.0</f>
        <v>0</v>
      </c>
      <c r="I236">
        <f>I201*2.0869999999999997</f>
        <v>0</v>
      </c>
      <c r="J236">
        <f>J201*38.033</f>
        <v>0</v>
      </c>
      <c r="K236">
        <f>K201*-28.525</f>
        <v>0</v>
      </c>
      <c r="L236">
        <f>L201*87.44200000000001</f>
        <v>0</v>
      </c>
      <c r="M236">
        <f>M201*-82.119</f>
        <v>0</v>
      </c>
      <c r="N236">
        <f>E236+F236+G236+H236+I236+J236+K236+L236</f>
        <v>0</v>
      </c>
    </row>
    <row r="237" spans="3:14">
      <c r="C237">
        <f>31.0</f>
        <v>0</v>
      </c>
      <c r="D237">
        <f>11.0</f>
        <v>0</v>
      </c>
      <c r="E237">
        <f>E201*9.792</f>
        <v>0</v>
      </c>
      <c r="F237">
        <f>F201*3.904</f>
        <v>0</v>
      </c>
      <c r="G237">
        <f>G201*-1.051</f>
        <v>0</v>
      </c>
      <c r="H237">
        <f>H201*0.0</f>
        <v>0</v>
      </c>
      <c r="I237">
        <f>I201*1.837</f>
        <v>0</v>
      </c>
      <c r="J237">
        <f>J201*43.692</f>
        <v>0</v>
      </c>
      <c r="K237">
        <f>K201*-32.769</f>
        <v>0</v>
      </c>
      <c r="L237">
        <f>L201*48.348</f>
        <v>0</v>
      </c>
      <c r="M237">
        <f>M201*-60.785</f>
        <v>0</v>
      </c>
      <c r="N237">
        <f>E237+F237+G237+H237+I237+J237+K237+L237</f>
        <v>0</v>
      </c>
    </row>
    <row r="238" spans="3:14">
      <c r="C238">
        <f>32.0</f>
        <v>0</v>
      </c>
      <c r="D238">
        <f>12.0</f>
        <v>0</v>
      </c>
      <c r="E238">
        <f>E201*5.608</f>
        <v>0</v>
      </c>
      <c r="F238">
        <f>F201*14.76</f>
        <v>0</v>
      </c>
      <c r="G238">
        <f>G201*1.9480000000000002</f>
        <v>0</v>
      </c>
      <c r="H238">
        <f>H201*0.0</f>
        <v>0</v>
      </c>
      <c r="I238">
        <f>I201*1.218</f>
        <v>0</v>
      </c>
      <c r="J238">
        <f>J201*33.533</f>
        <v>0</v>
      </c>
      <c r="K238">
        <f>K201*-25.15</f>
        <v>0</v>
      </c>
      <c r="L238">
        <f>L201*41.245</f>
        <v>0</v>
      </c>
      <c r="M238">
        <f>M201*-23.186999999999998</f>
        <v>0</v>
      </c>
      <c r="N238">
        <f>E238+F238+G238+H238+I238+J238+K238+L238</f>
        <v>0</v>
      </c>
    </row>
    <row r="239" spans="3:14">
      <c r="C239">
        <f>33.0</f>
        <v>0</v>
      </c>
      <c r="D239">
        <f>13.0</f>
        <v>0</v>
      </c>
      <c r="E239">
        <f>E201*1.8519999999999999</f>
        <v>0</v>
      </c>
      <c r="F239">
        <f>F201*23.855999999999998</f>
        <v>0</v>
      </c>
      <c r="G239">
        <f>G201*3.5780000000000003</f>
        <v>0</v>
      </c>
      <c r="H239">
        <f>H201*0.0</f>
        <v>0</v>
      </c>
      <c r="I239">
        <f>I201*0.408</f>
        <v>0</v>
      </c>
      <c r="J239">
        <f>J201*-16.535</f>
        <v>0</v>
      </c>
      <c r="K239">
        <f>K201*12.401</f>
        <v>0</v>
      </c>
      <c r="L239">
        <f>L201*57.971000000000004</f>
        <v>0</v>
      </c>
      <c r="M239">
        <f>M201*-22.982</f>
        <v>0</v>
      </c>
      <c r="N239">
        <f>E239+F239+G239+H239+I239+J239+K239+L239</f>
        <v>0</v>
      </c>
    </row>
    <row r="240" spans="3:14">
      <c r="C240">
        <f>34.0</f>
        <v>0</v>
      </c>
      <c r="D240">
        <f>14.0</f>
        <v>0</v>
      </c>
      <c r="E240">
        <f>E201*-3.8480000000000003</f>
        <v>0</v>
      </c>
      <c r="F240">
        <f>F201*30.784000000000002</f>
        <v>0</v>
      </c>
      <c r="G240">
        <f>G201*4.937</f>
        <v>0</v>
      </c>
      <c r="H240">
        <f>H201*0.0</f>
        <v>0</v>
      </c>
      <c r="I240">
        <f>I201*-1.6640000000000001</f>
        <v>0</v>
      </c>
      <c r="J240">
        <f>J201*-38.866</f>
        <v>0</v>
      </c>
      <c r="K240">
        <f>K201*29.149</f>
        <v>0</v>
      </c>
      <c r="L240">
        <f>L201*86.84100000000001</f>
        <v>0</v>
      </c>
      <c r="M240">
        <f>M201*-38.379</f>
        <v>0</v>
      </c>
      <c r="N240">
        <f>E240+F240+G240+H240+I240+J240+K240+L240</f>
        <v>0</v>
      </c>
    </row>
    <row r="241" spans="3:14">
      <c r="C241">
        <f>35.0</f>
        <v>0</v>
      </c>
      <c r="D241">
        <f>15.0</f>
        <v>0</v>
      </c>
      <c r="E241">
        <f>E201*15.342</f>
        <v>0</v>
      </c>
      <c r="F241">
        <f>F201*33.46</f>
        <v>0</v>
      </c>
      <c r="G241">
        <f>G201*5.457999999999999</f>
        <v>0</v>
      </c>
      <c r="H241">
        <f>H201*0.0</f>
        <v>0</v>
      </c>
      <c r="I241">
        <f>I201*3.968</f>
        <v>0</v>
      </c>
      <c r="J241">
        <f>J201*77.52600000000001</f>
        <v>0</v>
      </c>
      <c r="K241">
        <f>K201*-58.145</f>
        <v>0</v>
      </c>
      <c r="L241">
        <f>L201*106.134</f>
        <v>0</v>
      </c>
      <c r="M241">
        <f>M201*-60.496</f>
        <v>0</v>
      </c>
      <c r="N241">
        <f>E241+F241+G241+H241+I241+J241+K241+L241</f>
        <v>0</v>
      </c>
    </row>
    <row r="242" spans="3:14">
      <c r="C242">
        <f>35.91</f>
        <v>0</v>
      </c>
      <c r="D242">
        <f>15.91</f>
        <v>0</v>
      </c>
      <c r="E242">
        <f>E201*13.299000000000001</f>
        <v>0</v>
      </c>
      <c r="F242">
        <f>F201*33.641999999999996</f>
        <v>0</v>
      </c>
      <c r="G242">
        <f>G201*4.117</f>
        <v>0</v>
      </c>
      <c r="H242">
        <f>H201*0.0</f>
        <v>0</v>
      </c>
      <c r="I242">
        <f>I201*2.37</f>
        <v>0</v>
      </c>
      <c r="J242">
        <f>J201*68.377</f>
        <v>0</v>
      </c>
      <c r="K242">
        <f>K201*-51.283</f>
        <v>0</v>
      </c>
      <c r="L242">
        <f>L201*80.176</f>
        <v>0</v>
      </c>
      <c r="M242">
        <f>M201*-44.181999999999995</f>
        <v>0</v>
      </c>
      <c r="N242">
        <f>E242+F242+G242+H242+I242+J242+K242+L242</f>
        <v>0</v>
      </c>
    </row>
    <row r="243" spans="3:14">
      <c r="C243">
        <f>36.82</f>
        <v>0</v>
      </c>
      <c r="D243">
        <f>16.82</f>
        <v>0</v>
      </c>
      <c r="E243">
        <f>E201*8.929</f>
        <v>0</v>
      </c>
      <c r="F243">
        <f>F201*30.595</f>
        <v>0</v>
      </c>
      <c r="G243">
        <f>G201*3.9619999999999997</f>
        <v>0</v>
      </c>
      <c r="H243">
        <f>H201*0.0</f>
        <v>0</v>
      </c>
      <c r="I243">
        <f>I201*-3.9819999999999998</f>
        <v>0</v>
      </c>
      <c r="J243">
        <f>J201*26.648000000000003</f>
        <v>0</v>
      </c>
      <c r="K243">
        <f>K201*-19.986</f>
        <v>0</v>
      </c>
      <c r="L243">
        <f>L201*66.721</f>
        <v>0</v>
      </c>
      <c r="M243">
        <f>M201*-26.826</f>
        <v>0</v>
      </c>
      <c r="N243">
        <f>E243+F243+G243+H243+I243+J243+K243+L243</f>
        <v>0</v>
      </c>
    </row>
    <row r="244" spans="3:14">
      <c r="C244">
        <f>37.73</f>
        <v>0</v>
      </c>
      <c r="D244">
        <f>17.73</f>
        <v>0</v>
      </c>
      <c r="E244">
        <f>E201*4.262</f>
        <v>0</v>
      </c>
      <c r="F244">
        <f>F201*21.136</f>
        <v>0</v>
      </c>
      <c r="G244">
        <f>G201*2.957</f>
        <v>0</v>
      </c>
      <c r="H244">
        <f>H201*0.0</f>
        <v>0</v>
      </c>
      <c r="I244">
        <f>I201*-9.024</f>
        <v>0</v>
      </c>
      <c r="J244">
        <f>J201*-92.84200000000001</f>
        <v>0</v>
      </c>
      <c r="K244">
        <f>K201*69.632</f>
        <v>0</v>
      </c>
      <c r="L244">
        <f>L201*59.998000000000005</f>
        <v>0</v>
      </c>
      <c r="M244">
        <f>M201*-31.177</f>
        <v>0</v>
      </c>
      <c r="N244">
        <f>E244+F244+G244+H244+I244+J244+K244+L244</f>
        <v>0</v>
      </c>
    </row>
    <row r="245" spans="3:14">
      <c r="C245">
        <f>38.64</f>
        <v>0</v>
      </c>
      <c r="D245">
        <f>18.64</f>
        <v>0</v>
      </c>
      <c r="E245">
        <f>E201*-4.012</f>
        <v>0</v>
      </c>
      <c r="F245">
        <f>F201*-15.225999999999999</f>
        <v>0</v>
      </c>
      <c r="G245">
        <f>G201*-1.577</f>
        <v>0</v>
      </c>
      <c r="H245">
        <f>H201*0.0</f>
        <v>0</v>
      </c>
      <c r="I245">
        <f>I201*-12.954</f>
        <v>0</v>
      </c>
      <c r="J245">
        <f>J201*-195.985</f>
        <v>0</v>
      </c>
      <c r="K245">
        <f>K201*146.989</f>
        <v>0</v>
      </c>
      <c r="L245">
        <f>L201*43.122</f>
        <v>0</v>
      </c>
      <c r="M245">
        <f>M201*-53.143</f>
        <v>0</v>
      </c>
      <c r="N245">
        <f>E245+F245+G245+H245+I245+J245+K245+L245</f>
        <v>0</v>
      </c>
    </row>
    <row r="246" spans="3:14">
      <c r="C246">
        <f>39.55</f>
        <v>0</v>
      </c>
      <c r="D246">
        <f>19.55</f>
        <v>0</v>
      </c>
      <c r="E246">
        <f>E201*-6.627999999999999</f>
        <v>0</v>
      </c>
      <c r="F246">
        <f>F201*-33.27</f>
        <v>0</v>
      </c>
      <c r="G246">
        <f>G201*-3.904</f>
        <v>0</v>
      </c>
      <c r="H246">
        <f>H201*0.0</f>
        <v>0</v>
      </c>
      <c r="I246">
        <f>I201*-13.503</f>
        <v>0</v>
      </c>
      <c r="J246">
        <f>J201*-244.80700000000002</f>
        <v>0</v>
      </c>
      <c r="K246">
        <f>K201*183.605</f>
        <v>0</v>
      </c>
      <c r="L246">
        <f>L201*35.481</f>
        <v>0</v>
      </c>
      <c r="M246">
        <f>M201*-75.68</f>
        <v>0</v>
      </c>
      <c r="N246">
        <f>E246+F246+G246+H246+I246+J246+K246+L246</f>
        <v>0</v>
      </c>
    </row>
    <row r="247" spans="3:14">
      <c r="C247">
        <f>40.0</f>
        <v>0</v>
      </c>
      <c r="D247">
        <f>20.0</f>
        <v>0</v>
      </c>
      <c r="E247">
        <f>E201*0.987</f>
        <v>0</v>
      </c>
      <c r="F247">
        <f>F201*11.75</f>
        <v>0</v>
      </c>
      <c r="G247">
        <f>G201*1.538</f>
        <v>0</v>
      </c>
      <c r="H247">
        <f>H201*0.0</f>
        <v>0</v>
      </c>
      <c r="I247">
        <f>I201*-0.802</f>
        <v>0</v>
      </c>
      <c r="J247">
        <f>J201*22.399</f>
        <v>0</v>
      </c>
      <c r="K247">
        <f>K201*-16.799</f>
        <v>0</v>
      </c>
      <c r="L247">
        <f>L201*35.481</f>
        <v>0</v>
      </c>
      <c r="M247">
        <f>M201*-18.895</f>
        <v>0</v>
      </c>
      <c r="N247">
        <f>E247+F247+G247+H247+I247+J247+K247+L247</f>
        <v>0</v>
      </c>
    </row>
    <row r="248" spans="3:14">
      <c r="C248">
        <f>40.0</f>
        <v>0</v>
      </c>
      <c r="D248">
        <f>0.0</f>
        <v>0</v>
      </c>
      <c r="E248">
        <f>E201*-0.966</f>
        <v>0</v>
      </c>
      <c r="F248">
        <f>F201*-9.42</f>
        <v>0</v>
      </c>
      <c r="G248">
        <f>G201*-1.186</f>
        <v>0</v>
      </c>
      <c r="H248">
        <f>H201*0.0</f>
        <v>0</v>
      </c>
      <c r="I248">
        <f>I201*9.026</f>
        <v>0</v>
      </c>
      <c r="J248">
        <f>J201*-15.572000000000001</f>
        <v>0</v>
      </c>
      <c r="K248">
        <f>K201*11.679</f>
        <v>0</v>
      </c>
      <c r="L248">
        <f>L201*13.100999999999999</f>
        <v>0</v>
      </c>
      <c r="M248">
        <f>M201*-25.93</f>
        <v>0</v>
      </c>
      <c r="N248">
        <f>E248+F248+G248+H248+I248+J248+K248+L248</f>
        <v>0</v>
      </c>
    </row>
    <row r="249" spans="3:14">
      <c r="C249">
        <f>40.45</f>
        <v>0</v>
      </c>
      <c r="D249">
        <f>0.45</f>
        <v>0</v>
      </c>
      <c r="E249">
        <f>E201*6.547000000000001</f>
        <v>0</v>
      </c>
      <c r="F249">
        <f>F201*44.706</f>
        <v>0</v>
      </c>
      <c r="G249">
        <f>G201*5.624</f>
        <v>0</v>
      </c>
      <c r="H249">
        <f>H201*0.0</f>
        <v>0</v>
      </c>
      <c r="I249">
        <f>I201*25.169</f>
        <v>0</v>
      </c>
      <c r="J249">
        <f>J201*273.491</f>
        <v>0</v>
      </c>
      <c r="K249">
        <f>K201*-205.118</f>
        <v>0</v>
      </c>
      <c r="L249">
        <f>L201*75.589</f>
        <v>0</v>
      </c>
      <c r="M249">
        <f>M201*-27.008000000000003</f>
        <v>0</v>
      </c>
      <c r="N249">
        <f>E249+F249+G249+H249+I249+J249+K249+L249</f>
        <v>0</v>
      </c>
    </row>
    <row r="250" spans="3:14">
      <c r="C250">
        <f>41.36</f>
        <v>0</v>
      </c>
      <c r="D250">
        <f>1.36</f>
        <v>0</v>
      </c>
      <c r="E250">
        <f>E201*4.093</f>
        <v>0</v>
      </c>
      <c r="F250">
        <f>F201*31.201</f>
        <v>0</v>
      </c>
      <c r="G250">
        <f>G201*3.9739999999999998</f>
        <v>0</v>
      </c>
      <c r="H250">
        <f>H201*0.0</f>
        <v>0</v>
      </c>
      <c r="I250">
        <f>I201*21.195999999999998</f>
        <v>0</v>
      </c>
      <c r="J250">
        <f>J201*234.077</f>
        <v>0</v>
      </c>
      <c r="K250">
        <f>K201*-175.558</f>
        <v>0</v>
      </c>
      <c r="L250">
        <f>L201*49.132</f>
        <v>0</v>
      </c>
      <c r="M250">
        <f>M201*-18.351</f>
        <v>0</v>
      </c>
      <c r="N250">
        <f>E250+F250+G250+H250+I250+J250+K250+L250</f>
        <v>0</v>
      </c>
    </row>
    <row r="251" spans="3:14">
      <c r="C251">
        <f>42.27</f>
        <v>0</v>
      </c>
      <c r="D251">
        <f>2.27</f>
        <v>0</v>
      </c>
      <c r="E251">
        <f>E201*-2.772</f>
        <v>0</v>
      </c>
      <c r="F251">
        <f>F201*10.538</f>
        <v>0</v>
      </c>
      <c r="G251">
        <f>G201*1.508</f>
        <v>0</v>
      </c>
      <c r="H251">
        <f>H201*0.0</f>
        <v>0</v>
      </c>
      <c r="I251">
        <f>I201*6.843999999999999</f>
        <v>0</v>
      </c>
      <c r="J251">
        <f>J201*139.141</f>
        <v>0</v>
      </c>
      <c r="K251">
        <f>K201*-104.35600000000001</f>
        <v>0</v>
      </c>
      <c r="L251">
        <f>L201*27.674</f>
        <v>0</v>
      </c>
      <c r="M251">
        <f>M201*-23.243000000000002</f>
        <v>0</v>
      </c>
      <c r="N251">
        <f>E251+F251+G251+H251+I251+J251+K251+L251</f>
        <v>0</v>
      </c>
    </row>
    <row r="252" spans="3:14">
      <c r="C252">
        <f>43.18</f>
        <v>0</v>
      </c>
      <c r="D252">
        <f>3.18</f>
        <v>0</v>
      </c>
      <c r="E252">
        <f>E201*-6.023</f>
        <v>0</v>
      </c>
      <c r="F252">
        <f>F201*-2.386</f>
        <v>0</v>
      </c>
      <c r="G252">
        <f>G201*0.446</f>
        <v>0</v>
      </c>
      <c r="H252">
        <f>H201*0.0</f>
        <v>0</v>
      </c>
      <c r="I252">
        <f>I201*-22.868000000000002</f>
        <v>0</v>
      </c>
      <c r="J252">
        <f>J201*50.361999999999995</f>
        <v>0</v>
      </c>
      <c r="K252">
        <f>K201*-37.772</f>
        <v>0</v>
      </c>
      <c r="L252">
        <f>L201*34.69</f>
        <v>0</v>
      </c>
      <c r="M252">
        <f>M201*-32.045</f>
        <v>0</v>
      </c>
      <c r="N252">
        <f>E252+F252+G252+H252+I252+J252+K252+L252</f>
        <v>0</v>
      </c>
    </row>
    <row r="253" spans="3:14">
      <c r="C253">
        <f>44.09</f>
        <v>0</v>
      </c>
      <c r="D253">
        <f>4.09</f>
        <v>0</v>
      </c>
      <c r="E253">
        <f>E201*-8.33</f>
        <v>0</v>
      </c>
      <c r="F253">
        <f>F201*-6.852</f>
        <v>0</v>
      </c>
      <c r="G253">
        <f>G201*-0.27399999999999997</f>
        <v>0</v>
      </c>
      <c r="H253">
        <f>H201*0.0</f>
        <v>0</v>
      </c>
      <c r="I253">
        <f>I201*-45.148</f>
        <v>0</v>
      </c>
      <c r="J253">
        <f>J201*-52.339</f>
        <v>0</v>
      </c>
      <c r="K253">
        <f>K201*39.254</f>
        <v>0</v>
      </c>
      <c r="L253">
        <f>L201*52.286</f>
        <v>0</v>
      </c>
      <c r="M253">
        <f>M201*-49.88399999999999</f>
        <v>0</v>
      </c>
      <c r="N253">
        <f>E253+F253+G253+H253+I253+J253+K253+L253</f>
        <v>0</v>
      </c>
    </row>
    <row r="254" spans="3:14">
      <c r="C254">
        <f>45.0</f>
        <v>0</v>
      </c>
      <c r="D254">
        <f>5.0</f>
        <v>0</v>
      </c>
      <c r="E254">
        <f>E201*-9.084</f>
        <v>0</v>
      </c>
      <c r="F254">
        <f>F201*-8.756</f>
        <v>0</v>
      </c>
      <c r="G254">
        <f>G201*-0.44299999999999995</f>
        <v>0</v>
      </c>
      <c r="H254">
        <f>H201*0.0</f>
        <v>0</v>
      </c>
      <c r="I254">
        <f>I201*-56.961000000000006</f>
        <v>0</v>
      </c>
      <c r="J254">
        <f>J201*144.754</f>
        <v>0</v>
      </c>
      <c r="K254">
        <f>K201*-108.565</f>
        <v>0</v>
      </c>
      <c r="L254">
        <f>L201*70.54899999999999</f>
        <v>0</v>
      </c>
      <c r="M254">
        <f>M201*-66.348</f>
        <v>0</v>
      </c>
      <c r="N254">
        <f>E254+F254+G254+H254+I254+J254+K254+L254</f>
        <v>0</v>
      </c>
    </row>
    <row r="255" spans="3:14">
      <c r="C255">
        <f>46.0</f>
        <v>0</v>
      </c>
      <c r="D255">
        <f>6.0</f>
        <v>0</v>
      </c>
      <c r="E255">
        <f>E201*4.915</f>
        <v>0</v>
      </c>
      <c r="F255">
        <f>F201*-1.324</f>
        <v>0</v>
      </c>
      <c r="G255">
        <f>G201*-0.478</f>
        <v>0</v>
      </c>
      <c r="H255">
        <f>H201*0.0</f>
        <v>0</v>
      </c>
      <c r="I255">
        <f>I201*18.275</f>
        <v>0</v>
      </c>
      <c r="J255">
        <f>J201*112.212</f>
        <v>0</v>
      </c>
      <c r="K255">
        <f>K201*-84.15899999999999</f>
        <v>0</v>
      </c>
      <c r="L255">
        <f>L201*35.702</f>
        <v>0</v>
      </c>
      <c r="M255">
        <f>M201*-43.11</f>
        <v>0</v>
      </c>
      <c r="N255">
        <f>E255+F255+G255+H255+I255+J255+K255+L255</f>
        <v>0</v>
      </c>
    </row>
    <row r="256" spans="3:14">
      <c r="C256">
        <f>47.0</f>
        <v>0</v>
      </c>
      <c r="D256">
        <f>7.0</f>
        <v>0</v>
      </c>
      <c r="E256">
        <f>E201*3.477</f>
        <v>0</v>
      </c>
      <c r="F256">
        <f>F201*-1.3330000000000002</f>
        <v>0</v>
      </c>
      <c r="G256">
        <f>G201*-0.418</f>
        <v>0</v>
      </c>
      <c r="H256">
        <f>H201*0.0</f>
        <v>0</v>
      </c>
      <c r="I256">
        <f>I201*-11.878</f>
        <v>0</v>
      </c>
      <c r="J256">
        <f>J201*-28.574</f>
        <v>0</v>
      </c>
      <c r="K256">
        <f>K201*21.43</f>
        <v>0</v>
      </c>
      <c r="L256">
        <f>L201*28.636999999999997</f>
        <v>0</v>
      </c>
      <c r="M256">
        <f>M201*-29.733</f>
        <v>0</v>
      </c>
      <c r="N256">
        <f>E256+F256+G256+H256+I256+J256+K256+L256</f>
        <v>0</v>
      </c>
    </row>
    <row r="257" spans="3:14">
      <c r="C257">
        <f>48.0</f>
        <v>0</v>
      </c>
      <c r="D257">
        <f>8.0</f>
        <v>0</v>
      </c>
      <c r="E257">
        <f>E201*1.652</f>
        <v>0</v>
      </c>
      <c r="F257">
        <f>F201*-0.7879999999999999</f>
        <v>0</v>
      </c>
      <c r="G257">
        <f>G201*-0.214</f>
        <v>0</v>
      </c>
      <c r="H257">
        <f>H201*0.0</f>
        <v>0</v>
      </c>
      <c r="I257">
        <f>I201*-28.77</f>
        <v>0</v>
      </c>
      <c r="J257">
        <f>J201*-158.27200000000002</f>
        <v>0</v>
      </c>
      <c r="K257">
        <f>K201*118.704</f>
        <v>0</v>
      </c>
      <c r="L257">
        <f>L201*30.288</f>
        <v>0</v>
      </c>
      <c r="M257">
        <f>M201*-29.283</f>
        <v>0</v>
      </c>
      <c r="N257">
        <f>E257+F257+G257+H257+I257+J257+K257+L257</f>
        <v>0</v>
      </c>
    </row>
    <row r="258" spans="3:14">
      <c r="C258">
        <f>49.0</f>
        <v>0</v>
      </c>
      <c r="D258">
        <f>9.0</f>
        <v>0</v>
      </c>
      <c r="E258">
        <f>E201*0.223</f>
        <v>0</v>
      </c>
      <c r="F258">
        <f>F201*-0.645</f>
        <v>0</v>
      </c>
      <c r="G258">
        <f>G201*-0.048</f>
        <v>0</v>
      </c>
      <c r="H258">
        <f>H201*0.0</f>
        <v>0</v>
      </c>
      <c r="I258">
        <f>I201*-38.02</f>
        <v>0</v>
      </c>
      <c r="J258">
        <f>J201*-307.065</f>
        <v>0</v>
      </c>
      <c r="K258">
        <f>K201*230.298</f>
        <v>0</v>
      </c>
      <c r="L258">
        <f>L201*37.935</f>
        <v>0</v>
      </c>
      <c r="M258">
        <f>M201*-33.195</f>
        <v>0</v>
      </c>
      <c r="N258">
        <f>E258+F258+G258+H258+I258+J258+K258+L258</f>
        <v>0</v>
      </c>
    </row>
    <row r="259" spans="3:14">
      <c r="C259">
        <f>50.0</f>
        <v>0</v>
      </c>
      <c r="D259">
        <f>10.0</f>
        <v>0</v>
      </c>
      <c r="E259">
        <f>E201*1.633</f>
        <v>0</v>
      </c>
      <c r="F259">
        <f>F201*-1.4080000000000001</f>
        <v>0</v>
      </c>
      <c r="G259">
        <f>G201*-0.145</f>
        <v>0</v>
      </c>
      <c r="H259">
        <f>H201*0.0</f>
        <v>0</v>
      </c>
      <c r="I259">
        <f>I201*-21.465</f>
        <v>0</v>
      </c>
      <c r="J259">
        <f>J201*-389.592</f>
        <v>0</v>
      </c>
      <c r="K259">
        <f>K201*292.194</f>
        <v>0</v>
      </c>
      <c r="L259">
        <f>L201*37.53</f>
        <v>0</v>
      </c>
      <c r="M259">
        <f>M201*-46.772</f>
        <v>0</v>
      </c>
      <c r="N259">
        <f>E259+F259+G259+H259+I259+J259+K259+L259</f>
        <v>0</v>
      </c>
    </row>
    <row r="266" spans="3:14">
      <c r="C266" t="s">
        <v>0</v>
      </c>
      <c r="D266" t="s">
        <v>1</v>
      </c>
      <c r="E266" t="s">
        <v>2</v>
      </c>
      <c r="F266" t="s">
        <v>3</v>
      </c>
      <c r="G266" t="s">
        <v>4</v>
      </c>
      <c r="H266" t="s">
        <v>5</v>
      </c>
      <c r="I266" t="s">
        <v>6</v>
      </c>
      <c r="J266" t="s">
        <v>7</v>
      </c>
      <c r="K266" t="s">
        <v>8</v>
      </c>
      <c r="L266" t="s">
        <v>9</v>
      </c>
      <c r="M266" t="s">
        <v>10</v>
      </c>
      <c r="N266" t="s">
        <v>11</v>
      </c>
    </row>
    <row r="267" spans="3:14">
      <c r="C267">
        <f>0.0</f>
        <v>0</v>
      </c>
      <c r="D267">
        <f>0.0</f>
        <v>0</v>
      </c>
      <c r="E267">
        <f>E265*21.038</f>
        <v>0</v>
      </c>
      <c r="F267">
        <f>F265*-55.31</f>
        <v>0</v>
      </c>
      <c r="G267">
        <f>G265*-9.754</f>
        <v>0</v>
      </c>
      <c r="H267">
        <f>H265*0.0</f>
        <v>0</v>
      </c>
      <c r="I267">
        <f>I265*-0.057</f>
        <v>0</v>
      </c>
      <c r="J267">
        <f>J265*-107.11</f>
        <v>0</v>
      </c>
      <c r="K267">
        <f>K265*80.333</f>
        <v>0</v>
      </c>
      <c r="L267">
        <f>L265*161.125</f>
        <v>0</v>
      </c>
      <c r="M267">
        <f>M265*-256.52</f>
        <v>0</v>
      </c>
      <c r="N267">
        <f>E267+F267+G267+H267+I267+J267+K267+L267</f>
        <v>0</v>
      </c>
    </row>
    <row r="268" spans="3:14">
      <c r="C268">
        <f>1.0</f>
        <v>0</v>
      </c>
      <c r="D268">
        <f>1.0</f>
        <v>0</v>
      </c>
      <c r="E268">
        <f>E265*19.898</f>
        <v>0</v>
      </c>
      <c r="F268">
        <f>F265*-93.40899999999999</f>
        <v>0</v>
      </c>
      <c r="G268">
        <f>G265*-15.027000000000001</f>
        <v>0</v>
      </c>
      <c r="H268">
        <f>H265*0.0</f>
        <v>0</v>
      </c>
      <c r="I268">
        <f>I265*-0.057</f>
        <v>0</v>
      </c>
      <c r="J268">
        <f>J265*67.163</f>
        <v>0</v>
      </c>
      <c r="K268">
        <f>K265*-50.372</f>
        <v>0</v>
      </c>
      <c r="L268">
        <f>L265*158.766</f>
        <v>0</v>
      </c>
      <c r="M268">
        <f>M265*-287.289</f>
        <v>0</v>
      </c>
      <c r="N268">
        <f>E268+F268+G268+H268+I268+J268+K268+L268</f>
        <v>0</v>
      </c>
    </row>
    <row r="269" spans="3:14">
      <c r="C269">
        <f>2.0</f>
        <v>0</v>
      </c>
      <c r="D269">
        <f>2.0</f>
        <v>0</v>
      </c>
      <c r="E269">
        <f>E265*12.38</f>
        <v>0</v>
      </c>
      <c r="F269">
        <f>F265*-141.613</f>
        <v>0</v>
      </c>
      <c r="G269">
        <f>G265*-21.651</f>
        <v>0</v>
      </c>
      <c r="H269">
        <f>H265*0.0</f>
        <v>0</v>
      </c>
      <c r="I269">
        <f>I265*-0.055</f>
        <v>0</v>
      </c>
      <c r="J269">
        <f>J265*213.882</f>
        <v>0</v>
      </c>
      <c r="K269">
        <f>K265*-160.412</f>
        <v>0</v>
      </c>
      <c r="L269">
        <f>L265*129.296</f>
        <v>0</v>
      </c>
      <c r="M269">
        <f>M265*-330.69699999999995</f>
        <v>0</v>
      </c>
      <c r="N269">
        <f>E269+F269+G269+H269+I269+J269+K269+L269</f>
        <v>0</v>
      </c>
    </row>
    <row r="270" spans="3:14">
      <c r="C270">
        <f>3.0</f>
        <v>0</v>
      </c>
      <c r="D270">
        <f>3.0</f>
        <v>0</v>
      </c>
      <c r="E270">
        <f>E265*-5.917999999999999</f>
        <v>0</v>
      </c>
      <c r="F270">
        <f>F265*-199.548</f>
        <v>0</v>
      </c>
      <c r="G270">
        <f>G265*-29.484</f>
        <v>0</v>
      </c>
      <c r="H270">
        <f>H265*0.0</f>
        <v>0</v>
      </c>
      <c r="I270">
        <f>I265*-0.054000000000000006</f>
        <v>0</v>
      </c>
      <c r="J270">
        <f>J265*251.898</f>
        <v>0</v>
      </c>
      <c r="K270">
        <f>K265*-188.923</f>
        <v>0</v>
      </c>
      <c r="L270">
        <f>L265*104.24600000000001</f>
        <v>0</v>
      </c>
      <c r="M270">
        <f>M265*-379.594</f>
        <v>0</v>
      </c>
      <c r="N270">
        <f>E270+F270+G270+H270+I270+J270+K270+L270</f>
        <v>0</v>
      </c>
    </row>
    <row r="271" spans="3:14">
      <c r="C271">
        <f>4.0</f>
        <v>0</v>
      </c>
      <c r="D271">
        <f>4.0</f>
        <v>0</v>
      </c>
      <c r="E271">
        <f>E265*-19.499000000000002</f>
        <v>0</v>
      </c>
      <c r="F271">
        <f>F265*-255.72099999999998</f>
        <v>0</v>
      </c>
      <c r="G271">
        <f>G265*-36.899</f>
        <v>0</v>
      </c>
      <c r="H271">
        <f>H265*0.0</f>
        <v>0</v>
      </c>
      <c r="I271">
        <f>I265*-0.053</f>
        <v>0</v>
      </c>
      <c r="J271">
        <f>J265*242.864</f>
        <v>0</v>
      </c>
      <c r="K271">
        <f>K265*-182.148</f>
        <v>0</v>
      </c>
      <c r="L271">
        <f>L265*76.54</f>
        <v>0</v>
      </c>
      <c r="M271">
        <f>M265*-417.92400000000004</f>
        <v>0</v>
      </c>
      <c r="N271">
        <f>E271+F271+G271+H271+I271+J271+K271+L271</f>
        <v>0</v>
      </c>
    </row>
    <row r="272" spans="3:14">
      <c r="C272">
        <f>5.0</f>
        <v>0</v>
      </c>
      <c r="D272">
        <f>5.0</f>
        <v>0</v>
      </c>
      <c r="E272">
        <f>E265*-27.322</f>
        <v>0</v>
      </c>
      <c r="F272">
        <f>F265*-289.725</f>
        <v>0</v>
      </c>
      <c r="G272">
        <f>G265*-41.483999999999995</f>
        <v>0</v>
      </c>
      <c r="H272">
        <f>H265*0.0</f>
        <v>0</v>
      </c>
      <c r="I272">
        <f>I265*-0.052000000000000005</f>
        <v>0</v>
      </c>
      <c r="J272">
        <f>J265*223.542</f>
        <v>0</v>
      </c>
      <c r="K272">
        <f>K265*-167.65599999999998</f>
        <v>0</v>
      </c>
      <c r="L272">
        <f>L265*52.419</f>
        <v>0</v>
      </c>
      <c r="M272">
        <f>M265*-444.0</f>
        <v>0</v>
      </c>
      <c r="N272">
        <f>E272+F272+G272+H272+I272+J272+K272+L272</f>
        <v>0</v>
      </c>
    </row>
    <row r="273" spans="3:14">
      <c r="C273">
        <f>6.0</f>
        <v>0</v>
      </c>
      <c r="D273">
        <f>6.0</f>
        <v>0</v>
      </c>
      <c r="E273">
        <f>E265*-31.374000000000002</f>
        <v>0</v>
      </c>
      <c r="F273">
        <f>F265*-323.284</f>
        <v>0</v>
      </c>
      <c r="G273">
        <f>G265*-46.298</f>
        <v>0</v>
      </c>
      <c r="H273">
        <f>H265*0.0</f>
        <v>0</v>
      </c>
      <c r="I273">
        <f>I265*-0.05</f>
        <v>0</v>
      </c>
      <c r="J273">
        <f>J265*278.92</f>
        <v>0</v>
      </c>
      <c r="K273">
        <f>K265*-209.19</f>
        <v>0</v>
      </c>
      <c r="L273">
        <f>L265*41.636</f>
        <v>0</v>
      </c>
      <c r="M273">
        <f>M265*-482.694</f>
        <v>0</v>
      </c>
      <c r="N273">
        <f>E273+F273+G273+H273+I273+J273+K273+L273</f>
        <v>0</v>
      </c>
    </row>
    <row r="274" spans="3:14">
      <c r="C274">
        <f>7.0</f>
        <v>0</v>
      </c>
      <c r="D274">
        <f>7.0</f>
        <v>0</v>
      </c>
      <c r="E274">
        <f>E265*-34.47</f>
        <v>0</v>
      </c>
      <c r="F274">
        <f>F265*-353.785</f>
        <v>0</v>
      </c>
      <c r="G274">
        <f>G265*-50.722</f>
        <v>0</v>
      </c>
      <c r="H274">
        <f>H265*0.0</f>
        <v>0</v>
      </c>
      <c r="I274">
        <f>I265*-0.05</f>
        <v>0</v>
      </c>
      <c r="J274">
        <f>J265*328.184</f>
        <v>0</v>
      </c>
      <c r="K274">
        <f>K265*-246.138</f>
        <v>0</v>
      </c>
      <c r="L274">
        <f>L265*35.374</f>
        <v>0</v>
      </c>
      <c r="M274">
        <f>M265*-516.691</f>
        <v>0</v>
      </c>
      <c r="N274">
        <f>E274+F274+G274+H274+I274+J274+K274+L274</f>
        <v>0</v>
      </c>
    </row>
    <row r="275" spans="3:14">
      <c r="C275">
        <f>8.0</f>
        <v>0</v>
      </c>
      <c r="D275">
        <f>8.0</f>
        <v>0</v>
      </c>
      <c r="E275">
        <f>E265*-38.853</f>
        <v>0</v>
      </c>
      <c r="F275">
        <f>F265*-363.847</f>
        <v>0</v>
      </c>
      <c r="G275">
        <f>G265*-51.913000000000004</f>
        <v>0</v>
      </c>
      <c r="H275">
        <f>H265*0.0</f>
        <v>0</v>
      </c>
      <c r="I275">
        <f>I265*-0.05</f>
        <v>0</v>
      </c>
      <c r="J275">
        <f>J265*335.541</f>
        <v>0</v>
      </c>
      <c r="K275">
        <f>K265*-251.65599999999998</f>
        <v>0</v>
      </c>
      <c r="L275">
        <f>L265*31.081</f>
        <v>0</v>
      </c>
      <c r="M275">
        <f>M265*-520.446</f>
        <v>0</v>
      </c>
      <c r="N275">
        <f>E275+F275+G275+H275+I275+J275+K275+L275</f>
        <v>0</v>
      </c>
    </row>
    <row r="276" spans="3:14">
      <c r="C276">
        <f>9.0</f>
        <v>0</v>
      </c>
      <c r="D276">
        <f>9.0</f>
        <v>0</v>
      </c>
      <c r="E276">
        <f>E265*-45.068000000000005</f>
        <v>0</v>
      </c>
      <c r="F276">
        <f>F265*-365.912</f>
        <v>0</v>
      </c>
      <c r="G276">
        <f>G265*-51.784</f>
        <v>0</v>
      </c>
      <c r="H276">
        <f>H265*0.0</f>
        <v>0</v>
      </c>
      <c r="I276">
        <f>I265*-0.052000000000000005</f>
        <v>0</v>
      </c>
      <c r="J276">
        <f>J265*319.94</f>
        <v>0</v>
      </c>
      <c r="K276">
        <f>K265*-239.955</f>
        <v>0</v>
      </c>
      <c r="L276">
        <f>L265*25.178</f>
        <v>0</v>
      </c>
      <c r="M276">
        <f>M265*-514.773</f>
        <v>0</v>
      </c>
      <c r="N276">
        <f>E276+F276+G276+H276+I276+J276+K276+L276</f>
        <v>0</v>
      </c>
    </row>
    <row r="277" spans="3:14">
      <c r="C277">
        <f>10.0</f>
        <v>0</v>
      </c>
      <c r="D277">
        <f>10.0</f>
        <v>0</v>
      </c>
      <c r="E277">
        <f>E265*-46.655</f>
        <v>0</v>
      </c>
      <c r="F277">
        <f>F265*-363.73400000000004</f>
        <v>0</v>
      </c>
      <c r="G277">
        <f>G265*-51.36</f>
        <v>0</v>
      </c>
      <c r="H277">
        <f>H265*0.0</f>
        <v>0</v>
      </c>
      <c r="I277">
        <f>I265*-0.053</f>
        <v>0</v>
      </c>
      <c r="J277">
        <f>J265*300.3</f>
        <v>0</v>
      </c>
      <c r="K277">
        <f>K265*-225.225</f>
        <v>0</v>
      </c>
      <c r="L277">
        <f>L265*25.834</f>
        <v>0</v>
      </c>
      <c r="M277">
        <f>M265*-509.519</f>
        <v>0</v>
      </c>
      <c r="N277">
        <f>E277+F277+G277+H277+I277+J277+K277+L277</f>
        <v>0</v>
      </c>
    </row>
    <row r="278" spans="3:14">
      <c r="C278">
        <f>11.0</f>
        <v>0</v>
      </c>
      <c r="D278">
        <f>11.0</f>
        <v>0</v>
      </c>
      <c r="E278">
        <f>E265*-45.035</f>
        <v>0</v>
      </c>
      <c r="F278">
        <f>F265*-356.651</f>
        <v>0</v>
      </c>
      <c r="G278">
        <f>G265*-50.446999999999996</f>
        <v>0</v>
      </c>
      <c r="H278">
        <f>H265*0.0</f>
        <v>0</v>
      </c>
      <c r="I278">
        <f>I265*-0.055</f>
        <v>0</v>
      </c>
      <c r="J278">
        <f>J265*332.36199999999997</f>
        <v>0</v>
      </c>
      <c r="K278">
        <f>K265*-249.27200000000002</f>
        <v>0</v>
      </c>
      <c r="L278">
        <f>L265*27.775</f>
        <v>0</v>
      </c>
      <c r="M278">
        <f>M265*-500.848</f>
        <v>0</v>
      </c>
      <c r="N278">
        <f>E278+F278+G278+H278+I278+J278+K278+L278</f>
        <v>0</v>
      </c>
    </row>
    <row r="279" spans="3:14">
      <c r="C279">
        <f>12.0</f>
        <v>0</v>
      </c>
      <c r="D279">
        <f>12.0</f>
        <v>0</v>
      </c>
      <c r="E279">
        <f>E265*-39.071999999999996</f>
        <v>0</v>
      </c>
      <c r="F279">
        <f>F265*-342.915</f>
        <v>0</v>
      </c>
      <c r="G279">
        <f>G265*-48.875</f>
        <v>0</v>
      </c>
      <c r="H279">
        <f>H265*0.0</f>
        <v>0</v>
      </c>
      <c r="I279">
        <f>I265*-0.057999999999999996</f>
        <v>0</v>
      </c>
      <c r="J279">
        <f>J265*361.816</f>
        <v>0</v>
      </c>
      <c r="K279">
        <f>K265*-271.362</f>
        <v>0</v>
      </c>
      <c r="L279">
        <f>L265*29.07</f>
        <v>0</v>
      </c>
      <c r="M279">
        <f>M265*-488.97</f>
        <v>0</v>
      </c>
      <c r="N279">
        <f>E279+F279+G279+H279+I279+J279+K279+L279</f>
        <v>0</v>
      </c>
    </row>
    <row r="280" spans="3:14">
      <c r="C280">
        <f>13.0</f>
        <v>0</v>
      </c>
      <c r="D280">
        <f>13.0</f>
        <v>0</v>
      </c>
      <c r="E280">
        <f>E265*-35.476</f>
        <v>0</v>
      </c>
      <c r="F280">
        <f>F265*-322.296</f>
        <v>0</v>
      </c>
      <c r="G280">
        <f>G265*-46.103</f>
        <v>0</v>
      </c>
      <c r="H280">
        <f>H265*0.0</f>
        <v>0</v>
      </c>
      <c r="I280">
        <f>I265*-0.06</f>
        <v>0</v>
      </c>
      <c r="J280">
        <f>J265*363.79400000000004</f>
        <v>0</v>
      </c>
      <c r="K280">
        <f>K265*-272.846</f>
        <v>0</v>
      </c>
      <c r="L280">
        <f>L265*31.479</f>
        <v>0</v>
      </c>
      <c r="M280">
        <f>M265*-467.37199999999996</f>
        <v>0</v>
      </c>
      <c r="N280">
        <f>E280+F280+G280+H280+I280+J280+K280+L280</f>
        <v>0</v>
      </c>
    </row>
    <row r="281" spans="3:14">
      <c r="C281">
        <f>14.0</f>
        <v>0</v>
      </c>
      <c r="D281">
        <f>14.0</f>
        <v>0</v>
      </c>
      <c r="E281">
        <f>E265*-33.951</f>
        <v>0</v>
      </c>
      <c r="F281">
        <f>F265*-282.78</f>
        <v>0</v>
      </c>
      <c r="G281">
        <f>G265*-40.248000000000005</f>
        <v>0</v>
      </c>
      <c r="H281">
        <f>H265*0.0</f>
        <v>0</v>
      </c>
      <c r="I281">
        <f>I265*-0.059000000000000004</f>
        <v>0</v>
      </c>
      <c r="J281">
        <f>J265*340.901</f>
        <v>0</v>
      </c>
      <c r="K281">
        <f>K265*-255.676</f>
        <v>0</v>
      </c>
      <c r="L281">
        <f>L265*30.647</f>
        <v>0</v>
      </c>
      <c r="M281">
        <f>M265*-410.726</f>
        <v>0</v>
      </c>
      <c r="N281">
        <f>E281+F281+G281+H281+I281+J281+K281+L281</f>
        <v>0</v>
      </c>
    </row>
    <row r="282" spans="3:14">
      <c r="C282">
        <f>15.0</f>
        <v>0</v>
      </c>
      <c r="D282">
        <f>15.0</f>
        <v>0</v>
      </c>
      <c r="E282">
        <f>E265*-32.079</f>
        <v>0</v>
      </c>
      <c r="F282">
        <f>F265*-242.055</f>
        <v>0</v>
      </c>
      <c r="G282">
        <f>G265*-34.232</f>
        <v>0</v>
      </c>
      <c r="H282">
        <f>H265*0.0</f>
        <v>0</v>
      </c>
      <c r="I282">
        <f>I265*-0.061</f>
        <v>0</v>
      </c>
      <c r="J282">
        <f>J265*321.41</f>
        <v>0</v>
      </c>
      <c r="K282">
        <f>K265*-241.058</f>
        <v>0</v>
      </c>
      <c r="L282">
        <f>L265*31.775</f>
        <v>0</v>
      </c>
      <c r="M282">
        <f>M265*-347.381</f>
        <v>0</v>
      </c>
      <c r="N282">
        <f>E282+F282+G282+H282+I282+J282+K282+L282</f>
        <v>0</v>
      </c>
    </row>
    <row r="283" spans="3:14">
      <c r="C283">
        <f>15.91</f>
        <v>0</v>
      </c>
      <c r="D283">
        <f>15.91</f>
        <v>0</v>
      </c>
      <c r="E283">
        <f>E265*-26.445</f>
        <v>0</v>
      </c>
      <c r="F283">
        <f>F265*-200.128</f>
        <v>0</v>
      </c>
      <c r="G283">
        <f>G265*-28.368000000000002</f>
        <v>0</v>
      </c>
      <c r="H283">
        <f>H265*0.0</f>
        <v>0</v>
      </c>
      <c r="I283">
        <f>I265*-0.062</f>
        <v>0</v>
      </c>
      <c r="J283">
        <f>J265*351.936</f>
        <v>0</v>
      </c>
      <c r="K283">
        <f>K265*-263.952</f>
        <v>0</v>
      </c>
      <c r="L283">
        <f>L265*34.332</f>
        <v>0</v>
      </c>
      <c r="M283">
        <f>M265*-291.656</f>
        <v>0</v>
      </c>
      <c r="N283">
        <f>E283+F283+G283+H283+I283+J283+K283+L283</f>
        <v>0</v>
      </c>
    </row>
    <row r="284" spans="3:14">
      <c r="C284">
        <f>16.82</f>
        <v>0</v>
      </c>
      <c r="D284">
        <f>16.82</f>
        <v>0</v>
      </c>
      <c r="E284">
        <f>E265*-15.2</f>
        <v>0</v>
      </c>
      <c r="F284">
        <f>F265*-138.143</f>
        <v>0</v>
      </c>
      <c r="G284">
        <f>G265*-19.977</f>
        <v>0</v>
      </c>
      <c r="H284">
        <f>H265*0.0</f>
        <v>0</v>
      </c>
      <c r="I284">
        <f>I265*-0.061</f>
        <v>0</v>
      </c>
      <c r="J284">
        <f>J265*377.654</f>
        <v>0</v>
      </c>
      <c r="K284">
        <f>K265*-283.24</f>
        <v>0</v>
      </c>
      <c r="L284">
        <f>L265*34.944</f>
        <v>0</v>
      </c>
      <c r="M284">
        <f>M265*-214.62400000000002</f>
        <v>0</v>
      </c>
      <c r="N284">
        <f>E284+F284+G284+H284+I284+J284+K284+L284</f>
        <v>0</v>
      </c>
    </row>
    <row r="285" spans="3:14">
      <c r="C285">
        <f>17.73</f>
        <v>0</v>
      </c>
      <c r="D285">
        <f>17.73</f>
        <v>0</v>
      </c>
      <c r="E285">
        <f>E265*-7.4639999999999995</f>
        <v>0</v>
      </c>
      <c r="F285">
        <f>F265*-90.29899999999999</f>
        <v>0</v>
      </c>
      <c r="G285">
        <f>G265*-13.354000000000001</f>
        <v>0</v>
      </c>
      <c r="H285">
        <f>H265*0.0</f>
        <v>0</v>
      </c>
      <c r="I285">
        <f>I265*-0.054000000000000006</f>
        <v>0</v>
      </c>
      <c r="J285">
        <f>J265*370.296</f>
        <v>0</v>
      </c>
      <c r="K285">
        <f>K265*-277.722</f>
        <v>0</v>
      </c>
      <c r="L285">
        <f>L265*32.198</f>
        <v>0</v>
      </c>
      <c r="M285">
        <f>M265*-149.155</f>
        <v>0</v>
      </c>
      <c r="N285">
        <f>E285+F285+G285+H285+I285+J285+K285+L285</f>
        <v>0</v>
      </c>
    </row>
    <row r="286" spans="3:14">
      <c r="C286">
        <f>18.64</f>
        <v>0</v>
      </c>
      <c r="D286">
        <f>18.64</f>
        <v>0</v>
      </c>
      <c r="E286">
        <f>E265*-3.653</f>
        <v>0</v>
      </c>
      <c r="F286">
        <f>F265*-57.578</f>
        <v>0</v>
      </c>
      <c r="G286">
        <f>G265*-8.636000000000001</f>
        <v>0</v>
      </c>
      <c r="H286">
        <f>H265*0.0</f>
        <v>0</v>
      </c>
      <c r="I286">
        <f>I265*-0.034</f>
        <v>0</v>
      </c>
      <c r="J286">
        <f>J265*312.492</f>
        <v>0</v>
      </c>
      <c r="K286">
        <f>K265*-234.36900000000003</f>
        <v>0</v>
      </c>
      <c r="L286">
        <f>L265*23.357</f>
        <v>0</v>
      </c>
      <c r="M286">
        <f>M265*-98.665</f>
        <v>0</v>
      </c>
      <c r="N286">
        <f>E286+F286+G286+H286+I286+J286+K286+L286</f>
        <v>0</v>
      </c>
    </row>
    <row r="287" spans="3:14">
      <c r="C287">
        <f>19.55</f>
        <v>0</v>
      </c>
      <c r="D287">
        <f>19.55</f>
        <v>0</v>
      </c>
      <c r="E287">
        <f>E265*-1.185</f>
        <v>0</v>
      </c>
      <c r="F287">
        <f>F265*-14.287</f>
        <v>0</v>
      </c>
      <c r="G287">
        <f>G265*-2.112</f>
        <v>0</v>
      </c>
      <c r="H287">
        <f>H265*0.0</f>
        <v>0</v>
      </c>
      <c r="I287">
        <f>I265*-0.01</f>
        <v>0</v>
      </c>
      <c r="J287">
        <f>J265*234.59599999999998</f>
        <v>0</v>
      </c>
      <c r="K287">
        <f>K265*-175.947</f>
        <v>0</v>
      </c>
      <c r="L287">
        <f>L265*12.713</f>
        <v>0</v>
      </c>
      <c r="M287">
        <f>M265*-27.814</f>
        <v>0</v>
      </c>
      <c r="N287">
        <f>E287+F287+G287+H287+I287+J287+K287+L287</f>
        <v>0</v>
      </c>
    </row>
    <row r="288" spans="3:14">
      <c r="C288">
        <f>20.0</f>
        <v>0</v>
      </c>
      <c r="D288">
        <f>20.0</f>
        <v>0</v>
      </c>
      <c r="E288">
        <f>E265*-1.185</f>
        <v>0</v>
      </c>
      <c r="F288">
        <f>F265*-14.287</f>
        <v>0</v>
      </c>
      <c r="G288">
        <f>G265*-2.112</f>
        <v>0</v>
      </c>
      <c r="H288">
        <f>H265*0.0</f>
        <v>0</v>
      </c>
      <c r="I288">
        <f>I265*-0.0032979999999999997</f>
        <v>0</v>
      </c>
      <c r="J288">
        <f>J265*204.148</f>
        <v>0</v>
      </c>
      <c r="K288">
        <f>K265*-153.111</f>
        <v>0</v>
      </c>
      <c r="L288">
        <f>L265*8.846</f>
        <v>0</v>
      </c>
      <c r="M288">
        <f>M265*-24.316</f>
        <v>0</v>
      </c>
      <c r="N288">
        <f>E288+F288+G288+H288+I288+J288+K288+L288</f>
        <v>0</v>
      </c>
    </row>
    <row r="289" spans="3:14">
      <c r="C289">
        <f>20.0</f>
        <v>0</v>
      </c>
      <c r="D289">
        <f>0.0</f>
        <v>0</v>
      </c>
      <c r="E289">
        <f>E265*-1.412</f>
        <v>0</v>
      </c>
      <c r="F289">
        <f>F265*-11.868</f>
        <v>0</v>
      </c>
      <c r="G289">
        <f>G265*-1.7480000000000002</f>
        <v>0</v>
      </c>
      <c r="H289">
        <f>H265*0.0</f>
        <v>0</v>
      </c>
      <c r="I289">
        <f>I265*0.284</f>
        <v>0</v>
      </c>
      <c r="J289">
        <f>J265*208.505</f>
        <v>0</v>
      </c>
      <c r="K289">
        <f>K265*-156.379</f>
        <v>0</v>
      </c>
      <c r="L289">
        <f>L265*4.235</f>
        <v>0</v>
      </c>
      <c r="M289">
        <f>M265*-24.018</f>
        <v>0</v>
      </c>
      <c r="N289">
        <f>E289+F289+G289+H289+I289+J289+K289+L289</f>
        <v>0</v>
      </c>
    </row>
    <row r="290" spans="3:14">
      <c r="C290">
        <f>20.45</f>
        <v>0</v>
      </c>
      <c r="D290">
        <f>0.45</f>
        <v>0</v>
      </c>
      <c r="E290">
        <f>E265*2.35</f>
        <v>0</v>
      </c>
      <c r="F290">
        <f>F265*-30.138</f>
        <v>0</v>
      </c>
      <c r="G290">
        <f>G265*-4.65</f>
        <v>0</v>
      </c>
      <c r="H290">
        <f>H265*0.0</f>
        <v>0</v>
      </c>
      <c r="I290">
        <f>I265*-2.088</f>
        <v>0</v>
      </c>
      <c r="J290">
        <f>J265*208.505</f>
        <v>0</v>
      </c>
      <c r="K290">
        <f>K265*-156.379</f>
        <v>0</v>
      </c>
      <c r="L290">
        <f>L265*55.881</f>
        <v>0</v>
      </c>
      <c r="M290">
        <f>M265*-94.55799999999999</f>
        <v>0</v>
      </c>
      <c r="N290">
        <f>E290+F290+G290+H290+I290+J290+K290+L290</f>
        <v>0</v>
      </c>
    </row>
    <row r="291" spans="3:14">
      <c r="C291">
        <f>21.36</f>
        <v>0</v>
      </c>
      <c r="D291">
        <f>1.36</f>
        <v>0</v>
      </c>
      <c r="E291">
        <f>E265*3.0210000000000004</f>
        <v>0</v>
      </c>
      <c r="F291">
        <f>F265*-70.118</f>
        <v>0</v>
      </c>
      <c r="G291">
        <f>G265*-10.585999999999999</f>
        <v>0</v>
      </c>
      <c r="H291">
        <f>H265*0.0</f>
        <v>0</v>
      </c>
      <c r="I291">
        <f>I265*-1.806</f>
        <v>0</v>
      </c>
      <c r="J291">
        <f>J265*276.601</f>
        <v>0</v>
      </c>
      <c r="K291">
        <f>K265*-207.45</f>
        <v>0</v>
      </c>
      <c r="L291">
        <f>L265*48.958999999999996</f>
        <v>0</v>
      </c>
      <c r="M291">
        <f>M265*-134.11700000000002</f>
        <v>0</v>
      </c>
      <c r="N291">
        <f>E291+F291+G291+H291+I291+J291+K291+L291</f>
        <v>0</v>
      </c>
    </row>
    <row r="292" spans="3:14">
      <c r="C292">
        <f>22.27</f>
        <v>0</v>
      </c>
      <c r="D292">
        <f>2.27</f>
        <v>0</v>
      </c>
      <c r="E292">
        <f>E265*-4.856</f>
        <v>0</v>
      </c>
      <c r="F292">
        <f>F265*-98.788</f>
        <v>0</v>
      </c>
      <c r="G292">
        <f>G265*-14.727</f>
        <v>0</v>
      </c>
      <c r="H292">
        <f>H265*0.0</f>
        <v>0</v>
      </c>
      <c r="I292">
        <f>I265*-0.995</f>
        <v>0</v>
      </c>
      <c r="J292">
        <f>J265*335.69599999999997</f>
        <v>0</v>
      </c>
      <c r="K292">
        <f>K265*-251.77200000000002</f>
        <v>0</v>
      </c>
      <c r="L292">
        <f>L265*26.361</f>
        <v>0</v>
      </c>
      <c r="M292">
        <f>M265*-165.53799999999998</f>
        <v>0</v>
      </c>
      <c r="N292">
        <f>E292+F292+G292+H292+I292+J292+K292+L292</f>
        <v>0</v>
      </c>
    </row>
    <row r="293" spans="3:14">
      <c r="C293">
        <f>23.18</f>
        <v>0</v>
      </c>
      <c r="D293">
        <f>3.18</f>
        <v>0</v>
      </c>
      <c r="E293">
        <f>E265*-12.4</f>
        <v>0</v>
      </c>
      <c r="F293">
        <f>F265*-142.041</f>
        <v>0</v>
      </c>
      <c r="G293">
        <f>G265*-20.698</f>
        <v>0</v>
      </c>
      <c r="H293">
        <f>H265*0.0</f>
        <v>0</v>
      </c>
      <c r="I293">
        <f>I265*0.32799999999999996</f>
        <v>0</v>
      </c>
      <c r="J293">
        <f>J265*343.531</f>
        <v>0</v>
      </c>
      <c r="K293">
        <f>K265*-257.64799999999997</f>
        <v>0</v>
      </c>
      <c r="L293">
        <f>L265*23.241</f>
        <v>0</v>
      </c>
      <c r="M293">
        <f>M265*-219.487</f>
        <v>0</v>
      </c>
      <c r="N293">
        <f>E293+F293+G293+H293+I293+J293+K293+L293</f>
        <v>0</v>
      </c>
    </row>
    <row r="294" spans="3:14">
      <c r="C294">
        <f>24.09</f>
        <v>0</v>
      </c>
      <c r="D294">
        <f>4.09</f>
        <v>0</v>
      </c>
      <c r="E294">
        <f>E265*-23.359</f>
        <v>0</v>
      </c>
      <c r="F294">
        <f>F265*-198.928</f>
        <v>0</v>
      </c>
      <c r="G294">
        <f>G265*-28.366999999999997</f>
        <v>0</v>
      </c>
      <c r="H294">
        <f>H265*0.0</f>
        <v>0</v>
      </c>
      <c r="I294">
        <f>I265*1.368</f>
        <v>0</v>
      </c>
      <c r="J294">
        <f>J265*318.36</f>
        <v>0</v>
      </c>
      <c r="K294">
        <f>K265*-238.77</f>
        <v>0</v>
      </c>
      <c r="L294">
        <f>L265*20.913</f>
        <v>0</v>
      </c>
      <c r="M294">
        <f>M265*-283.467</f>
        <v>0</v>
      </c>
      <c r="N294">
        <f>E294+F294+G294+H294+I294+J294+K294+L294</f>
        <v>0</v>
      </c>
    </row>
    <row r="295" spans="3:14">
      <c r="C295">
        <f>25.0</f>
        <v>0</v>
      </c>
      <c r="D295">
        <f>5.0</f>
        <v>0</v>
      </c>
      <c r="E295">
        <f>E265*-28.787</f>
        <v>0</v>
      </c>
      <c r="F295">
        <f>F265*-235.655</f>
        <v>0</v>
      </c>
      <c r="G295">
        <f>G265*-33.497</f>
        <v>0</v>
      </c>
      <c r="H295">
        <f>H265*0.0</f>
        <v>0</v>
      </c>
      <c r="I295">
        <f>I265*2.5639999999999996</f>
        <v>0</v>
      </c>
      <c r="J295">
        <f>J265*288.499</f>
        <v>0</v>
      </c>
      <c r="K295">
        <f>K265*-216.37400000000002</f>
        <v>0</v>
      </c>
      <c r="L295">
        <f>L265*18.44</f>
        <v>0</v>
      </c>
      <c r="M295">
        <f>M265*-329.22900000000004</f>
        <v>0</v>
      </c>
      <c r="N295">
        <f>E295+F295+G295+H295+I295+J295+K295+L295</f>
        <v>0</v>
      </c>
    </row>
    <row r="296" spans="3:14">
      <c r="C296">
        <f>26.0</f>
        <v>0</v>
      </c>
      <c r="D296">
        <f>6.0</f>
        <v>0</v>
      </c>
      <c r="E296">
        <f>E265*-30.522</f>
        <v>0</v>
      </c>
      <c r="F296">
        <f>F265*-270.286</f>
        <v>0</v>
      </c>
      <c r="G296">
        <f>G265*-38.643</f>
        <v>0</v>
      </c>
      <c r="H296">
        <f>H265*0.0</f>
        <v>0</v>
      </c>
      <c r="I296">
        <f>I265*4.015</f>
        <v>0</v>
      </c>
      <c r="J296">
        <f>J265*310.824</f>
        <v>0</v>
      </c>
      <c r="K296">
        <f>K265*-233.118</f>
        <v>0</v>
      </c>
      <c r="L296">
        <f>L265*17.535999999999998</f>
        <v>0</v>
      </c>
      <c r="M296">
        <f>M265*-383.49800000000005</f>
        <v>0</v>
      </c>
      <c r="N296">
        <f>E296+F296+G296+H296+I296+J296+K296+L296</f>
        <v>0</v>
      </c>
    </row>
    <row r="297" spans="3:14">
      <c r="C297">
        <f>27.0</f>
        <v>0</v>
      </c>
      <c r="D297">
        <f>7.0</f>
        <v>0</v>
      </c>
      <c r="E297">
        <f>E265*-31.905</f>
        <v>0</v>
      </c>
      <c r="F297">
        <f>F265*-303.296</f>
        <v>0</v>
      </c>
      <c r="G297">
        <f>G265*-43.565</f>
        <v>0</v>
      </c>
      <c r="H297">
        <f>H265*0.0</f>
        <v>0</v>
      </c>
      <c r="I297">
        <f>I265*5.6160000000000005</f>
        <v>0</v>
      </c>
      <c r="J297">
        <f>J265*336.82199999999995</f>
        <v>0</v>
      </c>
      <c r="K297">
        <f>K265*-252.61700000000002</f>
        <v>0</v>
      </c>
      <c r="L297">
        <f>L265*18.408</f>
        <v>0</v>
      </c>
      <c r="M297">
        <f>M265*-429.751</f>
        <v>0</v>
      </c>
      <c r="N297">
        <f>E297+F297+G297+H297+I297+J297+K297+L297</f>
        <v>0</v>
      </c>
    </row>
    <row r="298" spans="3:14">
      <c r="C298">
        <f>28.0</f>
        <v>0</v>
      </c>
      <c r="D298">
        <f>8.0</f>
        <v>0</v>
      </c>
      <c r="E298">
        <f>E265*-35.486999999999995</f>
        <v>0</v>
      </c>
      <c r="F298">
        <f>F265*-318.02</f>
        <v>0</v>
      </c>
      <c r="G298">
        <f>G265*-45.49100000000001</f>
        <v>0</v>
      </c>
      <c r="H298">
        <f>H265*0.0</f>
        <v>0</v>
      </c>
      <c r="I298">
        <f>I265*7.846</f>
        <v>0</v>
      </c>
      <c r="J298">
        <f>J265*336.46</f>
        <v>0</v>
      </c>
      <c r="K298">
        <f>K265*-252.345</f>
        <v>0</v>
      </c>
      <c r="L298">
        <f>L265*17.885</f>
        <v>0</v>
      </c>
      <c r="M298">
        <f>M265*-443.23699999999997</f>
        <v>0</v>
      </c>
      <c r="N298">
        <f>E298+F298+G298+H298+I298+J298+K298+L298</f>
        <v>0</v>
      </c>
    </row>
    <row r="299" spans="3:14">
      <c r="C299">
        <f>29.0</f>
        <v>0</v>
      </c>
      <c r="D299">
        <f>9.0</f>
        <v>0</v>
      </c>
      <c r="E299">
        <f>E265*-41.6</f>
        <v>0</v>
      </c>
      <c r="F299">
        <f>F265*-325.94</f>
        <v>0</v>
      </c>
      <c r="G299">
        <f>G265*-46.217</f>
        <v>0</v>
      </c>
      <c r="H299">
        <f>H265*0.0</f>
        <v>0</v>
      </c>
      <c r="I299">
        <f>I265*10.635</f>
        <v>0</v>
      </c>
      <c r="J299">
        <f>J265*311.767</f>
        <v>0</v>
      </c>
      <c r="K299">
        <f>K265*-233.825</f>
        <v>0</v>
      </c>
      <c r="L299">
        <f>L265*17.601</f>
        <v>0</v>
      </c>
      <c r="M299">
        <f>M265*-444.92400000000004</f>
        <v>0</v>
      </c>
      <c r="N299">
        <f>E299+F299+G299+H299+I299+J299+K299+L299</f>
        <v>0</v>
      </c>
    </row>
    <row r="300" spans="3:14">
      <c r="C300">
        <f>30.0</f>
        <v>0</v>
      </c>
      <c r="D300">
        <f>10.0</f>
        <v>0</v>
      </c>
      <c r="E300">
        <f>E265*-43.257</f>
        <v>0</v>
      </c>
      <c r="F300">
        <f>F265*-326.53700000000003</f>
        <v>0</v>
      </c>
      <c r="G300">
        <f>G265*-46.19</f>
        <v>0</v>
      </c>
      <c r="H300">
        <f>H265*0.0</f>
        <v>0</v>
      </c>
      <c r="I300">
        <f>I265*13.642999999999999</f>
        <v>0</v>
      </c>
      <c r="J300">
        <f>J265*286.719</f>
        <v>0</v>
      </c>
      <c r="K300">
        <f>K265*-215.03900000000002</f>
        <v>0</v>
      </c>
      <c r="L300">
        <f>L265*19.62</f>
        <v>0</v>
      </c>
      <c r="M300">
        <f>M265*-443.18699999999995</f>
        <v>0</v>
      </c>
      <c r="N300">
        <f>E300+F300+G300+H300+I300+J300+K300+L300</f>
        <v>0</v>
      </c>
    </row>
    <row r="301" spans="3:14">
      <c r="C301">
        <f>31.0</f>
        <v>0</v>
      </c>
      <c r="D301">
        <f>11.0</f>
        <v>0</v>
      </c>
      <c r="E301">
        <f>E265*-41.842</f>
        <v>0</v>
      </c>
      <c r="F301">
        <f>F265*-326.194</f>
        <v>0</v>
      </c>
      <c r="G301">
        <f>G265*-46.245</f>
        <v>0</v>
      </c>
      <c r="H301">
        <f>H265*0.0</f>
        <v>0</v>
      </c>
      <c r="I301">
        <f>I265*17.097</f>
        <v>0</v>
      </c>
      <c r="J301">
        <f>J265*315.195</f>
        <v>0</v>
      </c>
      <c r="K301">
        <f>K265*-236.396</f>
        <v>0</v>
      </c>
      <c r="L301">
        <f>L265*21.197</f>
        <v>0</v>
      </c>
      <c r="M301">
        <f>M265*-444.027</f>
        <v>0</v>
      </c>
      <c r="N301">
        <f>E301+F301+G301+H301+I301+J301+K301+L301</f>
        <v>0</v>
      </c>
    </row>
    <row r="302" spans="3:14">
      <c r="C302">
        <f>32.0</f>
        <v>0</v>
      </c>
      <c r="D302">
        <f>12.0</f>
        <v>0</v>
      </c>
      <c r="E302">
        <f>E265*-36.071999999999996</f>
        <v>0</v>
      </c>
      <c r="F302">
        <f>F265*-318.382</f>
        <v>0</v>
      </c>
      <c r="G302">
        <f>G265*-45.522</f>
        <v>0</v>
      </c>
      <c r="H302">
        <f>H265*0.0</f>
        <v>0</v>
      </c>
      <c r="I302">
        <f>I265*20.636</f>
        <v>0</v>
      </c>
      <c r="J302">
        <f>J265*343.17</f>
        <v>0</v>
      </c>
      <c r="K302">
        <f>K265*-257.378</f>
        <v>0</v>
      </c>
      <c r="L302">
        <f>L265*22.997</f>
        <v>0</v>
      </c>
      <c r="M302">
        <f>M265*-440.38199999999995</f>
        <v>0</v>
      </c>
      <c r="N302">
        <f>E302+F302+G302+H302+I302+J302+K302+L302</f>
        <v>0</v>
      </c>
    </row>
    <row r="303" spans="3:14">
      <c r="C303">
        <f>33.0</f>
        <v>0</v>
      </c>
      <c r="D303">
        <f>13.0</f>
        <v>0</v>
      </c>
      <c r="E303">
        <f>E265*-32.848</f>
        <v>0</v>
      </c>
      <c r="F303">
        <f>F265*-303.183</f>
        <v>0</v>
      </c>
      <c r="G303">
        <f>G265*-43.512</f>
        <v>0</v>
      </c>
      <c r="H303">
        <f>H265*0.0</f>
        <v>0</v>
      </c>
      <c r="I303">
        <f>I265*22.875999999999998</f>
        <v>0</v>
      </c>
      <c r="J303">
        <f>J265*345.48199999999997</f>
        <v>0</v>
      </c>
      <c r="K303">
        <f>K265*-259.111</f>
        <v>0</v>
      </c>
      <c r="L303">
        <f>L265*24.508000000000003</f>
        <v>0</v>
      </c>
      <c r="M303">
        <f>M265*-425.091</f>
        <v>0</v>
      </c>
      <c r="N303">
        <f>E303+F303+G303+H303+I303+J303+K303+L303</f>
        <v>0</v>
      </c>
    </row>
    <row r="304" spans="3:14">
      <c r="C304">
        <f>34.0</f>
        <v>0</v>
      </c>
      <c r="D304">
        <f>14.0</f>
        <v>0</v>
      </c>
      <c r="E304">
        <f>E265*-31.809</f>
        <v>0</v>
      </c>
      <c r="F304">
        <f>F265*-268.613</f>
        <v>0</v>
      </c>
      <c r="G304">
        <f>G265*-38.347</f>
        <v>0</v>
      </c>
      <c r="H304">
        <f>H265*0.0</f>
        <v>0</v>
      </c>
      <c r="I304">
        <f>I265*23.996</f>
        <v>0</v>
      </c>
      <c r="J304">
        <f>J265*324.087</f>
        <v>0</v>
      </c>
      <c r="K304">
        <f>K265*-243.065</f>
        <v>0</v>
      </c>
      <c r="L304">
        <f>L265*25.14</f>
        <v>0</v>
      </c>
      <c r="M304">
        <f>M265*-375.783</f>
        <v>0</v>
      </c>
      <c r="N304">
        <f>E304+F304+G304+H304+I304+J304+K304+L304</f>
        <v>0</v>
      </c>
    </row>
    <row r="305" spans="3:14">
      <c r="C305">
        <f>35.0</f>
        <v>0</v>
      </c>
      <c r="D305">
        <f>15.0</f>
        <v>0</v>
      </c>
      <c r="E305">
        <f>E265*-30.439</f>
        <v>0</v>
      </c>
      <c r="F305">
        <f>F265*-232.06599999999997</f>
        <v>0</v>
      </c>
      <c r="G305">
        <f>G265*-32.905</f>
        <v>0</v>
      </c>
      <c r="H305">
        <f>H265*0.0</f>
        <v>0</v>
      </c>
      <c r="I305">
        <f>I265*27.451</f>
        <v>0</v>
      </c>
      <c r="J305">
        <f>J265*308.983</f>
        <v>0</v>
      </c>
      <c r="K305">
        <f>K265*-231.737</f>
        <v>0</v>
      </c>
      <c r="L305">
        <f>L265*26.874000000000002</f>
        <v>0</v>
      </c>
      <c r="M305">
        <f>M265*-318.31</f>
        <v>0</v>
      </c>
      <c r="N305">
        <f>E305+F305+G305+H305+I305+J305+K305+L305</f>
        <v>0</v>
      </c>
    </row>
    <row r="306" spans="3:14">
      <c r="C306">
        <f>35.91</f>
        <v>0</v>
      </c>
      <c r="D306">
        <f>15.91</f>
        <v>0</v>
      </c>
      <c r="E306">
        <f>E265*-25.399</f>
        <v>0</v>
      </c>
      <c r="F306">
        <f>F265*-194.84599999999998</f>
        <v>0</v>
      </c>
      <c r="G306">
        <f>G265*-27.688000000000002</f>
        <v>0</v>
      </c>
      <c r="H306">
        <f>H265*0.0</f>
        <v>0</v>
      </c>
      <c r="I306">
        <f>I265*30.435</f>
        <v>0</v>
      </c>
      <c r="J306">
        <f>J265*342.094</f>
        <v>0</v>
      </c>
      <c r="K306">
        <f>K265*-256.57</f>
        <v>0</v>
      </c>
      <c r="L306">
        <f>L265*27.973000000000003</f>
        <v>0</v>
      </c>
      <c r="M306">
        <f>M265*-268.994</f>
        <v>0</v>
      </c>
      <c r="N306">
        <f>E306+F306+G306+H306+I306+J306+K306+L306</f>
        <v>0</v>
      </c>
    </row>
    <row r="307" spans="3:14">
      <c r="C307">
        <f>36.82</f>
        <v>0</v>
      </c>
      <c r="D307">
        <f>16.82</f>
        <v>0</v>
      </c>
      <c r="E307">
        <f>E265*-14.749</f>
        <v>0</v>
      </c>
      <c r="F307">
        <f>F265*-137.849</f>
        <v>0</v>
      </c>
      <c r="G307">
        <f>G265*-19.99</f>
        <v>0</v>
      </c>
      <c r="H307">
        <f>H265*0.0</f>
        <v>0</v>
      </c>
      <c r="I307">
        <f>I265*31.62</f>
        <v>0</v>
      </c>
      <c r="J307">
        <f>J265*370.691</f>
        <v>0</v>
      </c>
      <c r="K307">
        <f>K265*-278.018</f>
        <v>0</v>
      </c>
      <c r="L307">
        <f>L265*28.217</f>
        <v>0</v>
      </c>
      <c r="M307">
        <f>M265*-199.56</f>
        <v>0</v>
      </c>
      <c r="N307">
        <f>E307+F307+G307+H307+I307+J307+K307+L307</f>
        <v>0</v>
      </c>
    </row>
    <row r="308" spans="3:14">
      <c r="C308">
        <f>37.73</f>
        <v>0</v>
      </c>
      <c r="D308">
        <f>17.73</f>
        <v>0</v>
      </c>
      <c r="E308">
        <f>E265*-7.417000000000001</f>
        <v>0</v>
      </c>
      <c r="F308">
        <f>F265*-92.734</f>
        <v>0</v>
      </c>
      <c r="G308">
        <f>G265*-13.737</f>
        <v>0</v>
      </c>
      <c r="H308">
        <f>H265*0.0</f>
        <v>0</v>
      </c>
      <c r="I308">
        <f>I265*29.544</f>
        <v>0</v>
      </c>
      <c r="J308">
        <f>J265*364.837</f>
        <v>0</v>
      </c>
      <c r="K308">
        <f>K265*-273.628</f>
        <v>0</v>
      </c>
      <c r="L308">
        <f>L265*25.648000000000003</f>
        <v>0</v>
      </c>
      <c r="M308">
        <f>M265*-139.359</f>
        <v>0</v>
      </c>
      <c r="N308">
        <f>E308+F308+G308+H308+I308+J308+K308+L308</f>
        <v>0</v>
      </c>
    </row>
    <row r="309" spans="3:14">
      <c r="C309">
        <f>38.64</f>
        <v>0</v>
      </c>
      <c r="D309">
        <f>18.64</f>
        <v>0</v>
      </c>
      <c r="E309">
        <f>E265*-3.7289999999999996</f>
        <v>0</v>
      </c>
      <c r="F309">
        <f>F265*-59.82</f>
        <v>0</v>
      </c>
      <c r="G309">
        <f>G265*-8.972999999999999</f>
        <v>0</v>
      </c>
      <c r="H309">
        <f>H265*0.0</f>
        <v>0</v>
      </c>
      <c r="I309">
        <f>I265*19.268</f>
        <v>0</v>
      </c>
      <c r="J309">
        <f>J265*309.832</f>
        <v>0</v>
      </c>
      <c r="K309">
        <f>K265*-232.37400000000002</f>
        <v>0</v>
      </c>
      <c r="L309">
        <f>L265*19.679000000000002</f>
        <v>0</v>
      </c>
      <c r="M309">
        <f>M265*-94.07600000000001</f>
        <v>0</v>
      </c>
      <c r="N309">
        <f>E309+F309+G309+H309+I309+J309+K309+L309</f>
        <v>0</v>
      </c>
    </row>
    <row r="310" spans="3:14">
      <c r="C310">
        <f>39.55</f>
        <v>0</v>
      </c>
      <c r="D310">
        <f>19.55</f>
        <v>0</v>
      </c>
      <c r="E310">
        <f>E265*-1.203</f>
        <v>0</v>
      </c>
      <c r="F310">
        <f>F265*-14.514000000000001</f>
        <v>0</v>
      </c>
      <c r="G310">
        <f>G265*-2.256</f>
        <v>0</v>
      </c>
      <c r="H310">
        <f>H265*0.0</f>
        <v>0</v>
      </c>
      <c r="I310">
        <f>I265*6.142</f>
        <v>0</v>
      </c>
      <c r="J310">
        <f>J265*233.929</f>
        <v>0</v>
      </c>
      <c r="K310">
        <f>K265*-175.447</f>
        <v>0</v>
      </c>
      <c r="L310">
        <f>L265*11.452</f>
        <v>0</v>
      </c>
      <c r="M310">
        <f>M265*-26.894000000000002</f>
        <v>0</v>
      </c>
      <c r="N310">
        <f>E310+F310+G310+H310+I310+J310+K310+L310</f>
        <v>0</v>
      </c>
    </row>
    <row r="311" spans="3:14">
      <c r="C311">
        <f>40.0</f>
        <v>0</v>
      </c>
      <c r="D311">
        <f>20.0</f>
        <v>0</v>
      </c>
      <c r="E311">
        <f>E265*-1.203</f>
        <v>0</v>
      </c>
      <c r="F311">
        <f>F265*-14.469000000000001</f>
        <v>0</v>
      </c>
      <c r="G311">
        <f>G265*-2.138</f>
        <v>0</v>
      </c>
      <c r="H311">
        <f>H265*0.0</f>
        <v>0</v>
      </c>
      <c r="I311">
        <f>I265*2.16</f>
        <v>0</v>
      </c>
      <c r="J311">
        <f>J265*204.12</f>
        <v>0</v>
      </c>
      <c r="K311">
        <f>K265*-153.09</f>
        <v>0</v>
      </c>
      <c r="L311">
        <f>L265*8.387</f>
        <v>0</v>
      </c>
      <c r="M311">
        <f>M265*-23.96</f>
        <v>0</v>
      </c>
      <c r="N311">
        <f>E311+F311+G311+H311+I311+J311+K311+L311</f>
        <v>0</v>
      </c>
    </row>
    <row r="312" spans="3:14">
      <c r="C312">
        <f>40.0</f>
        <v>0</v>
      </c>
      <c r="D312">
        <f>0.0</f>
        <v>0</v>
      </c>
      <c r="E312">
        <f>E265*-0.344</f>
        <v>0</v>
      </c>
      <c r="F312">
        <f>F265*-4.832</f>
        <v>0</v>
      </c>
      <c r="G312">
        <f>G265*-0.772</f>
        <v>0</v>
      </c>
      <c r="H312">
        <f>H265*0.0</f>
        <v>0</v>
      </c>
      <c r="I312">
        <f>I265*-8.436</f>
        <v>0</v>
      </c>
      <c r="J312">
        <f>J265*194.532</f>
        <v>0</v>
      </c>
      <c r="K312">
        <f>K265*-145.899</f>
        <v>0</v>
      </c>
      <c r="L312">
        <f>L265*4.137</f>
        <v>0</v>
      </c>
      <c r="M312">
        <f>M265*-18.507</f>
        <v>0</v>
      </c>
      <c r="N312">
        <f>E312+F312+G312+H312+I312+J312+K312+L312</f>
        <v>0</v>
      </c>
    </row>
    <row r="313" spans="3:14">
      <c r="C313">
        <f>40.45</f>
        <v>0</v>
      </c>
      <c r="D313">
        <f>0.45</f>
        <v>0</v>
      </c>
      <c r="E313">
        <f>E265*1.659</f>
        <v>0</v>
      </c>
      <c r="F313">
        <f>F265*-22.307</f>
        <v>0</v>
      </c>
      <c r="G313">
        <f>G265*-3.457</f>
        <v>0</v>
      </c>
      <c r="H313">
        <f>H265*0.0</f>
        <v>0</v>
      </c>
      <c r="I313">
        <f>I265*-8.436</f>
        <v>0</v>
      </c>
      <c r="J313">
        <f>J265*209.39</f>
        <v>0</v>
      </c>
      <c r="K313">
        <f>K265*-157.043</f>
        <v>0</v>
      </c>
      <c r="L313">
        <f>L265*36.77</f>
        <v>0</v>
      </c>
      <c r="M313">
        <f>M265*-78.79899999999999</f>
        <v>0</v>
      </c>
      <c r="N313">
        <f>E313+F313+G313+H313+I313+J313+K313+L313</f>
        <v>0</v>
      </c>
    </row>
    <row r="314" spans="3:14">
      <c r="C314">
        <f>41.36</f>
        <v>0</v>
      </c>
      <c r="D314">
        <f>1.36</f>
        <v>0</v>
      </c>
      <c r="E314">
        <f>E265*2.188</f>
        <v>0</v>
      </c>
      <c r="F314">
        <f>F265*-30.498</f>
        <v>0</v>
      </c>
      <c r="G314">
        <f>G265*-4.82</f>
        <v>0</v>
      </c>
      <c r="H314">
        <f>H265*0.0</f>
        <v>0</v>
      </c>
      <c r="I314">
        <f>I265*-35.053000000000004</f>
        <v>0</v>
      </c>
      <c r="J314">
        <f>J265*305.781</f>
        <v>0</v>
      </c>
      <c r="K314">
        <f>K265*-229.33599999999998</f>
        <v>0</v>
      </c>
      <c r="L314">
        <f>L265*34.282</f>
        <v>0</v>
      </c>
      <c r="M314">
        <f>M265*-90.257</f>
        <v>0</v>
      </c>
      <c r="N314">
        <f>E314+F314+G314+H314+I314+J314+K314+L314</f>
        <v>0</v>
      </c>
    </row>
    <row r="315" spans="3:14">
      <c r="C315">
        <f>42.27</f>
        <v>0</v>
      </c>
      <c r="D315">
        <f>2.27</f>
        <v>0</v>
      </c>
      <c r="E315">
        <f>E265*1.081</f>
        <v>0</v>
      </c>
      <c r="F315">
        <f>F265*-33.06</f>
        <v>0</v>
      </c>
      <c r="G315">
        <f>G265*-5.189</f>
        <v>0</v>
      </c>
      <c r="H315">
        <f>H265*0.0</f>
        <v>0</v>
      </c>
      <c r="I315">
        <f>I265*-64.382</f>
        <v>0</v>
      </c>
      <c r="J315">
        <f>J265*393.124</f>
        <v>0</v>
      </c>
      <c r="K315">
        <f>K265*-294.843</f>
        <v>0</v>
      </c>
      <c r="L315">
        <f>L265*22.561</f>
        <v>0</v>
      </c>
      <c r="M315">
        <f>M265*-97.24</f>
        <v>0</v>
      </c>
      <c r="N315">
        <f>E315+F315+G315+H315+I315+J315+K315+L315</f>
        <v>0</v>
      </c>
    </row>
    <row r="316" spans="3:14">
      <c r="C316">
        <f>43.18</f>
        <v>0</v>
      </c>
      <c r="D316">
        <f>3.18</f>
        <v>0</v>
      </c>
      <c r="E316">
        <f>E265*-4.755</f>
        <v>0</v>
      </c>
      <c r="F316">
        <f>F265*-42.842</f>
        <v>0</v>
      </c>
      <c r="G316">
        <f>G265*-6.329</f>
        <v>0</v>
      </c>
      <c r="H316">
        <f>H265*0.0</f>
        <v>0</v>
      </c>
      <c r="I316">
        <f>I265*-107.925</f>
        <v>0</v>
      </c>
      <c r="J316">
        <f>J265*411.14</f>
        <v>0</v>
      </c>
      <c r="K316">
        <f>K265*-308.355</f>
        <v>0</v>
      </c>
      <c r="L316">
        <f>L265*21.333000000000002</f>
        <v>0</v>
      </c>
      <c r="M316">
        <f>M265*-110.236</f>
        <v>0</v>
      </c>
      <c r="N316">
        <f>E316+F316+G316+H316+I316+J316+K316+L316</f>
        <v>0</v>
      </c>
    </row>
    <row r="317" spans="3:14">
      <c r="C317">
        <f>44.09</f>
        <v>0</v>
      </c>
      <c r="D317">
        <f>4.09</f>
        <v>0</v>
      </c>
      <c r="E317">
        <f>E265*-9.871</f>
        <v>0</v>
      </c>
      <c r="F317">
        <f>F265*-50.62</f>
        <v>0</v>
      </c>
      <c r="G317">
        <f>G265*-7.041</f>
        <v>0</v>
      </c>
      <c r="H317">
        <f>H265*0.0</f>
        <v>0</v>
      </c>
      <c r="I317">
        <f>I265*-150.958</f>
        <v>0</v>
      </c>
      <c r="J317">
        <f>J265*399.84</f>
        <v>0</v>
      </c>
      <c r="K317">
        <f>K265*-299.88</f>
        <v>0</v>
      </c>
      <c r="L317">
        <f>L265*17.41</f>
        <v>0</v>
      </c>
      <c r="M317">
        <f>M265*-112.055</f>
        <v>0</v>
      </c>
      <c r="N317">
        <f>E317+F317+G317+H317+I317+J317+K317+L317</f>
        <v>0</v>
      </c>
    </row>
    <row r="318" spans="3:14">
      <c r="C318">
        <f>45.0</f>
        <v>0</v>
      </c>
      <c r="D318">
        <f>5.0</f>
        <v>0</v>
      </c>
      <c r="E318">
        <f>E265*-11.953</f>
        <v>0</v>
      </c>
      <c r="F318">
        <f>F265*-54.856</f>
        <v>0</v>
      </c>
      <c r="G318">
        <f>G265*-7.478</f>
        <v>0</v>
      </c>
      <c r="H318">
        <f>H265*0.0</f>
        <v>0</v>
      </c>
      <c r="I318">
        <f>I265*-165.082</f>
        <v>0</v>
      </c>
      <c r="J318">
        <f>J265*395.31</f>
        <v>0</v>
      </c>
      <c r="K318">
        <f>K265*-296.482</f>
        <v>0</v>
      </c>
      <c r="L318">
        <f>L265*16.473</f>
        <v>0</v>
      </c>
      <c r="M318">
        <f>M265*-110.387</f>
        <v>0</v>
      </c>
      <c r="N318">
        <f>E318+F318+G318+H318+I318+J318+K318+L318</f>
        <v>0</v>
      </c>
    </row>
    <row r="319" spans="3:14">
      <c r="C319">
        <f>46.0</f>
        <v>0</v>
      </c>
      <c r="D319">
        <f>6.0</f>
        <v>0</v>
      </c>
      <c r="E319">
        <f>E265*-11.32</f>
        <v>0</v>
      </c>
      <c r="F319">
        <f>F265*-55.368</f>
        <v>0</v>
      </c>
      <c r="G319">
        <f>G265*-7.595</f>
        <v>0</v>
      </c>
      <c r="H319">
        <f>H265*0.0</f>
        <v>0</v>
      </c>
      <c r="I319">
        <f>I265*-159.775</f>
        <v>0</v>
      </c>
      <c r="J319">
        <f>J265*450.171</f>
        <v>0</v>
      </c>
      <c r="K319">
        <f>K265*-337.629</f>
        <v>0</v>
      </c>
      <c r="L319">
        <f>L265*10.972999999999999</f>
        <v>0</v>
      </c>
      <c r="M319">
        <f>M265*-111.23</f>
        <v>0</v>
      </c>
      <c r="N319">
        <f>E319+F319+G319+H319+I319+J319+K319+L319</f>
        <v>0</v>
      </c>
    </row>
    <row r="320" spans="3:14">
      <c r="C320">
        <f>47.0</f>
        <v>0</v>
      </c>
      <c r="D320">
        <f>7.0</f>
        <v>0</v>
      </c>
      <c r="E320">
        <f>E265*-7.6160000000000005</f>
        <v>0</v>
      </c>
      <c r="F320">
        <f>F265*-52.027</f>
        <v>0</v>
      </c>
      <c r="G320">
        <f>G265*-7.399</f>
        <v>0</v>
      </c>
      <c r="H320">
        <f>H265*0.0</f>
        <v>0</v>
      </c>
      <c r="I320">
        <f>I265*-125.005</f>
        <v>0</v>
      </c>
      <c r="J320">
        <f>J265*482.411</f>
        <v>0</v>
      </c>
      <c r="K320">
        <f>K265*-361.80800000000005</f>
        <v>0</v>
      </c>
      <c r="L320">
        <f>L265*10.187999999999999</f>
        <v>0</v>
      </c>
      <c r="M320">
        <f>M265*-111.17299999999999</f>
        <v>0</v>
      </c>
      <c r="N320">
        <f>E320+F320+G320+H320+I320+J320+K320+L320</f>
        <v>0</v>
      </c>
    </row>
    <row r="321" spans="3:14">
      <c r="C321">
        <f>48.0</f>
        <v>0</v>
      </c>
      <c r="D321">
        <f>8.0</f>
        <v>0</v>
      </c>
      <c r="E321">
        <f>E265*-4.221</f>
        <v>0</v>
      </c>
      <c r="F321">
        <f>F265*-43.604</f>
        <v>0</v>
      </c>
      <c r="G321">
        <f>G265*-6.394</f>
        <v>0</v>
      </c>
      <c r="H321">
        <f>H265*0.0</f>
        <v>0</v>
      </c>
      <c r="I321">
        <f>I265*-83.82700000000001</f>
        <v>0</v>
      </c>
      <c r="J321">
        <f>J265*462.395</f>
        <v>0</v>
      </c>
      <c r="K321">
        <f>K265*-346.796</f>
        <v>0</v>
      </c>
      <c r="L321">
        <f>L265*8.564</f>
        <v>0</v>
      </c>
      <c r="M321">
        <f>M265*-97.464</f>
        <v>0</v>
      </c>
      <c r="N321">
        <f>E321+F321+G321+H321+I321+J321+K321+L321</f>
        <v>0</v>
      </c>
    </row>
    <row r="322" spans="3:14">
      <c r="C322">
        <f>49.0</f>
        <v>0</v>
      </c>
      <c r="D322">
        <f>9.0</f>
        <v>0</v>
      </c>
      <c r="E322">
        <f>E265*-1.699</f>
        <v>0</v>
      </c>
      <c r="F322">
        <f>F265*-30.334</f>
        <v>0</v>
      </c>
      <c r="G322">
        <f>G265*-4.531000000000001</f>
        <v>0</v>
      </c>
      <c r="H322">
        <f>H265*0.0</f>
        <v>0</v>
      </c>
      <c r="I322">
        <f>I265*-42.242</f>
        <v>0</v>
      </c>
      <c r="J322">
        <f>J265*328.019</f>
        <v>0</v>
      </c>
      <c r="K322">
        <f>K265*-246.014</f>
        <v>0</v>
      </c>
      <c r="L322">
        <f>L265*4.877</f>
        <v>0</v>
      </c>
      <c r="M322">
        <f>M265*-70.135</f>
        <v>0</v>
      </c>
      <c r="N322">
        <f>E322+F322+G322+H322+I322+J322+K322+L322</f>
        <v>0</v>
      </c>
    </row>
    <row r="323" spans="3:14">
      <c r="C323">
        <f>50.0</f>
        <v>0</v>
      </c>
      <c r="D323">
        <f>10.0</f>
        <v>0</v>
      </c>
      <c r="E323">
        <f>E265*0.043</f>
        <v>0</v>
      </c>
      <c r="F323">
        <f>F265*-16.680999999999997</f>
        <v>0</v>
      </c>
      <c r="G323">
        <f>G265*-2.572</f>
        <v>0</v>
      </c>
      <c r="H323">
        <f>H265*0.0</f>
        <v>0</v>
      </c>
      <c r="I323">
        <f>I265*-12.567</f>
        <v>0</v>
      </c>
      <c r="J323">
        <f>J265*176.226</f>
        <v>0</v>
      </c>
      <c r="K323">
        <f>K265*-132.16899999999998</f>
        <v>0</v>
      </c>
      <c r="L323">
        <f>L265*0.633</f>
        <v>0</v>
      </c>
      <c r="M323">
        <f>M265*-39.109</f>
        <v>0</v>
      </c>
      <c r="N323">
        <f>E323+F323+G323+H323+I323+J323+K323+L323</f>
        <v>0</v>
      </c>
    </row>
    <row r="330" spans="3:14">
      <c r="C330" t="s">
        <v>0</v>
      </c>
      <c r="D330" t="s">
        <v>1</v>
      </c>
      <c r="E330" t="s">
        <v>2</v>
      </c>
      <c r="F330" t="s">
        <v>3</v>
      </c>
      <c r="G330" t="s">
        <v>4</v>
      </c>
      <c r="H330" t="s">
        <v>5</v>
      </c>
      <c r="I330" t="s">
        <v>6</v>
      </c>
      <c r="J330" t="s">
        <v>7</v>
      </c>
      <c r="K330" t="s">
        <v>8</v>
      </c>
      <c r="L330" t="s">
        <v>9</v>
      </c>
      <c r="M330" t="s">
        <v>10</v>
      </c>
      <c r="N330" t="s">
        <v>11</v>
      </c>
    </row>
    <row r="331" spans="3:14">
      <c r="C331">
        <f>0.0</f>
        <v>0</v>
      </c>
      <c r="D331">
        <f>0.0</f>
        <v>0</v>
      </c>
      <c r="E331">
        <f>E329*-2.5375</f>
        <v>0</v>
      </c>
      <c r="F331">
        <f>F329*2.0884</f>
        <v>0</v>
      </c>
      <c r="G331">
        <f>G329*0.4764</f>
        <v>0</v>
      </c>
      <c r="H331">
        <f>H329*0.0</f>
        <v>0</v>
      </c>
      <c r="I331">
        <f>I329*-0.0275</f>
        <v>0</v>
      </c>
      <c r="J331">
        <f>J329*43.1569</f>
        <v>0</v>
      </c>
      <c r="K331">
        <f>K329*-32.3677</f>
        <v>0</v>
      </c>
      <c r="L331">
        <f>L329*124.1748</f>
        <v>0</v>
      </c>
      <c r="M331">
        <f>M329*-113.8225</f>
        <v>0</v>
      </c>
      <c r="N331">
        <f>E331+F331+G331+H331+I331+J331+K331+L331</f>
        <v>0</v>
      </c>
    </row>
    <row r="332" spans="3:14">
      <c r="C332">
        <f>1.0</f>
        <v>0</v>
      </c>
      <c r="D332">
        <f>1.0</f>
        <v>0</v>
      </c>
      <c r="E332">
        <f>E329*-3.2284</f>
        <v>0</v>
      </c>
      <c r="F332">
        <f>F329*1.1599</f>
        <v>0</v>
      </c>
      <c r="G332">
        <f>G329*0.3531</f>
        <v>0</v>
      </c>
      <c r="H332">
        <f>H329*0.0</f>
        <v>0</v>
      </c>
      <c r="I332">
        <f>I329*-0.0339</f>
        <v>0</v>
      </c>
      <c r="J332">
        <f>J329*47.5491</f>
        <v>0</v>
      </c>
      <c r="K332">
        <f>K329*-35.6618</f>
        <v>0</v>
      </c>
      <c r="L332">
        <f>L329*124.2161</f>
        <v>0</v>
      </c>
      <c r="M332">
        <f>M329*-121.7968</f>
        <v>0</v>
      </c>
      <c r="N332">
        <f>E332+F332+G332+H332+I332+J332+K332+L332</f>
        <v>0</v>
      </c>
    </row>
    <row r="333" spans="3:14">
      <c r="C333">
        <f>2.0</f>
        <v>0</v>
      </c>
      <c r="D333">
        <f>2.0</f>
        <v>0</v>
      </c>
      <c r="E333">
        <f>E329*-4.3904</f>
        <v>0</v>
      </c>
      <c r="F333">
        <f>F329*-0.3636</f>
        <v>0</v>
      </c>
      <c r="G333">
        <f>G329*0.2605</f>
        <v>0</v>
      </c>
      <c r="H333">
        <f>H329*0.0</f>
        <v>0</v>
      </c>
      <c r="I333">
        <f>I329*-0.040999999999999995</f>
        <v>0</v>
      </c>
      <c r="J333">
        <f>J329*53.6198</f>
        <v>0</v>
      </c>
      <c r="K333">
        <f>K329*-40.2149</f>
        <v>0</v>
      </c>
      <c r="L333">
        <f>L329*129.6718</f>
        <v>0</v>
      </c>
      <c r="M333">
        <f>M329*-131.8062</f>
        <v>0</v>
      </c>
      <c r="N333">
        <f>E333+F333+G333+H333+I333+J333+K333+L333</f>
        <v>0</v>
      </c>
    </row>
    <row r="334" spans="3:14">
      <c r="C334">
        <f>3.0</f>
        <v>0</v>
      </c>
      <c r="D334">
        <f>3.0</f>
        <v>0</v>
      </c>
      <c r="E334">
        <f>E329*-4.9239999999999995</f>
        <v>0</v>
      </c>
      <c r="F334">
        <f>F329*-1.2369</f>
        <v>0</v>
      </c>
      <c r="G334">
        <f>G329*0.1577</f>
        <v>0</v>
      </c>
      <c r="H334">
        <f>H329*0.0</f>
        <v>0</v>
      </c>
      <c r="I334">
        <f>I329*-0.0468</f>
        <v>0</v>
      </c>
      <c r="J334">
        <f>J329*50.9462</f>
        <v>0</v>
      </c>
      <c r="K334">
        <f>K329*-38.2097</f>
        <v>0</v>
      </c>
      <c r="L334">
        <f>L329*128.878</f>
        <v>0</v>
      </c>
      <c r="M334">
        <f>M329*-137.058</f>
        <v>0</v>
      </c>
      <c r="N334">
        <f>E334+F334+G334+H334+I334+J334+K334+L334</f>
        <v>0</v>
      </c>
    </row>
    <row r="335" spans="3:14">
      <c r="C335">
        <f>4.0</f>
        <v>0</v>
      </c>
      <c r="D335">
        <f>4.0</f>
        <v>0</v>
      </c>
      <c r="E335">
        <f>E329*-4.6931</f>
        <v>0</v>
      </c>
      <c r="F335">
        <f>F329*-1.8233</f>
        <v>0</v>
      </c>
      <c r="G335">
        <f>G329*0.0362</f>
        <v>0</v>
      </c>
      <c r="H335">
        <f>H329*0.0</f>
        <v>0</v>
      </c>
      <c r="I335">
        <f>I329*-0.0522</f>
        <v>0</v>
      </c>
      <c r="J335">
        <f>J329*45.1844</f>
        <v>0</v>
      </c>
      <c r="K335">
        <f>K329*-33.8883</f>
        <v>0</v>
      </c>
      <c r="L335">
        <f>L329*126.8109</f>
        <v>0</v>
      </c>
      <c r="M335">
        <f>M329*-141.254</f>
        <v>0</v>
      </c>
      <c r="N335">
        <f>E335+F335+G335+H335+I335+J335+K335+L335</f>
        <v>0</v>
      </c>
    </row>
    <row r="336" spans="3:14">
      <c r="C336">
        <f>5.0</f>
        <v>0</v>
      </c>
      <c r="D336">
        <f>5.0</f>
        <v>0</v>
      </c>
      <c r="E336">
        <f>E329*-3.9566</f>
        <v>0</v>
      </c>
      <c r="F336">
        <f>F329*-2.0162</f>
        <v>0</v>
      </c>
      <c r="G336">
        <f>G329*0.1737</f>
        <v>0</v>
      </c>
      <c r="H336">
        <f>H329*0.0</f>
        <v>0</v>
      </c>
      <c r="I336">
        <f>I329*-0.0566</f>
        <v>0</v>
      </c>
      <c r="J336">
        <f>J329*43.5833</f>
        <v>0</v>
      </c>
      <c r="K336">
        <f>K329*-32.6875</f>
        <v>0</v>
      </c>
      <c r="L336">
        <f>L329*126.5001</f>
        <v>0</v>
      </c>
      <c r="M336">
        <f>M329*-141.0103</f>
        <v>0</v>
      </c>
      <c r="N336">
        <f>E336+F336+G336+H336+I336+J336+K336+L336</f>
        <v>0</v>
      </c>
    </row>
    <row r="337" spans="3:14">
      <c r="C337">
        <f>6.0</f>
        <v>0</v>
      </c>
      <c r="D337">
        <f>6.0</f>
        <v>0</v>
      </c>
      <c r="E337">
        <f>E329*-2.5281</f>
        <v>0</v>
      </c>
      <c r="F337">
        <f>F329*-0.5695</f>
        <v>0</v>
      </c>
      <c r="G337">
        <f>G329*0.1038</f>
        <v>0</v>
      </c>
      <c r="H337">
        <f>H329*0.0</f>
        <v>0</v>
      </c>
      <c r="I337">
        <f>I329*-0.0584</f>
        <v>0</v>
      </c>
      <c r="J337">
        <f>J329*35.9159</f>
        <v>0</v>
      </c>
      <c r="K337">
        <f>K329*-26.9369</f>
        <v>0</v>
      </c>
      <c r="L337">
        <f>L329*118.8065</f>
        <v>0</v>
      </c>
      <c r="M337">
        <f>M329*-132.745</f>
        <v>0</v>
      </c>
      <c r="N337">
        <f>E337+F337+G337+H337+I337+J337+K337+L337</f>
        <v>0</v>
      </c>
    </row>
    <row r="338" spans="3:14">
      <c r="C338">
        <f>7.0</f>
        <v>0</v>
      </c>
      <c r="D338">
        <f>7.0</f>
        <v>0</v>
      </c>
      <c r="E338">
        <f>E329*-2.013</f>
        <v>0</v>
      </c>
      <c r="F338">
        <f>F329*-0.9765</f>
        <v>0</v>
      </c>
      <c r="G338">
        <f>G329*0.0143</f>
        <v>0</v>
      </c>
      <c r="H338">
        <f>H329*0.0</f>
        <v>0</v>
      </c>
      <c r="I338">
        <f>I329*-0.0599</f>
        <v>0</v>
      </c>
      <c r="J338">
        <f>J329*28.901999999999997</f>
        <v>0</v>
      </c>
      <c r="K338">
        <f>K329*-21.6765</f>
        <v>0</v>
      </c>
      <c r="L338">
        <f>L329*107.0603</f>
        <v>0</v>
      </c>
      <c r="M338">
        <f>M329*-124.0851</f>
        <v>0</v>
      </c>
      <c r="N338">
        <f>E338+F338+G338+H338+I338+J338+K338+L338</f>
        <v>0</v>
      </c>
    </row>
    <row r="339" spans="3:14">
      <c r="C339">
        <f>8.0</f>
        <v>0</v>
      </c>
      <c r="D339">
        <f>8.0</f>
        <v>0</v>
      </c>
      <c r="E339">
        <f>E329*-1.786</f>
        <v>0</v>
      </c>
      <c r="F339">
        <f>F329*-1.3925</f>
        <v>0</v>
      </c>
      <c r="G339">
        <f>G329*-0.0996</f>
        <v>0</v>
      </c>
      <c r="H339">
        <f>H329*0.0</f>
        <v>0</v>
      </c>
      <c r="I339">
        <f>I329*-0.0627</f>
        <v>0</v>
      </c>
      <c r="J339">
        <f>J329*17.4509</f>
        <v>0</v>
      </c>
      <c r="K339">
        <f>K329*-13.0882</f>
        <v>0</v>
      </c>
      <c r="L339">
        <f>L329*97.7336</f>
        <v>0</v>
      </c>
      <c r="M339">
        <f>M329*-116.0728</f>
        <v>0</v>
      </c>
      <c r="N339">
        <f>E339+F339+G339+H339+I339+J339+K339+L339</f>
        <v>0</v>
      </c>
    </row>
    <row r="340" spans="3:14">
      <c r="C340">
        <f>9.0</f>
        <v>0</v>
      </c>
      <c r="D340">
        <f>9.0</f>
        <v>0</v>
      </c>
      <c r="E340">
        <f>E329*-1.3183</f>
        <v>0</v>
      </c>
      <c r="F340">
        <f>F329*-1.7823</f>
        <v>0</v>
      </c>
      <c r="G340">
        <f>G329*-0.1885</f>
        <v>0</v>
      </c>
      <c r="H340">
        <f>H329*0.0</f>
        <v>0</v>
      </c>
      <c r="I340">
        <f>I329*-0.0665</f>
        <v>0</v>
      </c>
      <c r="J340">
        <f>J329*8.2329</f>
        <v>0</v>
      </c>
      <c r="K340">
        <f>K329*-6.1747</f>
        <v>0</v>
      </c>
      <c r="L340">
        <f>L329*95.4143</f>
        <v>0</v>
      </c>
      <c r="M340">
        <f>M329*-110.1699</f>
        <v>0</v>
      </c>
      <c r="N340">
        <f>E340+F340+G340+H340+I340+J340+K340+L340</f>
        <v>0</v>
      </c>
    </row>
    <row r="341" spans="3:14">
      <c r="C341">
        <f>10.0</f>
        <v>0</v>
      </c>
      <c r="D341">
        <f>10.0</f>
        <v>0</v>
      </c>
      <c r="E341">
        <f>E329*-0.7296</f>
        <v>0</v>
      </c>
      <c r="F341">
        <f>F329*-1.8133</f>
        <v>0</v>
      </c>
      <c r="G341">
        <f>G329*-0.2338</f>
        <v>0</v>
      </c>
      <c r="H341">
        <f>H329*0.0</f>
        <v>0</v>
      </c>
      <c r="I341">
        <f>I329*-0.0692</f>
        <v>0</v>
      </c>
      <c r="J341">
        <f>J329*9.5315</f>
        <v>0</v>
      </c>
      <c r="K341">
        <f>K329*-7.1486</f>
        <v>0</v>
      </c>
      <c r="L341">
        <f>L329*90.8704</f>
        <v>0</v>
      </c>
      <c r="M341">
        <f>M329*-104.5824</f>
        <v>0</v>
      </c>
      <c r="N341">
        <f>E341+F341+G341+H341+I341+J341+K341+L341</f>
        <v>0</v>
      </c>
    </row>
    <row r="342" spans="3:14">
      <c r="C342">
        <f>11.0</f>
        <v>0</v>
      </c>
      <c r="D342">
        <f>11.0</f>
        <v>0</v>
      </c>
      <c r="E342">
        <f>E329*0.0408</f>
        <v>0</v>
      </c>
      <c r="F342">
        <f>F329*0.6785</f>
        <v>0</v>
      </c>
      <c r="G342">
        <f>G329*0.1233</f>
        <v>0</v>
      </c>
      <c r="H342">
        <f>H329*0.0</f>
        <v>0</v>
      </c>
      <c r="I342">
        <f>I329*-0.0688</f>
        <v>0</v>
      </c>
      <c r="J342">
        <f>J329*11.4071</f>
        <v>0</v>
      </c>
      <c r="K342">
        <f>K329*-8.5553</f>
        <v>0</v>
      </c>
      <c r="L342">
        <f>L329*92.8158</f>
        <v>0</v>
      </c>
      <c r="M342">
        <f>M329*-90.0719</f>
        <v>0</v>
      </c>
      <c r="N342">
        <f>E342+F342+G342+H342+I342+J342+K342+L342</f>
        <v>0</v>
      </c>
    </row>
    <row r="343" spans="3:14">
      <c r="C343">
        <f>12.0</f>
        <v>0</v>
      </c>
      <c r="D343">
        <f>12.0</f>
        <v>0</v>
      </c>
      <c r="E343">
        <f>E329*0.4667</f>
        <v>0</v>
      </c>
      <c r="F343">
        <f>F329*-0.5886</f>
        <v>0</v>
      </c>
      <c r="G343">
        <f>G329*-0.083</f>
        <v>0</v>
      </c>
      <c r="H343">
        <f>H329*0.0</f>
        <v>0</v>
      </c>
      <c r="I343">
        <f>I329*-0.0683</f>
        <v>0</v>
      </c>
      <c r="J343">
        <f>J329*5.3077</f>
        <v>0</v>
      </c>
      <c r="K343">
        <f>K329*-3.9808</f>
        <v>0</v>
      </c>
      <c r="L343">
        <f>L329*94.2306</f>
        <v>0</v>
      </c>
      <c r="M343">
        <f>M329*-91.2796</f>
        <v>0</v>
      </c>
      <c r="N343">
        <f>E343+F343+G343+H343+I343+J343+K343+L343</f>
        <v>0</v>
      </c>
    </row>
    <row r="344" spans="3:14">
      <c r="C344">
        <f>13.0</f>
        <v>0</v>
      </c>
      <c r="D344">
        <f>13.0</f>
        <v>0</v>
      </c>
      <c r="E344">
        <f>E329*0.5826</f>
        <v>0</v>
      </c>
      <c r="F344">
        <f>F329*-1.7827</f>
        <v>0</v>
      </c>
      <c r="G344">
        <f>G329*-0.2729</f>
        <v>0</v>
      </c>
      <c r="H344">
        <f>H329*0.0</f>
        <v>0</v>
      </c>
      <c r="I344">
        <f>I329*-0.0696</f>
        <v>0</v>
      </c>
      <c r="J344">
        <f>J329*-11.0258</f>
        <v>0</v>
      </c>
      <c r="K344">
        <f>K329*8.2694</f>
        <v>0</v>
      </c>
      <c r="L344">
        <f>L329*100.1369</f>
        <v>0</v>
      </c>
      <c r="M344">
        <f>M329*-91.0284</f>
        <v>0</v>
      </c>
      <c r="N344">
        <f>E344+F344+G344+H344+I344+J344+K344+L344</f>
        <v>0</v>
      </c>
    </row>
    <row r="345" spans="3:14">
      <c r="C345">
        <f>14.0</f>
        <v>0</v>
      </c>
      <c r="D345">
        <f>14.0</f>
        <v>0</v>
      </c>
      <c r="E345">
        <f>E329*0.9097</f>
        <v>0</v>
      </c>
      <c r="F345">
        <f>F329*-3.2509</f>
        <v>0</v>
      </c>
      <c r="G345">
        <f>G329*-0.5077</f>
        <v>0</v>
      </c>
      <c r="H345">
        <f>H329*0.0</f>
        <v>0</v>
      </c>
      <c r="I345">
        <f>I329*-0.0724</f>
        <v>0</v>
      </c>
      <c r="J345">
        <f>J329*-17.497</f>
        <v>0</v>
      </c>
      <c r="K345">
        <f>K329*13.1228</f>
        <v>0</v>
      </c>
      <c r="L345">
        <f>L329*112.17399999999999</f>
        <v>0</v>
      </c>
      <c r="M345">
        <f>M329*-102.5176</f>
        <v>0</v>
      </c>
      <c r="N345">
        <f>E345+F345+G345+H345+I345+J345+K345+L345</f>
        <v>0</v>
      </c>
    </row>
    <row r="346" spans="3:14">
      <c r="C346">
        <f>15.0</f>
        <v>0</v>
      </c>
      <c r="D346">
        <f>15.0</f>
        <v>0</v>
      </c>
      <c r="E346">
        <f>E329*1.5868</f>
        <v>0</v>
      </c>
      <c r="F346">
        <f>F329*-5.6172</f>
        <v>0</v>
      </c>
      <c r="G346">
        <f>G329*-0.8378</f>
        <v>0</v>
      </c>
      <c r="H346">
        <f>H329*0.0</f>
        <v>0</v>
      </c>
      <c r="I346">
        <f>I329*-0.0752</f>
        <v>0</v>
      </c>
      <c r="J346">
        <f>J329*-18.2982</f>
        <v>0</v>
      </c>
      <c r="K346">
        <f>K329*13.7237</f>
        <v>0</v>
      </c>
      <c r="L346">
        <f>L329*125.3673</f>
        <v>0</v>
      </c>
      <c r="M346">
        <f>M329*-118.0204</f>
        <v>0</v>
      </c>
      <c r="N346">
        <f>E346+F346+G346+H346+I346+J346+K346+L346</f>
        <v>0</v>
      </c>
    </row>
    <row r="347" spans="3:14">
      <c r="C347">
        <f>15.91</f>
        <v>0</v>
      </c>
      <c r="D347">
        <f>15.91</f>
        <v>0</v>
      </c>
      <c r="E347">
        <f>E329*2.0161</f>
        <v>0</v>
      </c>
      <c r="F347">
        <f>F329*-7.4444</f>
        <v>0</v>
      </c>
      <c r="G347">
        <f>G329*-1.122</f>
        <v>0</v>
      </c>
      <c r="H347">
        <f>H329*0.0</f>
        <v>0</v>
      </c>
      <c r="I347">
        <f>I329*-0.0742</f>
        <v>0</v>
      </c>
      <c r="J347">
        <f>J329*-20.3286</f>
        <v>0</v>
      </c>
      <c r="K347">
        <f>K329*15.2465</f>
        <v>0</v>
      </c>
      <c r="L347">
        <f>L329*127.5806</f>
        <v>0</v>
      </c>
      <c r="M347">
        <f>M329*-121.6541</f>
        <v>0</v>
      </c>
      <c r="N347">
        <f>E347+F347+G347+H347+I347+J347+K347+L347</f>
        <v>0</v>
      </c>
    </row>
    <row r="348" spans="3:14">
      <c r="C348">
        <f>16.82</f>
        <v>0</v>
      </c>
      <c r="D348">
        <f>16.82</f>
        <v>0</v>
      </c>
      <c r="E348">
        <f>E329*2.2923</f>
        <v>0</v>
      </c>
      <c r="F348">
        <f>F329*-9.6045</f>
        <v>0</v>
      </c>
      <c r="G348">
        <f>G329*-1.4557</f>
        <v>0</v>
      </c>
      <c r="H348">
        <f>H329*0.0</f>
        <v>0</v>
      </c>
      <c r="I348">
        <f>I329*-0.0726</f>
        <v>0</v>
      </c>
      <c r="J348">
        <f>J329*-29.2477</f>
        <v>0</v>
      </c>
      <c r="K348">
        <f>K329*21.9358</f>
        <v>0</v>
      </c>
      <c r="L348">
        <f>L329*129.4329</f>
        <v>0</v>
      </c>
      <c r="M348">
        <f>M329*-131.9534</f>
        <v>0</v>
      </c>
      <c r="N348">
        <f>E348+F348+G348+H348+I348+J348+K348+L348</f>
        <v>0</v>
      </c>
    </row>
    <row r="349" spans="3:14">
      <c r="C349">
        <f>17.73</f>
        <v>0</v>
      </c>
      <c r="D349">
        <f>17.73</f>
        <v>0</v>
      </c>
      <c r="E349">
        <f>E329*2.182</f>
        <v>0</v>
      </c>
      <c r="F349">
        <f>F329*-11.8593</f>
        <v>0</v>
      </c>
      <c r="G349">
        <f>G329*-1.7793</f>
        <v>0</v>
      </c>
      <c r="H349">
        <f>H329*0.0</f>
        <v>0</v>
      </c>
      <c r="I349">
        <f>I329*-0.0717</f>
        <v>0</v>
      </c>
      <c r="J349">
        <f>J329*-41.1516</f>
        <v>0</v>
      </c>
      <c r="K349">
        <f>K329*30.8637</f>
        <v>0</v>
      </c>
      <c r="L349">
        <f>L329*134.3891</f>
        <v>0</v>
      </c>
      <c r="M349">
        <f>M329*-147.4279</f>
        <v>0</v>
      </c>
      <c r="N349">
        <f>E349+F349+G349+H349+I349+J349+K349+L349</f>
        <v>0</v>
      </c>
    </row>
    <row r="350" spans="3:14">
      <c r="C350">
        <f>18.64</f>
        <v>0</v>
      </c>
      <c r="D350">
        <f>18.64</f>
        <v>0</v>
      </c>
      <c r="E350">
        <f>E329*1.9522</f>
        <v>0</v>
      </c>
      <c r="F350">
        <f>F329*-12.9592</f>
        <v>0</v>
      </c>
      <c r="G350">
        <f>G329*-1.9277</f>
        <v>0</v>
      </c>
      <c r="H350">
        <f>H329*0.0</f>
        <v>0</v>
      </c>
      <c r="I350">
        <f>I329*-0.0715</f>
        <v>0</v>
      </c>
      <c r="J350">
        <f>J329*-46.809</f>
        <v>0</v>
      </c>
      <c r="K350">
        <f>K329*35.1067</f>
        <v>0</v>
      </c>
      <c r="L350">
        <f>L329*141.2673</f>
        <v>0</v>
      </c>
      <c r="M350">
        <f>M329*-167.4292</f>
        <v>0</v>
      </c>
      <c r="N350">
        <f>E350+F350+G350+H350+I350+J350+K350+L350</f>
        <v>0</v>
      </c>
    </row>
    <row r="351" spans="3:14">
      <c r="C351">
        <f>19.55</f>
        <v>0</v>
      </c>
      <c r="D351">
        <f>19.55</f>
        <v>0</v>
      </c>
      <c r="E351">
        <f>E329*1.6825</f>
        <v>0</v>
      </c>
      <c r="F351">
        <f>F329*-15.5957</f>
        <v>0</v>
      </c>
      <c r="G351">
        <f>G329*-2.2769999999999997</f>
        <v>0</v>
      </c>
      <c r="H351">
        <f>H329*0.0</f>
        <v>0</v>
      </c>
      <c r="I351">
        <f>I329*-0.0735</f>
        <v>0</v>
      </c>
      <c r="J351">
        <f>J329*-40.3999</f>
        <v>0</v>
      </c>
      <c r="K351">
        <f>K329*30.2999</f>
        <v>0</v>
      </c>
      <c r="L351">
        <f>L329*145.3498</f>
        <v>0</v>
      </c>
      <c r="M351">
        <f>M329*-179.8184</f>
        <v>0</v>
      </c>
      <c r="N351">
        <f>E351+F351+G351+H351+I351+J351+K351+L351</f>
        <v>0</v>
      </c>
    </row>
    <row r="352" spans="3:14">
      <c r="C352">
        <f>20.0</f>
        <v>0</v>
      </c>
      <c r="D352">
        <f>20.0</f>
        <v>0</v>
      </c>
      <c r="E352">
        <f>E329*1.0928</f>
        <v>0</v>
      </c>
      <c r="F352">
        <f>F329*-15.5957</f>
        <v>0</v>
      </c>
      <c r="G352">
        <f>G329*-2.2769999999999997</f>
        <v>0</v>
      </c>
      <c r="H352">
        <f>H329*0.0</f>
        <v>0</v>
      </c>
      <c r="I352">
        <f>I329*-0.0735</f>
        <v>0</v>
      </c>
      <c r="J352">
        <f>J329*-40.3999</f>
        <v>0</v>
      </c>
      <c r="K352">
        <f>K329*30.2999</f>
        <v>0</v>
      </c>
      <c r="L352">
        <f>L329*140.8533</f>
        <v>0</v>
      </c>
      <c r="M352">
        <f>M329*-170.2227</f>
        <v>0</v>
      </c>
      <c r="N352">
        <f>E352+F352+G352+H352+I352+J352+K352+L352</f>
        <v>0</v>
      </c>
    </row>
    <row r="353" spans="3:14">
      <c r="C353">
        <f>20.0</f>
        <v>0</v>
      </c>
      <c r="D353">
        <f>0.0</f>
        <v>0</v>
      </c>
      <c r="E353">
        <f>E329*-1.1438</f>
        <v>0</v>
      </c>
      <c r="F353">
        <f>F329*13.4187</f>
        <v>0</v>
      </c>
      <c r="G353">
        <f>G329*1.9669999999999999</f>
        <v>0</v>
      </c>
      <c r="H353">
        <f>H329*0.0</f>
        <v>0</v>
      </c>
      <c r="I353">
        <f>I329*-1.7797</f>
        <v>0</v>
      </c>
      <c r="J353">
        <f>J329*40.0172</f>
        <v>0</v>
      </c>
      <c r="K353">
        <f>K329*-30.0129</f>
        <v>0</v>
      </c>
      <c r="L353">
        <f>L329*127.4777</f>
        <v>0</v>
      </c>
      <c r="M353">
        <f>M329*-112.6074</f>
        <v>0</v>
      </c>
      <c r="N353">
        <f>E353+F353+G353+H353+I353+J353+K353+L353</f>
        <v>0</v>
      </c>
    </row>
    <row r="354" spans="3:14">
      <c r="C354">
        <f>20.45</f>
        <v>0</v>
      </c>
      <c r="D354">
        <f>0.45</f>
        <v>0</v>
      </c>
      <c r="E354">
        <f>E329*-1.5804</f>
        <v>0</v>
      </c>
      <c r="F354">
        <f>F329*13.4187</f>
        <v>0</v>
      </c>
      <c r="G354">
        <f>G329*1.9669999999999999</f>
        <v>0</v>
      </c>
      <c r="H354">
        <f>H329*0.0</f>
        <v>0</v>
      </c>
      <c r="I354">
        <f>I329*-1.7797</f>
        <v>0</v>
      </c>
      <c r="J354">
        <f>J329*40.0172</f>
        <v>0</v>
      </c>
      <c r="K354">
        <f>K329*-30.0129</f>
        <v>0</v>
      </c>
      <c r="L354">
        <f>L329*180.475</f>
        <v>0</v>
      </c>
      <c r="M354">
        <f>M329*-145.1614</f>
        <v>0</v>
      </c>
      <c r="N354">
        <f>E354+F354+G354+H354+I354+J354+K354+L354</f>
        <v>0</v>
      </c>
    </row>
    <row r="355" spans="3:14">
      <c r="C355">
        <f>21.36</f>
        <v>0</v>
      </c>
      <c r="D355">
        <f>1.36</f>
        <v>0</v>
      </c>
      <c r="E355">
        <f>E329*-2.0127</f>
        <v>0</v>
      </c>
      <c r="F355">
        <f>F329*11.7032</f>
        <v>0</v>
      </c>
      <c r="G355">
        <f>G329*1.7765</f>
        <v>0</v>
      </c>
      <c r="H355">
        <f>H329*0.0</f>
        <v>0</v>
      </c>
      <c r="I355">
        <f>I329*-1.808</f>
        <v>0</v>
      </c>
      <c r="J355">
        <f>J329*46.0047</f>
        <v>0</v>
      </c>
      <c r="K355">
        <f>K329*-34.5035</f>
        <v>0</v>
      </c>
      <c r="L355">
        <f>L329*177.8731</f>
        <v>0</v>
      </c>
      <c r="M355">
        <f>M329*-155.4408</f>
        <v>0</v>
      </c>
      <c r="N355">
        <f>E355+F355+G355+H355+I355+J355+K355+L355</f>
        <v>0</v>
      </c>
    </row>
    <row r="356" spans="3:14">
      <c r="C356">
        <f>22.27</f>
        <v>0</v>
      </c>
      <c r="D356">
        <f>2.27</f>
        <v>0</v>
      </c>
      <c r="E356">
        <f>E329*-2.3544</f>
        <v>0</v>
      </c>
      <c r="F356">
        <f>F329*11.2979</f>
        <v>0</v>
      </c>
      <c r="G356">
        <f>G329*1.7054</f>
        <v>0</v>
      </c>
      <c r="H356">
        <f>H329*0.0</f>
        <v>0</v>
      </c>
      <c r="I356">
        <f>I329*-1.901</f>
        <v>0</v>
      </c>
      <c r="J356">
        <f>J329*42.4943</f>
        <v>0</v>
      </c>
      <c r="K356">
        <f>K329*-31.8707</f>
        <v>0</v>
      </c>
      <c r="L356">
        <f>L329*166.5003</f>
        <v>0</v>
      </c>
      <c r="M356">
        <f>M329*-154.0982</f>
        <v>0</v>
      </c>
      <c r="N356">
        <f>E356+F356+G356+H356+I356+J356+K356+L356</f>
        <v>0</v>
      </c>
    </row>
    <row r="357" spans="3:14">
      <c r="C357">
        <f>23.18</f>
        <v>0</v>
      </c>
      <c r="D357">
        <f>3.18</f>
        <v>0</v>
      </c>
      <c r="E357">
        <f>E329*-2.5363</f>
        <v>0</v>
      </c>
      <c r="F357">
        <f>F329*9.7107</f>
        <v>0</v>
      </c>
      <c r="G357">
        <f>G329*1.4836</f>
        <v>0</v>
      </c>
      <c r="H357">
        <f>H329*0.0</f>
        <v>0</v>
      </c>
      <c r="I357">
        <f>I329*-2.0226</f>
        <v>0</v>
      </c>
      <c r="J357">
        <f>J329*32.0586</f>
        <v>0</v>
      </c>
      <c r="K357">
        <f>K329*-24.0439</f>
        <v>0</v>
      </c>
      <c r="L357">
        <f>L329*154.4871</f>
        <v>0</v>
      </c>
      <c r="M357">
        <f>M329*-152.5104</f>
        <v>0</v>
      </c>
      <c r="N357">
        <f>E357+F357+G357+H357+I357+J357+K357+L357</f>
        <v>0</v>
      </c>
    </row>
    <row r="358" spans="3:14">
      <c r="C358">
        <f>24.09</f>
        <v>0</v>
      </c>
      <c r="D358">
        <f>4.09</f>
        <v>0</v>
      </c>
      <c r="E358">
        <f>E329*-2.3095</f>
        <v>0</v>
      </c>
      <c r="F358">
        <f>F329*7.9708</f>
        <v>0</v>
      </c>
      <c r="G358">
        <f>G329*1.2144</f>
        <v>0</v>
      </c>
      <c r="H358">
        <f>H329*0.0</f>
        <v>0</v>
      </c>
      <c r="I358">
        <f>I329*-2.1729</f>
        <v>0</v>
      </c>
      <c r="J358">
        <f>J329*24.147</f>
        <v>0</v>
      </c>
      <c r="K358">
        <f>K329*-18.1102</f>
        <v>0</v>
      </c>
      <c r="L358">
        <f>L329*145.0184</f>
        <v>0</v>
      </c>
      <c r="M358">
        <f>M329*-151.5061</f>
        <v>0</v>
      </c>
      <c r="N358">
        <f>E358+F358+G358+H358+I358+J358+K358+L358</f>
        <v>0</v>
      </c>
    </row>
    <row r="359" spans="3:14">
      <c r="C359">
        <f>25.0</f>
        <v>0</v>
      </c>
      <c r="D359">
        <f>5.0</f>
        <v>0</v>
      </c>
      <c r="E359">
        <f>E329*-1.8896</f>
        <v>0</v>
      </c>
      <c r="F359">
        <f>F329*6.3556</f>
        <v>0</v>
      </c>
      <c r="G359">
        <f>G329*0.9634</f>
        <v>0</v>
      </c>
      <c r="H359">
        <f>H329*0.0</f>
        <v>0</v>
      </c>
      <c r="I359">
        <f>I329*-2.2518</f>
        <v>0</v>
      </c>
      <c r="J359">
        <f>J329*22.7534</f>
        <v>0</v>
      </c>
      <c r="K359">
        <f>K329*-17.065</f>
        <v>0</v>
      </c>
      <c r="L359">
        <f>L329*137.483</f>
        <v>0</v>
      </c>
      <c r="M359">
        <f>M329*-149.244</f>
        <v>0</v>
      </c>
      <c r="N359">
        <f>E359+F359+G359+H359+I359+J359+K359+L359</f>
        <v>0</v>
      </c>
    </row>
    <row r="360" spans="3:14">
      <c r="C360">
        <f>26.0</f>
        <v>0</v>
      </c>
      <c r="D360">
        <f>6.0</f>
        <v>0</v>
      </c>
      <c r="E360">
        <f>E329*-1.2455</f>
        <v>0</v>
      </c>
      <c r="F360">
        <f>F329*3.8379</f>
        <v>0</v>
      </c>
      <c r="G360">
        <f>G329*0.6118</f>
        <v>0</v>
      </c>
      <c r="H360">
        <f>H329*0.0</f>
        <v>0</v>
      </c>
      <c r="I360">
        <f>I329*-2.286</f>
        <v>0</v>
      </c>
      <c r="J360">
        <f>J329*21.9128</f>
        <v>0</v>
      </c>
      <c r="K360">
        <f>K329*-16.4346</f>
        <v>0</v>
      </c>
      <c r="L360">
        <f>L329*124.7682</f>
        <v>0</v>
      </c>
      <c r="M360">
        <f>M329*-135.5877</f>
        <v>0</v>
      </c>
      <c r="N360">
        <f>E360+F360+G360+H360+I360+J360+K360+L360</f>
        <v>0</v>
      </c>
    </row>
    <row r="361" spans="3:14">
      <c r="C361">
        <f>27.0</f>
        <v>0</v>
      </c>
      <c r="D361">
        <f>7.0</f>
        <v>0</v>
      </c>
      <c r="E361">
        <f>E329*-0.965</f>
        <v>0</v>
      </c>
      <c r="F361">
        <f>F329*2.4122</f>
        <v>0</v>
      </c>
      <c r="G361">
        <f>G329*0.3865</f>
        <v>0</v>
      </c>
      <c r="H361">
        <f>H329*0.0</f>
        <v>0</v>
      </c>
      <c r="I361">
        <f>I329*-2.3489</f>
        <v>0</v>
      </c>
      <c r="J361">
        <f>J329*16.0228</f>
        <v>0</v>
      </c>
      <c r="K361">
        <f>K329*-12.0171</f>
        <v>0</v>
      </c>
      <c r="L361">
        <f>L329*107.9876</f>
        <v>0</v>
      </c>
      <c r="M361">
        <f>M329*-122.0006</f>
        <v>0</v>
      </c>
      <c r="N361">
        <f>E361+F361+G361+H361+I361+J361+K361+L361</f>
        <v>0</v>
      </c>
    </row>
    <row r="362" spans="3:14">
      <c r="C362">
        <f>28.0</f>
        <v>0</v>
      </c>
      <c r="D362">
        <f>8.0</f>
        <v>0</v>
      </c>
      <c r="E362">
        <f>E329*-0.9094</f>
        <v>0</v>
      </c>
      <c r="F362">
        <f>F329*1.1762</f>
        <v>0</v>
      </c>
      <c r="G362">
        <f>G329*0.1954</f>
        <v>0</v>
      </c>
      <c r="H362">
        <f>H329*0.0</f>
        <v>0</v>
      </c>
      <c r="I362">
        <f>I329*-2.5115</f>
        <v>0</v>
      </c>
      <c r="J362">
        <f>J329*6.0824</f>
        <v>0</v>
      </c>
      <c r="K362">
        <f>K329*-4.5618</f>
        <v>0</v>
      </c>
      <c r="L362">
        <f>L329*96.1865</f>
        <v>0</v>
      </c>
      <c r="M362">
        <f>M329*-110.7572</f>
        <v>0</v>
      </c>
      <c r="N362">
        <f>E362+F362+G362+H362+I362+J362+K362+L362</f>
        <v>0</v>
      </c>
    </row>
    <row r="363" spans="3:14">
      <c r="C363">
        <f>29.0</f>
        <v>0</v>
      </c>
      <c r="D363">
        <f>9.0</f>
        <v>0</v>
      </c>
      <c r="E363">
        <f>E329*-0.5656</f>
        <v>0</v>
      </c>
      <c r="F363">
        <f>F329*-0.3308</f>
        <v>0</v>
      </c>
      <c r="G363">
        <f>G329*-0.035</f>
        <v>0</v>
      </c>
      <c r="H363">
        <f>H329*0.0</f>
        <v>0</v>
      </c>
      <c r="I363">
        <f>I329*-2.7693</f>
        <v>0</v>
      </c>
      <c r="J363">
        <f>J329*-4.1701</f>
        <v>0</v>
      </c>
      <c r="K363">
        <f>K329*3.1275</f>
        <v>0</v>
      </c>
      <c r="L363">
        <f>L329*92.1046</f>
        <v>0</v>
      </c>
      <c r="M363">
        <f>M329*-103.25399999999999</f>
        <v>0</v>
      </c>
      <c r="N363">
        <f>E363+F363+G363+H363+I363+J363+K363+L363</f>
        <v>0</v>
      </c>
    </row>
    <row r="364" spans="3:14">
      <c r="C364">
        <f>30.0</f>
        <v>0</v>
      </c>
      <c r="D364">
        <f>10.0</f>
        <v>0</v>
      </c>
      <c r="E364">
        <f>E329*-0.2479</f>
        <v>0</v>
      </c>
      <c r="F364">
        <f>F329*1.6521</f>
        <v>0</v>
      </c>
      <c r="G364">
        <f>G329*0.2681</f>
        <v>0</v>
      </c>
      <c r="H364">
        <f>H329*0.0</f>
        <v>0</v>
      </c>
      <c r="I364">
        <f>I329*-3.1653</f>
        <v>0</v>
      </c>
      <c r="J364">
        <f>J329*3.5869999999999997</f>
        <v>0</v>
      </c>
      <c r="K364">
        <f>K329*-2.6902</f>
        <v>0</v>
      </c>
      <c r="L364">
        <f>L329*99.2923</f>
        <v>0</v>
      </c>
      <c r="M364">
        <f>M329*-101.3639</f>
        <v>0</v>
      </c>
      <c r="N364">
        <f>E364+F364+G364+H364+I364+J364+K364+L364</f>
        <v>0</v>
      </c>
    </row>
    <row r="365" spans="3:14">
      <c r="C365">
        <f>31.0</f>
        <v>0</v>
      </c>
      <c r="D365">
        <f>11.0</f>
        <v>0</v>
      </c>
      <c r="E365">
        <f>E329*0.4707</f>
        <v>0</v>
      </c>
      <c r="F365">
        <f>F329*1.4556</f>
        <v>0</v>
      </c>
      <c r="G365">
        <f>G329*0.204</f>
        <v>0</v>
      </c>
      <c r="H365">
        <f>H329*0.0</f>
        <v>0</v>
      </c>
      <c r="I365">
        <f>I329*-3.3604</f>
        <v>0</v>
      </c>
      <c r="J365">
        <f>J329*6.1004</f>
        <v>0</v>
      </c>
      <c r="K365">
        <f>K329*-4.5753</f>
        <v>0</v>
      </c>
      <c r="L365">
        <f>L329*102.1493</f>
        <v>0</v>
      </c>
      <c r="M365">
        <f>M329*-90.2704</f>
        <v>0</v>
      </c>
      <c r="N365">
        <f>E365+F365+G365+H365+I365+J365+K365+L365</f>
        <v>0</v>
      </c>
    </row>
    <row r="366" spans="3:14">
      <c r="C366">
        <f>32.0</f>
        <v>0</v>
      </c>
      <c r="D366">
        <f>12.0</f>
        <v>0</v>
      </c>
      <c r="E366">
        <f>E329*0.8225</f>
        <v>0</v>
      </c>
      <c r="F366">
        <f>F329*0.6214</f>
        <v>0</v>
      </c>
      <c r="G366">
        <f>G329*0.0641</f>
        <v>0</v>
      </c>
      <c r="H366">
        <f>H329*0.0</f>
        <v>0</v>
      </c>
      <c r="I366">
        <f>I329*-3.6111</f>
        <v>0</v>
      </c>
      <c r="J366">
        <f>J329*-4.1181</f>
        <v>0</v>
      </c>
      <c r="K366">
        <f>K329*3.0886</f>
        <v>0</v>
      </c>
      <c r="L366">
        <f>L329*109.1492</f>
        <v>0</v>
      </c>
      <c r="M366">
        <f>M329*-97.3395</f>
        <v>0</v>
      </c>
      <c r="N366">
        <f>E366+F366+G366+H366+I366+J366+K366+L366</f>
        <v>0</v>
      </c>
    </row>
    <row r="367" spans="3:14">
      <c r="C367">
        <f>33.0</f>
        <v>0</v>
      </c>
      <c r="D367">
        <f>13.0</f>
        <v>0</v>
      </c>
      <c r="E367">
        <f>E329*0.8939</f>
        <v>0</v>
      </c>
      <c r="F367">
        <f>F329*-0.9039</f>
        <v>0</v>
      </c>
      <c r="G367">
        <f>G329*-0.1628</f>
        <v>0</v>
      </c>
      <c r="H367">
        <f>H329*0.0</f>
        <v>0</v>
      </c>
      <c r="I367">
        <f>I329*-3.9759</f>
        <v>0</v>
      </c>
      <c r="J367">
        <f>J329*-14.0712</f>
        <v>0</v>
      </c>
      <c r="K367">
        <f>K329*10.5534</f>
        <v>0</v>
      </c>
      <c r="L367">
        <f>L329*119.9732</f>
        <v>0</v>
      </c>
      <c r="M367">
        <f>M329*-103.6942</f>
        <v>0</v>
      </c>
      <c r="N367">
        <f>E367+F367+G367+H367+I367+J367+K367+L367</f>
        <v>0</v>
      </c>
    </row>
    <row r="368" spans="3:14">
      <c r="C368">
        <f>34.0</f>
        <v>0</v>
      </c>
      <c r="D368">
        <f>14.0</f>
        <v>0</v>
      </c>
      <c r="E368">
        <f>E329*1.1993</f>
        <v>0</v>
      </c>
      <c r="F368">
        <f>F329*-2.1018</f>
        <v>0</v>
      </c>
      <c r="G368">
        <f>G329*-0.3559</f>
        <v>0</v>
      </c>
      <c r="H368">
        <f>H329*0.0</f>
        <v>0</v>
      </c>
      <c r="I368">
        <f>I329*-4.3989</f>
        <v>0</v>
      </c>
      <c r="J368">
        <f>J329*-20.0386</f>
        <v>0</v>
      </c>
      <c r="K368">
        <f>K329*15.0289</f>
        <v>0</v>
      </c>
      <c r="L368">
        <f>L329*134.3732</f>
        <v>0</v>
      </c>
      <c r="M368">
        <f>M329*-122.3106</f>
        <v>0</v>
      </c>
      <c r="N368">
        <f>E368+F368+G368+H368+I368+J368+K368+L368</f>
        <v>0</v>
      </c>
    </row>
    <row r="369" spans="3:14">
      <c r="C369">
        <f>35.0</f>
        <v>0</v>
      </c>
      <c r="D369">
        <f>15.0</f>
        <v>0</v>
      </c>
      <c r="E369">
        <f>E329*1.8809</f>
        <v>0</v>
      </c>
      <c r="F369">
        <f>F329*-3.4278</f>
        <v>0</v>
      </c>
      <c r="G369">
        <f>G329*-0.5354</f>
        <v>0</v>
      </c>
      <c r="H369">
        <f>H329*0.0</f>
        <v>0</v>
      </c>
      <c r="I369">
        <f>I329*-5.3073</f>
        <v>0</v>
      </c>
      <c r="J369">
        <f>J329*-20.4103</f>
        <v>0</v>
      </c>
      <c r="K369">
        <f>K329*15.3077</f>
        <v>0</v>
      </c>
      <c r="L369">
        <f>L329*148.431</f>
        <v>0</v>
      </c>
      <c r="M369">
        <f>M329*-135.3578</f>
        <v>0</v>
      </c>
      <c r="N369">
        <f>E369+F369+G369+H369+I369+J369+K369+L369</f>
        <v>0</v>
      </c>
    </row>
    <row r="370" spans="3:14">
      <c r="C370">
        <f>35.91</f>
        <v>0</v>
      </c>
      <c r="D370">
        <f>15.91</f>
        <v>0</v>
      </c>
      <c r="E370">
        <f>E329*2.3706</f>
        <v>0</v>
      </c>
      <c r="F370">
        <f>F329*-4.8944</f>
        <v>0</v>
      </c>
      <c r="G370">
        <f>G329*-0.7669</f>
        <v>0</v>
      </c>
      <c r="H370">
        <f>H329*0.0</f>
        <v>0</v>
      </c>
      <c r="I370">
        <f>I329*-5.645</f>
        <v>0</v>
      </c>
      <c r="J370">
        <f>J329*-22.1999</f>
        <v>0</v>
      </c>
      <c r="K370">
        <f>K329*16.6499</f>
        <v>0</v>
      </c>
      <c r="L370">
        <f>L329*150.656</f>
        <v>0</v>
      </c>
      <c r="M370">
        <f>M329*-142.2595</f>
        <v>0</v>
      </c>
      <c r="N370">
        <f>E370+F370+G370+H370+I370+J370+K370+L370</f>
        <v>0</v>
      </c>
    </row>
    <row r="371" spans="3:14">
      <c r="C371">
        <f>36.82</f>
        <v>0</v>
      </c>
      <c r="D371">
        <f>16.82</f>
        <v>0</v>
      </c>
      <c r="E371">
        <f>E329*2.6676</f>
        <v>0</v>
      </c>
      <c r="F371">
        <f>F329*-6.6963</f>
        <v>0</v>
      </c>
      <c r="G371">
        <f>G329*-1.0484</f>
        <v>0</v>
      </c>
      <c r="H371">
        <f>H329*0.0</f>
        <v>0</v>
      </c>
      <c r="I371">
        <f>I329*-6.1362</f>
        <v>0</v>
      </c>
      <c r="J371">
        <f>J329*-30.9272</f>
        <v>0</v>
      </c>
      <c r="K371">
        <f>K329*23.1954</f>
        <v>0</v>
      </c>
      <c r="L371">
        <f>L329*151.796</f>
        <v>0</v>
      </c>
      <c r="M371">
        <f>M329*-152.7525</f>
        <v>0</v>
      </c>
      <c r="N371">
        <f>E371+F371+G371+H371+I371+J371+K371+L371</f>
        <v>0</v>
      </c>
    </row>
    <row r="372" spans="3:14">
      <c r="C372">
        <f>37.73</f>
        <v>0</v>
      </c>
      <c r="D372">
        <f>17.73</f>
        <v>0</v>
      </c>
      <c r="E372">
        <f>E329*2.583</f>
        <v>0</v>
      </c>
      <c r="F372">
        <f>F329*-8.6065</f>
        <v>0</v>
      </c>
      <c r="G372">
        <f>G329*-1.3219999999999998</f>
        <v>0</v>
      </c>
      <c r="H372">
        <f>H329*0.0</f>
        <v>0</v>
      </c>
      <c r="I372">
        <f>I329*-6.8456</f>
        <v>0</v>
      </c>
      <c r="J372">
        <f>J329*-42.6672</f>
        <v>0</v>
      </c>
      <c r="K372">
        <f>K329*32.0004</f>
        <v>0</v>
      </c>
      <c r="L372">
        <f>L329*154.6215</f>
        <v>0</v>
      </c>
      <c r="M372">
        <f>M329*-167.4297</f>
        <v>0</v>
      </c>
      <c r="N372">
        <f>E372+F372+G372+H372+I372+J372+K372+L372</f>
        <v>0</v>
      </c>
    </row>
    <row r="373" spans="3:14">
      <c r="C373">
        <f>38.64</f>
        <v>0</v>
      </c>
      <c r="D373">
        <f>18.64</f>
        <v>0</v>
      </c>
      <c r="E373">
        <f>E329*2.3573</f>
        <v>0</v>
      </c>
      <c r="F373">
        <f>F329*-9.7293</f>
        <v>0</v>
      </c>
      <c r="G373">
        <f>G329*-1.4721</f>
        <v>0</v>
      </c>
      <c r="H373">
        <f>H329*0.0</f>
        <v>0</v>
      </c>
      <c r="I373">
        <f>I329*-7.141</f>
        <v>0</v>
      </c>
      <c r="J373">
        <f>J329*-48.0048</f>
        <v>0</v>
      </c>
      <c r="K373">
        <f>K329*36.0036</f>
        <v>0</v>
      </c>
      <c r="L373">
        <f>L329*158.1482</f>
        <v>0</v>
      </c>
      <c r="M373">
        <f>M329*-182.4884</f>
        <v>0</v>
      </c>
      <c r="N373">
        <f>E373+F373+G373+H373+I373+J373+K373+L373</f>
        <v>0</v>
      </c>
    </row>
    <row r="374" spans="3:14">
      <c r="C374">
        <f>39.55</f>
        <v>0</v>
      </c>
      <c r="D374">
        <f>19.55</f>
        <v>0</v>
      </c>
      <c r="E374">
        <f>E329*1.9933</f>
        <v>0</v>
      </c>
      <c r="F374">
        <f>F329*-11.5389</f>
        <v>0</v>
      </c>
      <c r="G374">
        <f>G329*-1.7099</f>
        <v>0</v>
      </c>
      <c r="H374">
        <f>H329*0.0</f>
        <v>0</v>
      </c>
      <c r="I374">
        <f>I329*-6.5751</f>
        <v>0</v>
      </c>
      <c r="J374">
        <f>J329*-42.6338</f>
        <v>0</v>
      </c>
      <c r="K374">
        <f>K329*31.9753</f>
        <v>0</v>
      </c>
      <c r="L374">
        <f>L329*170.9641</f>
        <v>0</v>
      </c>
      <c r="M374">
        <f>M329*-194.9079</f>
        <v>0</v>
      </c>
      <c r="N374">
        <f>E374+F374+G374+H374+I374+J374+K374+L374</f>
        <v>0</v>
      </c>
    </row>
    <row r="375" spans="3:14">
      <c r="C375">
        <f>40.0</f>
        <v>0</v>
      </c>
      <c r="D375">
        <f>20.0</f>
        <v>0</v>
      </c>
      <c r="E375">
        <f>E329*1.6144</f>
        <v>0</v>
      </c>
      <c r="F375">
        <f>F329*-11.5389</f>
        <v>0</v>
      </c>
      <c r="G375">
        <f>G329*-1.7099</f>
        <v>0</v>
      </c>
      <c r="H375">
        <f>H329*0.0</f>
        <v>0</v>
      </c>
      <c r="I375">
        <f>I329*-6.2957</f>
        <v>0</v>
      </c>
      <c r="J375">
        <f>J329*-42.6338</f>
        <v>0</v>
      </c>
      <c r="K375">
        <f>K329*31.9753</f>
        <v>0</v>
      </c>
      <c r="L375">
        <f>L329*170.9641</f>
        <v>0</v>
      </c>
      <c r="M375">
        <f>M329*-194.9079</f>
        <v>0</v>
      </c>
      <c r="N375">
        <f>E375+F375+G375+H375+I375+J375+K375+L375</f>
        <v>0</v>
      </c>
    </row>
    <row r="376" spans="3:14">
      <c r="C376">
        <f>40.0</f>
        <v>0</v>
      </c>
      <c r="D376">
        <f>0.0</f>
        <v>0</v>
      </c>
      <c r="E376">
        <f>E329*-0.8218</f>
        <v>0</v>
      </c>
      <c r="F376">
        <f>F329*10.7549</f>
        <v>0</v>
      </c>
      <c r="G376">
        <f>G329*1.5555</f>
        <v>0</v>
      </c>
      <c r="H376">
        <f>H329*0.0</f>
        <v>0</v>
      </c>
      <c r="I376">
        <f>I329*-60.7936</f>
        <v>0</v>
      </c>
      <c r="J376">
        <f>J329*32.376</f>
        <v>0</v>
      </c>
      <c r="K376">
        <f>K329*-24.281999999999996</f>
        <v>0</v>
      </c>
      <c r="L376">
        <f>L329*48.8354</f>
        <v>0</v>
      </c>
      <c r="M376">
        <f>M329*-31.487</f>
        <v>0</v>
      </c>
      <c r="N376">
        <f>E376+F376+G376+H376+I376+J376+K376+L376</f>
        <v>0</v>
      </c>
    </row>
    <row r="377" spans="3:14">
      <c r="C377">
        <f>40.45</f>
        <v>0</v>
      </c>
      <c r="D377">
        <f>0.45</f>
        <v>0</v>
      </c>
      <c r="E377">
        <f>E329*-1.0932</f>
        <v>0</v>
      </c>
      <c r="F377">
        <f>F329*10.7549</f>
        <v>0</v>
      </c>
      <c r="G377">
        <f>G329*1.5555</f>
        <v>0</v>
      </c>
      <c r="H377">
        <f>H329*0.0</f>
        <v>0</v>
      </c>
      <c r="I377">
        <f>I329*-69.40100000000001</f>
        <v>0</v>
      </c>
      <c r="J377">
        <f>J329*32.376</f>
        <v>0</v>
      </c>
      <c r="K377">
        <f>K329*-24.281999999999996</f>
        <v>0</v>
      </c>
      <c r="L377">
        <f>L329*97.3296</f>
        <v>0</v>
      </c>
      <c r="M377">
        <f>M329*-83.7</f>
        <v>0</v>
      </c>
      <c r="N377">
        <f>E377+F377+G377+H377+I377+J377+K377+L377</f>
        <v>0</v>
      </c>
    </row>
    <row r="378" spans="3:14">
      <c r="C378">
        <f>41.36</f>
        <v>0</v>
      </c>
      <c r="D378">
        <f>1.36</f>
        <v>0</v>
      </c>
      <c r="E378">
        <f>E329*-1.392</f>
        <v>0</v>
      </c>
      <c r="F378">
        <f>F329*10.5955</f>
        <v>0</v>
      </c>
      <c r="G378">
        <f>G329*1.5844</f>
        <v>0</v>
      </c>
      <c r="H378">
        <f>H329*0.0</f>
        <v>0</v>
      </c>
      <c r="I378">
        <f>I329*-72.6473</f>
        <v>0</v>
      </c>
      <c r="J378">
        <f>J329*38.7783</f>
        <v>0</v>
      </c>
      <c r="K378">
        <f>K329*-29.0837</f>
        <v>0</v>
      </c>
      <c r="L378">
        <f>L329*94.4211</f>
        <v>0</v>
      </c>
      <c r="M378">
        <f>M329*-85.3762</f>
        <v>0</v>
      </c>
      <c r="N378">
        <f>E378+F378+G378+H378+I378+J378+K378+L378</f>
        <v>0</v>
      </c>
    </row>
    <row r="379" spans="3:14">
      <c r="C379">
        <f>42.27</f>
        <v>0</v>
      </c>
      <c r="D379">
        <f>2.27</f>
        <v>0</v>
      </c>
      <c r="E379">
        <f>E329*-1.4319</f>
        <v>0</v>
      </c>
      <c r="F379">
        <f>F329*10.5962</f>
        <v>0</v>
      </c>
      <c r="G379">
        <f>G329*1.5662</f>
        <v>0</v>
      </c>
      <c r="H379">
        <f>H329*0.0</f>
        <v>0</v>
      </c>
      <c r="I379">
        <f>I329*-62.9692</f>
        <v>0</v>
      </c>
      <c r="J379">
        <f>J329*34.1578</f>
        <v>0</v>
      </c>
      <c r="K379">
        <f>K329*-25.6184</f>
        <v>0</v>
      </c>
      <c r="L379">
        <f>L329*89.2487</f>
        <v>0</v>
      </c>
      <c r="M379">
        <f>M329*-81.3126</f>
        <v>0</v>
      </c>
      <c r="N379">
        <f>E379+F379+G379+H379+I379+J379+K379+L379</f>
        <v>0</v>
      </c>
    </row>
    <row r="380" spans="3:14">
      <c r="C380">
        <f>43.18</f>
        <v>0</v>
      </c>
      <c r="D380">
        <f>3.18</f>
        <v>0</v>
      </c>
      <c r="E380">
        <f>E329*-1.2444</f>
        <v>0</v>
      </c>
      <c r="F380">
        <f>F329*9.7832</f>
        <v>0</v>
      </c>
      <c r="G380">
        <f>G329*1.4377</f>
        <v>0</v>
      </c>
      <c r="H380">
        <f>H329*0.0</f>
        <v>0</v>
      </c>
      <c r="I380">
        <f>I329*-45.2993</f>
        <v>0</v>
      </c>
      <c r="J380">
        <f>J329*21.1714</f>
        <v>0</v>
      </c>
      <c r="K380">
        <f>K329*-15.8785</f>
        <v>0</v>
      </c>
      <c r="L380">
        <f>L329*82.8281</f>
        <v>0</v>
      </c>
      <c r="M380">
        <f>M329*-77.6841</f>
        <v>0</v>
      </c>
      <c r="N380">
        <f>E380+F380+G380+H380+I380+J380+K380+L380</f>
        <v>0</v>
      </c>
    </row>
    <row r="381" spans="3:14">
      <c r="C381">
        <f>44.09</f>
        <v>0</v>
      </c>
      <c r="D381">
        <f>4.09</f>
        <v>0</v>
      </c>
      <c r="E381">
        <f>E329*-0.7306</f>
        <v>0</v>
      </c>
      <c r="F381">
        <f>F329*8.4708</f>
        <v>0</v>
      </c>
      <c r="G381">
        <f>G329*1.2068</f>
        <v>0</v>
      </c>
      <c r="H381">
        <f>H329*0.0</f>
        <v>0</v>
      </c>
      <c r="I381">
        <f>I329*-24.1711</f>
        <v>0</v>
      </c>
      <c r="J381">
        <f>J329*9.835</f>
        <v>0</v>
      </c>
      <c r="K381">
        <f>K329*-7.3763</f>
        <v>0</v>
      </c>
      <c r="L381">
        <f>L329*77.1468</f>
        <v>0</v>
      </c>
      <c r="M381">
        <f>M329*-76.5673</f>
        <v>0</v>
      </c>
      <c r="N381">
        <f>E381+F381+G381+H381+I381+J381+K381+L381</f>
        <v>0</v>
      </c>
    </row>
    <row r="382" spans="3:14">
      <c r="C382">
        <f>45.0</f>
        <v>0</v>
      </c>
      <c r="D382">
        <f>5.0</f>
        <v>0</v>
      </c>
      <c r="E382">
        <f>E329*1.0158</f>
        <v>0</v>
      </c>
      <c r="F382">
        <f>F329*6.7279</f>
        <v>0</v>
      </c>
      <c r="G382">
        <f>G329*0.9053</f>
        <v>0</v>
      </c>
      <c r="H382">
        <f>H329*0.0</f>
        <v>0</v>
      </c>
      <c r="I382">
        <f>I329*-2.5422</f>
        <v>0</v>
      </c>
      <c r="J382">
        <f>J329*-12.6245</f>
        <v>0</v>
      </c>
      <c r="K382">
        <f>K329*9.4683</f>
        <v>0</v>
      </c>
      <c r="L382">
        <f>L329*82.5381</f>
        <v>0</v>
      </c>
      <c r="M382">
        <f>M329*-75.9386</f>
        <v>0</v>
      </c>
      <c r="N382">
        <f>E382+F382+G382+H382+I382+J382+K382+L382</f>
        <v>0</v>
      </c>
    </row>
    <row r="383" spans="3:14">
      <c r="C383">
        <f>46.0</f>
        <v>0</v>
      </c>
      <c r="D383">
        <f>6.0</f>
        <v>0</v>
      </c>
      <c r="E383">
        <f>E329*2.2073</f>
        <v>0</v>
      </c>
      <c r="F383">
        <f>F329*2.9651</f>
        <v>0</v>
      </c>
      <c r="G383">
        <f>G329*0.2905</f>
        <v>0</v>
      </c>
      <c r="H383">
        <f>H329*0.0</f>
        <v>0</v>
      </c>
      <c r="I383">
        <f>I329*26.9336</f>
        <v>0</v>
      </c>
      <c r="J383">
        <f>J329*-21.758000000000003</f>
        <v>0</v>
      </c>
      <c r="K383">
        <f>K329*16.3185</f>
        <v>0</v>
      </c>
      <c r="L383">
        <f>L329*79.6262</f>
        <v>0</v>
      </c>
      <c r="M383">
        <f>M329*-70.9575</f>
        <v>0</v>
      </c>
      <c r="N383">
        <f>E383+F383+G383+H383+I383+J383+K383+L383</f>
        <v>0</v>
      </c>
    </row>
    <row r="384" spans="3:14">
      <c r="C384">
        <f>47.0</f>
        <v>0</v>
      </c>
      <c r="D384">
        <f>7.0</f>
        <v>0</v>
      </c>
      <c r="E384">
        <f>E329*2.9915</f>
        <v>0</v>
      </c>
      <c r="F384">
        <f>F329*1.3833</f>
        <v>0</v>
      </c>
      <c r="G384">
        <f>G329*-0.0995</f>
        <v>0</v>
      </c>
      <c r="H384">
        <f>H329*0.0</f>
        <v>0</v>
      </c>
      <c r="I384">
        <f>I329*52.0639</f>
        <v>0</v>
      </c>
      <c r="J384">
        <f>J329*-37.4765</f>
        <v>0</v>
      </c>
      <c r="K384">
        <f>K329*28.1074</f>
        <v>0</v>
      </c>
      <c r="L384">
        <f>L329*80.9917</f>
        <v>0</v>
      </c>
      <c r="M384">
        <f>M329*-76.7718</f>
        <v>0</v>
      </c>
      <c r="N384">
        <f>E384+F384+G384+H384+I384+J384+K384+L384</f>
        <v>0</v>
      </c>
    </row>
    <row r="385" spans="3:14">
      <c r="C385">
        <f>48.0</f>
        <v>0</v>
      </c>
      <c r="D385">
        <f>8.0</f>
        <v>0</v>
      </c>
      <c r="E385">
        <f>E329*3.3353</f>
        <v>0</v>
      </c>
      <c r="F385">
        <f>F329*-0.2373</f>
        <v>0</v>
      </c>
      <c r="G385">
        <f>G329*-0.2925</f>
        <v>0</v>
      </c>
      <c r="H385">
        <f>H329*0.0</f>
        <v>0</v>
      </c>
      <c r="I385">
        <f>I329*74.0514</f>
        <v>0</v>
      </c>
      <c r="J385">
        <f>J329*-54.1467</f>
        <v>0</v>
      </c>
      <c r="K385">
        <f>K329*40.61</f>
        <v>0</v>
      </c>
      <c r="L385">
        <f>L329*85.6312</f>
        <v>0</v>
      </c>
      <c r="M385">
        <f>M329*-82.4163</f>
        <v>0</v>
      </c>
      <c r="N385">
        <f>E385+F385+G385+H385+I385+J385+K385+L385</f>
        <v>0</v>
      </c>
    </row>
    <row r="386" spans="3:14">
      <c r="C386">
        <f>49.0</f>
        <v>0</v>
      </c>
      <c r="D386">
        <f>9.0</f>
        <v>0</v>
      </c>
      <c r="E386">
        <f>E329*3.6009</f>
        <v>0</v>
      </c>
      <c r="F386">
        <f>F329*-0.7521</f>
        <v>0</v>
      </c>
      <c r="G386">
        <f>G329*-0.3879</f>
        <v>0</v>
      </c>
      <c r="H386">
        <f>H329*0.0</f>
        <v>0</v>
      </c>
      <c r="I386">
        <f>I329*89.9331</f>
        <v>0</v>
      </c>
      <c r="J386">
        <f>J329*-60.9378</f>
        <v>0</v>
      </c>
      <c r="K386">
        <f>K329*45.7034</f>
        <v>0</v>
      </c>
      <c r="L386">
        <f>L329*93.7349</f>
        <v>0</v>
      </c>
      <c r="M386">
        <f>M329*-94.5469</f>
        <v>0</v>
      </c>
      <c r="N386">
        <f>E386+F386+G386+H386+I386+J386+K386+L386</f>
        <v>0</v>
      </c>
    </row>
    <row r="387" spans="3:14">
      <c r="C387">
        <f>50.0</f>
        <v>0</v>
      </c>
      <c r="D387">
        <f>10.0</f>
        <v>0</v>
      </c>
      <c r="E387">
        <f>E329*3.9387</f>
        <v>0</v>
      </c>
      <c r="F387">
        <f>F329*-1.0274</f>
        <v>0</v>
      </c>
      <c r="G387">
        <f>G329*-0.4525</f>
        <v>0</v>
      </c>
      <c r="H387">
        <f>H329*0.0</f>
        <v>0</v>
      </c>
      <c r="I387">
        <f>I329*97.9386</f>
        <v>0</v>
      </c>
      <c r="J387">
        <f>J329*-61.8226</f>
        <v>0</v>
      </c>
      <c r="K387">
        <f>K329*46.3669</f>
        <v>0</v>
      </c>
      <c r="L387">
        <f>L329*97.9865</f>
        <v>0</v>
      </c>
      <c r="M387">
        <f>M329*-102.8744</f>
        <v>0</v>
      </c>
      <c r="N387">
        <f>E387+F387+G387+H387+I387+J387+K387+L387</f>
        <v>0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C10:N387"/>
  <sheetViews>
    <sheetView workbookViewId="0"/>
  </sheetViews>
  <sheetFormatPr defaultRowHeight="15"/>
  <sheetData>
    <row r="10" spans="3:14">
      <c r="C10" t="s">
        <v>0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</row>
    <row r="11" spans="3:14">
      <c r="C11">
        <f>0.0</f>
        <v>0</v>
      </c>
      <c r="D11">
        <f>0.0</f>
        <v>0</v>
      </c>
      <c r="E11">
        <f>E9*24.0122</f>
        <v>0</v>
      </c>
      <c r="F11">
        <f>F9*-29.9547</f>
        <v>0</v>
      </c>
      <c r="G11">
        <f>G9*-6.5443</f>
        <v>0</v>
      </c>
      <c r="H11">
        <f>H9*0.0</f>
        <v>0</v>
      </c>
      <c r="I11">
        <f>I9*0.0612</f>
        <v>0</v>
      </c>
      <c r="J11">
        <f>J9*-214.7527</f>
        <v>0</v>
      </c>
      <c r="K11">
        <f>K9*161.0646</f>
        <v>0</v>
      </c>
      <c r="L11">
        <f>L9*175.1905</f>
        <v>0</v>
      </c>
      <c r="M11">
        <f>M9*-240.1449</f>
        <v>0</v>
      </c>
      <c r="N11">
        <f>E11+F11+G11+H11+I11+J11+K11+L11</f>
        <v>0</v>
      </c>
    </row>
    <row r="12" spans="3:14">
      <c r="C12">
        <f>1.0</f>
        <v>0</v>
      </c>
      <c r="D12">
        <f>1.0</f>
        <v>0</v>
      </c>
      <c r="E12">
        <f>E9*34.7167</f>
        <v>0</v>
      </c>
      <c r="F12">
        <f>F9*215.4024</f>
        <v>0</v>
      </c>
      <c r="G12">
        <f>G9*30.2423</f>
        <v>0</v>
      </c>
      <c r="H12">
        <f>H9*0.0</f>
        <v>0</v>
      </c>
      <c r="I12">
        <f>I9*0.055</f>
        <v>0</v>
      </c>
      <c r="J12">
        <f>J9*-105.0231</f>
        <v>0</v>
      </c>
      <c r="K12">
        <f>K9*78.7673</f>
        <v>0</v>
      </c>
      <c r="L12">
        <f>L9*369.9482</f>
        <v>0</v>
      </c>
      <c r="M12">
        <f>M9*-35.9259</f>
        <v>0</v>
      </c>
      <c r="N12">
        <f>E12+F12+G12+H12+I12+J12+K12+L12</f>
        <v>0</v>
      </c>
    </row>
    <row r="13" spans="3:14">
      <c r="C13">
        <f>2.0</f>
        <v>0</v>
      </c>
      <c r="D13">
        <f>2.0</f>
        <v>0</v>
      </c>
      <c r="E13">
        <f>E9*45.6872</f>
        <v>0</v>
      </c>
      <c r="F13">
        <f>F9*416.9697</f>
        <v>0</v>
      </c>
      <c r="G13">
        <f>G9*59.9767</f>
        <v>0</v>
      </c>
      <c r="H13">
        <f>H9*0.0</f>
        <v>0</v>
      </c>
      <c r="I13">
        <f>I9*0.0486</f>
        <v>0</v>
      </c>
      <c r="J13">
        <f>J9*-15.3399</f>
        <v>0</v>
      </c>
      <c r="K13">
        <f>K9*11.505</f>
        <v>0</v>
      </c>
      <c r="L13">
        <f>L9*619.2344</f>
        <v>0</v>
      </c>
      <c r="M13">
        <f>M9*-12.0393</f>
        <v>0</v>
      </c>
      <c r="N13">
        <f>E13+F13+G13+H13+I13+J13+K13+L13</f>
        <v>0</v>
      </c>
    </row>
    <row r="14" spans="3:14">
      <c r="C14">
        <f>3.0</f>
        <v>0</v>
      </c>
      <c r="D14">
        <f>3.0</f>
        <v>0</v>
      </c>
      <c r="E14">
        <f>E9*57.50899999999999</f>
        <v>0</v>
      </c>
      <c r="F14">
        <f>F9*588.3311</f>
        <v>0</v>
      </c>
      <c r="G14">
        <f>G9*84.6937</f>
        <v>0</v>
      </c>
      <c r="H14">
        <f>H9*0.0</f>
        <v>0</v>
      </c>
      <c r="I14">
        <f>I9*0.0423</f>
        <v>0</v>
      </c>
      <c r="J14">
        <f>J9*80.8219</f>
        <v>0</v>
      </c>
      <c r="K14">
        <f>K9*-60.6164</f>
        <v>0</v>
      </c>
      <c r="L14">
        <f>L9*841.5635</f>
        <v>0</v>
      </c>
      <c r="M14">
        <f>M9*-13.8644</f>
        <v>0</v>
      </c>
      <c r="N14">
        <f>E14+F14+G14+H14+I14+J14+K14+L14</f>
        <v>0</v>
      </c>
    </row>
    <row r="15" spans="3:14">
      <c r="C15">
        <f>4.0</f>
        <v>0</v>
      </c>
      <c r="D15">
        <f>4.0</f>
        <v>0</v>
      </c>
      <c r="E15">
        <f>E9*69.0684</f>
        <v>0</v>
      </c>
      <c r="F15">
        <f>F9*723.5861</f>
        <v>0</v>
      </c>
      <c r="G15">
        <f>G9*103.6208</f>
        <v>0</v>
      </c>
      <c r="H15">
        <f>H9*0.0</f>
        <v>0</v>
      </c>
      <c r="I15">
        <f>I9*0.0362</f>
        <v>0</v>
      </c>
      <c r="J15">
        <f>J9*160.1725</f>
        <v>0</v>
      </c>
      <c r="K15">
        <f>K9*-120.1294</f>
        <v>0</v>
      </c>
      <c r="L15">
        <f>L9*1004.9325</f>
        <v>0</v>
      </c>
      <c r="M15">
        <f>M9*-15.9771</f>
        <v>0</v>
      </c>
      <c r="N15">
        <f>E15+F15+G15+H15+I15+J15+K15+L15</f>
        <v>0</v>
      </c>
    </row>
    <row r="16" spans="3:14">
      <c r="C16">
        <f>5.0</f>
        <v>0</v>
      </c>
      <c r="D16">
        <f>5.0</f>
        <v>0</v>
      </c>
      <c r="E16">
        <f>E9*81.0379</f>
        <v>0</v>
      </c>
      <c r="F16">
        <f>F9*839.6029</f>
        <v>0</v>
      </c>
      <c r="G16">
        <f>G9*119.2563</f>
        <v>0</v>
      </c>
      <c r="H16">
        <f>H9*0.0</f>
        <v>0</v>
      </c>
      <c r="I16">
        <f>I9*0.0309</f>
        <v>0</v>
      </c>
      <c r="J16">
        <f>J9*228.7018</f>
        <v>0</v>
      </c>
      <c r="K16">
        <f>K9*-171.5264</f>
        <v>0</v>
      </c>
      <c r="L16">
        <f>L9*1143.7844</f>
        <v>0</v>
      </c>
      <c r="M16">
        <f>M9*-18.1801</f>
        <v>0</v>
      </c>
      <c r="N16">
        <f>E16+F16+G16+H16+I16+J16+K16+L16</f>
        <v>0</v>
      </c>
    </row>
    <row r="17" spans="3:14">
      <c r="C17">
        <f>6.0</f>
        <v>0</v>
      </c>
      <c r="D17">
        <f>6.0</f>
        <v>0</v>
      </c>
      <c r="E17">
        <f>E9*87.6754</f>
        <v>0</v>
      </c>
      <c r="F17">
        <f>F9*937.6014</f>
        <v>0</v>
      </c>
      <c r="G17">
        <f>G9*134.3213</f>
        <v>0</v>
      </c>
      <c r="H17">
        <f>H9*0.0</f>
        <v>0</v>
      </c>
      <c r="I17">
        <f>I9*0.0272</f>
        <v>0</v>
      </c>
      <c r="J17">
        <f>J9*204.2962</f>
        <v>0</v>
      </c>
      <c r="K17">
        <f>K9*-153.2221</f>
        <v>0</v>
      </c>
      <c r="L17">
        <f>L9*1278.3738</f>
        <v>0</v>
      </c>
      <c r="M17">
        <f>M9*-20.5086</f>
        <v>0</v>
      </c>
      <c r="N17">
        <f>E17+F17+G17+H17+I17+J17+K17+L17</f>
        <v>0</v>
      </c>
    </row>
    <row r="18" spans="3:14">
      <c r="C18">
        <f>7.0</f>
        <v>0</v>
      </c>
      <c r="D18">
        <f>7.0</f>
        <v>0</v>
      </c>
      <c r="E18">
        <f>E9*92.729</f>
        <v>0</v>
      </c>
      <c r="F18">
        <f>F9*1010.7832</f>
        <v>0</v>
      </c>
      <c r="G18">
        <f>G9*145.3011</f>
        <v>0</v>
      </c>
      <c r="H18">
        <f>H9*0.0</f>
        <v>0</v>
      </c>
      <c r="I18">
        <f>I9*0.0238</f>
        <v>0</v>
      </c>
      <c r="J18">
        <f>J9*193.2541</f>
        <v>0</v>
      </c>
      <c r="K18">
        <f>K9*-144.9406</f>
        <v>0</v>
      </c>
      <c r="L18">
        <f>L9*1375.2944</f>
        <v>0</v>
      </c>
      <c r="M18">
        <f>M9*-22.7723</f>
        <v>0</v>
      </c>
      <c r="N18">
        <f>E18+F18+G18+H18+I18+J18+K18+L18</f>
        <v>0</v>
      </c>
    </row>
    <row r="19" spans="3:14">
      <c r="C19">
        <f>8.0</f>
        <v>0</v>
      </c>
      <c r="D19">
        <f>8.0</f>
        <v>0</v>
      </c>
      <c r="E19">
        <f>E9*97.5392</f>
        <v>0</v>
      </c>
      <c r="F19">
        <f>F9*1057.9636</f>
        <v>0</v>
      </c>
      <c r="G19">
        <f>G9*151.9688</f>
        <v>0</v>
      </c>
      <c r="H19">
        <f>H9*0.0</f>
        <v>0</v>
      </c>
      <c r="I19">
        <f>I9*0.0202</f>
        <v>0</v>
      </c>
      <c r="J19">
        <f>J9*192.9702</f>
        <v>0</v>
      </c>
      <c r="K19">
        <f>K9*-144.7276</f>
        <v>0</v>
      </c>
      <c r="L19">
        <f>L9*1430.5406</f>
        <v>0</v>
      </c>
      <c r="M19">
        <f>M9*-24.8382</f>
        <v>0</v>
      </c>
      <c r="N19">
        <f>E19+F19+G19+H19+I19+J19+K19+L19</f>
        <v>0</v>
      </c>
    </row>
    <row r="20" spans="3:14">
      <c r="C20">
        <f>9.0</f>
        <v>0</v>
      </c>
      <c r="D20">
        <f>9.0</f>
        <v>0</v>
      </c>
      <c r="E20">
        <f>E9*102.9326</f>
        <v>0</v>
      </c>
      <c r="F20">
        <f>F9*1090.1869</f>
        <v>0</v>
      </c>
      <c r="G20">
        <f>G9*155.9652</f>
        <v>0</v>
      </c>
      <c r="H20">
        <f>H9*0.0</f>
        <v>0</v>
      </c>
      <c r="I20">
        <f>I9*0.017</f>
        <v>0</v>
      </c>
      <c r="J20">
        <f>J9*204.2542</f>
        <v>0</v>
      </c>
      <c r="K20">
        <f>K9*-153.1907</f>
        <v>0</v>
      </c>
      <c r="L20">
        <f>L9*1459.7368</f>
        <v>0</v>
      </c>
      <c r="M20">
        <f>M9*-27.1654</f>
        <v>0</v>
      </c>
      <c r="N20">
        <f>E20+F20+G20+H20+I20+J20+K20+L20</f>
        <v>0</v>
      </c>
    </row>
    <row r="21" spans="3:14">
      <c r="C21">
        <f>10.0</f>
        <v>0</v>
      </c>
      <c r="D21">
        <f>10.0</f>
        <v>0</v>
      </c>
      <c r="E21">
        <f>E9*107.8631</f>
        <v>0</v>
      </c>
      <c r="F21">
        <f>F9*1099.4614</f>
        <v>0</v>
      </c>
      <c r="G21">
        <f>G9*156.0951</f>
        <v>0</v>
      </c>
      <c r="H21">
        <f>H9*0.0</f>
        <v>0</v>
      </c>
      <c r="I21">
        <f>I9*0.0141</f>
        <v>0</v>
      </c>
      <c r="J21">
        <f>J9*219.4961</f>
        <v>0</v>
      </c>
      <c r="K21">
        <f>K9*-164.6221</f>
        <v>0</v>
      </c>
      <c r="L21">
        <f>L9*1450.3901</f>
        <v>0</v>
      </c>
      <c r="M21">
        <f>M9*-29.8151</f>
        <v>0</v>
      </c>
      <c r="N21">
        <f>E21+F21+G21+H21+I21+J21+K21+L21</f>
        <v>0</v>
      </c>
    </row>
    <row r="22" spans="3:14">
      <c r="C22">
        <f>11.0</f>
        <v>0</v>
      </c>
      <c r="D22">
        <f>11.0</f>
        <v>0</v>
      </c>
      <c r="E22">
        <f>E9*102.2449</f>
        <v>0</v>
      </c>
      <c r="F22">
        <f>F9*1084.0095</f>
        <v>0</v>
      </c>
      <c r="G22">
        <f>G9*155.0522</f>
        <v>0</v>
      </c>
      <c r="H22">
        <f>H9*0.0</f>
        <v>0</v>
      </c>
      <c r="I22">
        <f>I9*0.0138</f>
        <v>0</v>
      </c>
      <c r="J22">
        <f>J9*203.1862</f>
        <v>0</v>
      </c>
      <c r="K22">
        <f>K9*-152.3897</f>
        <v>0</v>
      </c>
      <c r="L22">
        <f>L9*1456.922</f>
        <v>0</v>
      </c>
      <c r="M22">
        <f>M9*-32.4208</f>
        <v>0</v>
      </c>
      <c r="N22">
        <f>E22+F22+G22+H22+I22+J22+K22+L22</f>
        <v>0</v>
      </c>
    </row>
    <row r="23" spans="3:14">
      <c r="C23">
        <f>12.0</f>
        <v>0</v>
      </c>
      <c r="D23">
        <f>12.0</f>
        <v>0</v>
      </c>
      <c r="E23">
        <f>E9*95.8482</f>
        <v>0</v>
      </c>
      <c r="F23">
        <f>F9*1044.7243</f>
        <v>0</v>
      </c>
      <c r="G23">
        <f>G9*150.0293</f>
        <v>0</v>
      </c>
      <c r="H23">
        <f>H9*0.0</f>
        <v>0</v>
      </c>
      <c r="I23">
        <f>I9*0.0139</f>
        <v>0</v>
      </c>
      <c r="J23">
        <f>J9*192.5007</f>
        <v>0</v>
      </c>
      <c r="K23">
        <f>K9*-144.3756</f>
        <v>0</v>
      </c>
      <c r="L23">
        <f>L9*1421.5535</f>
        <v>0</v>
      </c>
      <c r="M23">
        <f>M9*-35.521</f>
        <v>0</v>
      </c>
      <c r="N23">
        <f>E23+F23+G23+H23+I23+J23+K23+L23</f>
        <v>0</v>
      </c>
    </row>
    <row r="24" spans="3:14">
      <c r="C24">
        <f>13.0</f>
        <v>0</v>
      </c>
      <c r="D24">
        <f>13.0</f>
        <v>0</v>
      </c>
      <c r="E24">
        <f>E9*90.1716</f>
        <v>0</v>
      </c>
      <c r="F24">
        <f>F9*991.3515</f>
        <v>0</v>
      </c>
      <c r="G24">
        <f>G9*142.4586</f>
        <v>0</v>
      </c>
      <c r="H24">
        <f>H9*0.0</f>
        <v>0</v>
      </c>
      <c r="I24">
        <f>I9*0.0147</f>
        <v>0</v>
      </c>
      <c r="J24">
        <f>J9*192.667</f>
        <v>0</v>
      </c>
      <c r="K24">
        <f>K9*-144.5002</f>
        <v>0</v>
      </c>
      <c r="L24">
        <f>L9*1360.2687</f>
        <v>0</v>
      </c>
      <c r="M24">
        <f>M9*-38.5834</f>
        <v>0</v>
      </c>
      <c r="N24">
        <f>E24+F24+G24+H24+I24+J24+K24+L24</f>
        <v>0</v>
      </c>
    </row>
    <row r="25" spans="3:14">
      <c r="C25">
        <f>14.0</f>
        <v>0</v>
      </c>
      <c r="D25">
        <f>14.0</f>
        <v>0</v>
      </c>
      <c r="E25">
        <f>E9*84.1951</f>
        <v>0</v>
      </c>
      <c r="F25">
        <f>F9*911.8864</f>
        <v>0</v>
      </c>
      <c r="G25">
        <f>G9*130.5592</f>
        <v>0</v>
      </c>
      <c r="H25">
        <f>H9*0.0</f>
        <v>0</v>
      </c>
      <c r="I25">
        <f>I9*0.0162</f>
        <v>0</v>
      </c>
      <c r="J25">
        <f>J9*204.0343</f>
        <v>0</v>
      </c>
      <c r="K25">
        <f>K9*-153.0257</f>
        <v>0</v>
      </c>
      <c r="L25">
        <f>L9*1261.9188</f>
        <v>0</v>
      </c>
      <c r="M25">
        <f>M9*-41.3219</f>
        <v>0</v>
      </c>
      <c r="N25">
        <f>E25+F25+G25+H25+I25+J25+K25+L25</f>
        <v>0</v>
      </c>
    </row>
    <row r="26" spans="3:14">
      <c r="C26">
        <f>15.0</f>
        <v>0</v>
      </c>
      <c r="D26">
        <f>15.0</f>
        <v>0</v>
      </c>
      <c r="E26">
        <f>E9*76.5803</f>
        <v>0</v>
      </c>
      <c r="F26">
        <f>F9*809.9027</f>
        <v>0</v>
      </c>
      <c r="G26">
        <f>G9*114.8735</f>
        <v>0</v>
      </c>
      <c r="H26">
        <f>H9*0.0</f>
        <v>0</v>
      </c>
      <c r="I26">
        <f>I9*0.0207</f>
        <v>0</v>
      </c>
      <c r="J26">
        <f>J9*226.076</f>
        <v>0</v>
      </c>
      <c r="K26">
        <f>K9*-169.55700000000002</f>
        <v>0</v>
      </c>
      <c r="L26">
        <f>L9*1122.1757</f>
        <v>0</v>
      </c>
      <c r="M26">
        <f>M9*-44.5684</f>
        <v>0</v>
      </c>
      <c r="N26">
        <f>E26+F26+G26+H26+I26+J26+K26+L26</f>
        <v>0</v>
      </c>
    </row>
    <row r="27" spans="3:14">
      <c r="C27">
        <f>15.91</f>
        <v>0</v>
      </c>
      <c r="D27">
        <f>15.91</f>
        <v>0</v>
      </c>
      <c r="E27">
        <f>E9*62.73</f>
        <v>0</v>
      </c>
      <c r="F27">
        <f>F9*694.1488</f>
        <v>0</v>
      </c>
      <c r="G27">
        <f>G9*99.3919</f>
        <v>0</v>
      </c>
      <c r="H27">
        <f>H9*0.0</f>
        <v>0</v>
      </c>
      <c r="I27">
        <f>I9*0.0198</f>
        <v>0</v>
      </c>
      <c r="J27">
        <f>J9*197.7632</f>
        <v>0</v>
      </c>
      <c r="K27">
        <f>K9*-148.3224</f>
        <v>0</v>
      </c>
      <c r="L27">
        <f>L9*993.2522</f>
        <v>0</v>
      </c>
      <c r="M27">
        <f>M9*-49.7197</f>
        <v>0</v>
      </c>
      <c r="N27">
        <f>E27+F27+G27+H27+I27+J27+K27+L27</f>
        <v>0</v>
      </c>
    </row>
    <row r="28" spans="3:14">
      <c r="C28">
        <f>16.82</f>
        <v>0</v>
      </c>
      <c r="D28">
        <f>16.82</f>
        <v>0</v>
      </c>
      <c r="E28">
        <f>E9*47.7737</f>
        <v>0</v>
      </c>
      <c r="F28">
        <f>F9*555.0086</f>
        <v>0</v>
      </c>
      <c r="G28">
        <f>G9*80.1644</f>
        <v>0</v>
      </c>
      <c r="H28">
        <f>H9*0.0</f>
        <v>0</v>
      </c>
      <c r="I28">
        <f>I9*0.0187</f>
        <v>0</v>
      </c>
      <c r="J28">
        <f>J9*162.4669</f>
        <v>0</v>
      </c>
      <c r="K28">
        <f>K9*-121.8502</f>
        <v>0</v>
      </c>
      <c r="L28">
        <f>L9*824.6937</f>
        <v>0</v>
      </c>
      <c r="M28">
        <f>M9*-56.7306</f>
        <v>0</v>
      </c>
      <c r="N28">
        <f>E28+F28+G28+H28+I28+J28+K28+L28</f>
        <v>0</v>
      </c>
    </row>
    <row r="29" spans="3:14">
      <c r="C29">
        <f>17.73</f>
        <v>0</v>
      </c>
      <c r="D29">
        <f>17.73</f>
        <v>0</v>
      </c>
      <c r="E29">
        <f>E9*32.2762</f>
        <v>0</v>
      </c>
      <c r="F29">
        <f>F9*388.381</f>
        <v>0</v>
      </c>
      <c r="G29">
        <f>G9*56.5027</f>
        <v>0</v>
      </c>
      <c r="H29">
        <f>H9*0.0</f>
        <v>0</v>
      </c>
      <c r="I29">
        <f>I9*0.0148</f>
        <v>0</v>
      </c>
      <c r="J29">
        <f>J9*132.2365</f>
        <v>0</v>
      </c>
      <c r="K29">
        <f>K9*-99.1774</f>
        <v>0</v>
      </c>
      <c r="L29">
        <f>L9*602.0113</f>
        <v>0</v>
      </c>
      <c r="M29">
        <f>M9*-64.7482</f>
        <v>0</v>
      </c>
      <c r="N29">
        <f>E29+F29+G29+H29+I29+J29+K29+L29</f>
        <v>0</v>
      </c>
    </row>
    <row r="30" spans="3:14">
      <c r="C30">
        <f>18.64</f>
        <v>0</v>
      </c>
      <c r="D30">
        <f>18.64</f>
        <v>0</v>
      </c>
      <c r="E30">
        <f>E9*17.8379</f>
        <v>0</v>
      </c>
      <c r="F30">
        <f>F9*211.8402</f>
        <v>0</v>
      </c>
      <c r="G30">
        <f>G9*30.963</f>
        <v>0</v>
      </c>
      <c r="H30">
        <f>H9*0.0</f>
        <v>0</v>
      </c>
      <c r="I30">
        <f>I9*0.0064</f>
        <v>0</v>
      </c>
      <c r="J30">
        <f>J9*109.0093</f>
        <v>0</v>
      </c>
      <c r="K30">
        <f>K9*-81.7569</f>
        <v>0</v>
      </c>
      <c r="L30">
        <f>L9*345.3217</f>
        <v>0</v>
      </c>
      <c r="M30">
        <f>M9*-75.0928</f>
        <v>0</v>
      </c>
      <c r="N30">
        <f>E30+F30+G30+H30+I30+J30+K30+L30</f>
        <v>0</v>
      </c>
    </row>
    <row r="31" spans="3:14">
      <c r="C31">
        <f>19.55</f>
        <v>0</v>
      </c>
      <c r="D31">
        <f>19.55</f>
        <v>0</v>
      </c>
      <c r="E31">
        <f>E9*-0.5482</f>
        <v>0</v>
      </c>
      <c r="F31">
        <f>F9*-22.6779</f>
        <v>0</v>
      </c>
      <c r="G31">
        <f>G9*-3.3915</f>
        <v>0</v>
      </c>
      <c r="H31">
        <f>H9*0.0</f>
        <v>0</v>
      </c>
      <c r="I31">
        <f>I9*-0.0157</f>
        <v>0</v>
      </c>
      <c r="J31">
        <f>J9*80.2089</f>
        <v>0</v>
      </c>
      <c r="K31">
        <f>K9*-60.1566</f>
        <v>0</v>
      </c>
      <c r="L31">
        <f>L9*8.905</f>
        <v>0</v>
      </c>
      <c r="M31">
        <f>M9*-110.4428</f>
        <v>0</v>
      </c>
      <c r="N31">
        <f>E31+F31+G31+H31+I31+J31+K31+L31</f>
        <v>0</v>
      </c>
    </row>
    <row r="32" spans="3:14">
      <c r="C32">
        <f>20.0</f>
        <v>0</v>
      </c>
      <c r="D32">
        <f>20.0</f>
        <v>0</v>
      </c>
      <c r="E32">
        <f>E9*-0.8332</f>
        <v>0</v>
      </c>
      <c r="F32">
        <f>F9*-8.5964</f>
        <v>0</v>
      </c>
      <c r="G32">
        <f>G9*-1.2441</f>
        <v>0</v>
      </c>
      <c r="H32">
        <f>H9*0.0</f>
        <v>0</v>
      </c>
      <c r="I32">
        <f>I9*-0.0001237</f>
        <v>0</v>
      </c>
      <c r="J32">
        <f>J9*87.8214</f>
        <v>0</v>
      </c>
      <c r="K32">
        <f>K9*-65.866</f>
        <v>0</v>
      </c>
      <c r="L32">
        <f>L9*4.3125</f>
        <v>0</v>
      </c>
      <c r="M32">
        <f>M9*-12.6058</f>
        <v>0</v>
      </c>
      <c r="N32">
        <f>E32+F32+G32+H32+I32+J32+K32+L32</f>
        <v>0</v>
      </c>
    </row>
    <row r="33" spans="3:14">
      <c r="C33">
        <f>20.0</f>
        <v>0</v>
      </c>
      <c r="D33">
        <f>0.0</f>
        <v>0</v>
      </c>
      <c r="E33">
        <f>E9*-0.9484</f>
        <v>0</v>
      </c>
      <c r="F33">
        <f>F9*-7.3093</f>
        <v>0</v>
      </c>
      <c r="G33">
        <f>G9*-1.0505</f>
        <v>0</v>
      </c>
      <c r="H33">
        <f>H9*0.0</f>
        <v>0</v>
      </c>
      <c r="I33">
        <f>I9*-0.1302</f>
        <v>0</v>
      </c>
      <c r="J33">
        <f>J9*90.065</f>
        <v>0</v>
      </c>
      <c r="K33">
        <f>K9*-67.5487</f>
        <v>0</v>
      </c>
      <c r="L33">
        <f>L9*1.494</f>
        <v>0</v>
      </c>
      <c r="M33">
        <f>M9*-11.886</f>
        <v>0</v>
      </c>
      <c r="N33">
        <f>E33+F33+G33+H33+I33+J33+K33+L33</f>
        <v>0</v>
      </c>
    </row>
    <row r="34" spans="3:14">
      <c r="C34">
        <f>20.45</f>
        <v>0</v>
      </c>
      <c r="D34">
        <f>0.45</f>
        <v>0</v>
      </c>
      <c r="E34">
        <f>E9*2.6015</f>
        <v>0</v>
      </c>
      <c r="F34">
        <f>F9*-40.4918</f>
        <v>0</v>
      </c>
      <c r="G34">
        <f>G9*-6.0873</f>
        <v>0</v>
      </c>
      <c r="H34">
        <f>H9*0.0</f>
        <v>0</v>
      </c>
      <c r="I34">
        <f>I9*2.0184</f>
        <v>0</v>
      </c>
      <c r="J34">
        <f>J9*83.22200000000001</f>
        <v>0</v>
      </c>
      <c r="K34">
        <f>K9*-62.4165</f>
        <v>0</v>
      </c>
      <c r="L34">
        <f>L9*70.6534</f>
        <v>0</v>
      </c>
      <c r="M34">
        <f>M9*-115.7441</f>
        <v>0</v>
      </c>
      <c r="N34">
        <f>E34+F34+G34+H34+I34+J34+K34+L34</f>
        <v>0</v>
      </c>
    </row>
    <row r="35" spans="3:14">
      <c r="C35">
        <f>21.36</f>
        <v>0</v>
      </c>
      <c r="D35">
        <f>1.36</f>
        <v>0</v>
      </c>
      <c r="E35">
        <f>E9*19.0139</f>
        <v>0</v>
      </c>
      <c r="F35">
        <f>F9*193.3595</f>
        <v>0</v>
      </c>
      <c r="G35">
        <f>G9*28.1986</f>
        <v>0</v>
      </c>
      <c r="H35">
        <f>H9*0.0</f>
        <v>0</v>
      </c>
      <c r="I35">
        <f>I9*1.6924</f>
        <v>0</v>
      </c>
      <c r="J35">
        <f>J9*81.0543</f>
        <v>0</v>
      </c>
      <c r="K35">
        <f>K9*-60.7907</f>
        <v>0</v>
      </c>
      <c r="L35">
        <f>L9*330.869</f>
        <v>0</v>
      </c>
      <c r="M35">
        <f>M9*-19.8401</f>
        <v>0</v>
      </c>
      <c r="N35">
        <f>E35+F35+G35+H35+I35+J35+K35+L35</f>
        <v>0</v>
      </c>
    </row>
    <row r="36" spans="3:14">
      <c r="C36">
        <f>22.27</f>
        <v>0</v>
      </c>
      <c r="D36">
        <f>2.27</f>
        <v>0</v>
      </c>
      <c r="E36">
        <f>E9*32.5808</f>
        <v>0</v>
      </c>
      <c r="F36">
        <f>F9*369.4226</f>
        <v>0</v>
      </c>
      <c r="G36">
        <f>G9*53.6943</f>
        <v>0</v>
      </c>
      <c r="H36">
        <f>H9*0.0</f>
        <v>0</v>
      </c>
      <c r="I36">
        <f>I9*1.4523</f>
        <v>0</v>
      </c>
      <c r="J36">
        <f>J9*111.3862</f>
        <v>0</v>
      </c>
      <c r="K36">
        <f>K9*-83.5397</f>
        <v>0</v>
      </c>
      <c r="L36">
        <f>L9*581.6677</f>
        <v>0</v>
      </c>
      <c r="M36">
        <f>M9*-14.3324</f>
        <v>0</v>
      </c>
      <c r="N36">
        <f>E36+F36+G36+H36+I36+J36+K36+L36</f>
        <v>0</v>
      </c>
    </row>
    <row r="37" spans="3:14">
      <c r="C37">
        <f>23.18</f>
        <v>0</v>
      </c>
      <c r="D37">
        <f>3.18</f>
        <v>0</v>
      </c>
      <c r="E37">
        <f>E9*47.2969</f>
        <v>0</v>
      </c>
      <c r="F37">
        <f>F9*534.4155</f>
        <v>0</v>
      </c>
      <c r="G37">
        <f>G9*77.1383</f>
        <v>0</v>
      </c>
      <c r="H37">
        <f>H9*0.0</f>
        <v>0</v>
      </c>
      <c r="I37">
        <f>I9*1.3355</f>
        <v>0</v>
      </c>
      <c r="J37">
        <f>J9*146.8079</f>
        <v>0</v>
      </c>
      <c r="K37">
        <f>K9*-110.1059</f>
        <v>0</v>
      </c>
      <c r="L37">
        <f>L9*806.6471</f>
        <v>0</v>
      </c>
      <c r="M37">
        <f>M9*-15.2631</f>
        <v>0</v>
      </c>
      <c r="N37">
        <f>E37+F37+G37+H37+I37+J37+K37+L37</f>
        <v>0</v>
      </c>
    </row>
    <row r="38" spans="3:14">
      <c r="C38">
        <f>24.09</f>
        <v>0</v>
      </c>
      <c r="D38">
        <f>4.09</f>
        <v>0</v>
      </c>
      <c r="E38">
        <f>E9*61.5627</f>
        <v>0</v>
      </c>
      <c r="F38">
        <f>F9*671.5355</f>
        <v>0</v>
      </c>
      <c r="G38">
        <f>G9*96.0881</f>
        <v>0</v>
      </c>
      <c r="H38">
        <f>H9*0.0</f>
        <v>0</v>
      </c>
      <c r="I38">
        <f>I9*1.2853</f>
        <v>0</v>
      </c>
      <c r="J38">
        <f>J9*186.1007</f>
        <v>0</v>
      </c>
      <c r="K38">
        <f>K9*-139.5756</f>
        <v>0</v>
      </c>
      <c r="L38">
        <f>L9*977.0185</f>
        <v>0</v>
      </c>
      <c r="M38">
        <f>M9*-15.7338</f>
        <v>0</v>
      </c>
      <c r="N38">
        <f>E38+F38+G38+H38+I38+J38+K38+L38</f>
        <v>0</v>
      </c>
    </row>
    <row r="39" spans="3:14">
      <c r="C39">
        <f>25.0</f>
        <v>0</v>
      </c>
      <c r="D39">
        <f>5.0</f>
        <v>0</v>
      </c>
      <c r="E39">
        <f>E9*74.804</f>
        <v>0</v>
      </c>
      <c r="F39">
        <f>F9*785.065</f>
        <v>0</v>
      </c>
      <c r="G39">
        <f>G9*111.2588</f>
        <v>0</v>
      </c>
      <c r="H39">
        <f>H9*0.0</f>
        <v>0</v>
      </c>
      <c r="I39">
        <f>I9*1.2799</f>
        <v>0</v>
      </c>
      <c r="J39">
        <f>J9*217.4595</f>
        <v>0</v>
      </c>
      <c r="K39">
        <f>K9*-163.0946</f>
        <v>0</v>
      </c>
      <c r="L39">
        <f>L9*1106.3989</f>
        <v>0</v>
      </c>
      <c r="M39">
        <f>M9*-16.7639</f>
        <v>0</v>
      </c>
      <c r="N39">
        <f>E39+F39+G39+H39+I39+J39+K39+L39</f>
        <v>0</v>
      </c>
    </row>
    <row r="40" spans="3:14">
      <c r="C40">
        <f>26.0</f>
        <v>0</v>
      </c>
      <c r="D40">
        <f>6.0</f>
        <v>0</v>
      </c>
      <c r="E40">
        <f>E9*81.9439</f>
        <v>0</v>
      </c>
      <c r="F40">
        <f>F9*882.9271</f>
        <v>0</v>
      </c>
      <c r="G40">
        <f>G9*126.3436</f>
        <v>0</v>
      </c>
      <c r="H40">
        <f>H9*0.0</f>
        <v>0</v>
      </c>
      <c r="I40">
        <f>I9*1.6161</f>
        <v>0</v>
      </c>
      <c r="J40">
        <f>J9*194.92700000000002</f>
        <v>0</v>
      </c>
      <c r="K40">
        <f>K9*-146.1953</f>
        <v>0</v>
      </c>
      <c r="L40">
        <f>L9*1243.2937</f>
        <v>0</v>
      </c>
      <c r="M40">
        <f>M9*-18.2487</f>
        <v>0</v>
      </c>
      <c r="N40">
        <f>E40+F40+G40+H40+I40+J40+K40+L40</f>
        <v>0</v>
      </c>
    </row>
    <row r="41" spans="3:14">
      <c r="C41">
        <f>27.0</f>
        <v>0</v>
      </c>
      <c r="D41">
        <f>7.0</f>
        <v>0</v>
      </c>
      <c r="E41">
        <f>E9*87.4591</f>
        <v>0</v>
      </c>
      <c r="F41">
        <f>F9*958.3821</f>
        <v>0</v>
      </c>
      <c r="G41">
        <f>G9*137.6578</f>
        <v>0</v>
      </c>
      <c r="H41">
        <f>H9*0.0</f>
        <v>0</v>
      </c>
      <c r="I41">
        <f>I9*1.9249</f>
        <v>0</v>
      </c>
      <c r="J41">
        <f>J9*182.9376</f>
        <v>0</v>
      </c>
      <c r="K41">
        <f>K9*-137.2032</f>
        <v>0</v>
      </c>
      <c r="L41">
        <f>L9*1339.2116</f>
        <v>0</v>
      </c>
      <c r="M41">
        <f>M9*-20.4091</f>
        <v>0</v>
      </c>
      <c r="N41">
        <f>E41+F41+G41+H41+I41+J41+K41+L41</f>
        <v>0</v>
      </c>
    </row>
    <row r="42" spans="3:14">
      <c r="C42">
        <f>28.0</f>
        <v>0</v>
      </c>
      <c r="D42">
        <f>8.0</f>
        <v>0</v>
      </c>
      <c r="E42">
        <f>E9*92.7437</f>
        <v>0</v>
      </c>
      <c r="F42">
        <f>F9*1008.0814</f>
        <v>0</v>
      </c>
      <c r="G42">
        <f>G9*144.6898</f>
        <v>0</v>
      </c>
      <c r="H42">
        <f>H9*0.0</f>
        <v>0</v>
      </c>
      <c r="I42">
        <f>I9*2.2078</f>
        <v>0</v>
      </c>
      <c r="J42">
        <f>J9*181.7716</f>
        <v>0</v>
      </c>
      <c r="K42">
        <f>K9*-136.3287</f>
        <v>0</v>
      </c>
      <c r="L42">
        <f>L9*1397.6393</f>
        <v>0</v>
      </c>
      <c r="M42">
        <f>M9*-23.0716</f>
        <v>0</v>
      </c>
      <c r="N42">
        <f>E42+F42+G42+H42+I42+J42+K42+L42</f>
        <v>0</v>
      </c>
    </row>
    <row r="43" spans="3:14">
      <c r="C43">
        <f>29.0</f>
        <v>0</v>
      </c>
      <c r="D43">
        <f>9.0</f>
        <v>0</v>
      </c>
      <c r="E43">
        <f>E9*98.7388</f>
        <v>0</v>
      </c>
      <c r="F43">
        <f>F9*1043.4084</f>
        <v>0</v>
      </c>
      <c r="G43">
        <f>G9*149.1281</f>
        <v>0</v>
      </c>
      <c r="H43">
        <f>H9*0.0</f>
        <v>0</v>
      </c>
      <c r="I43">
        <f>I9*2.5512</f>
        <v>0</v>
      </c>
      <c r="J43">
        <f>J9*190.8379</f>
        <v>0</v>
      </c>
      <c r="K43">
        <f>K9*-143.1284</f>
        <v>0</v>
      </c>
      <c r="L43">
        <f>L9*1429.4967</f>
        <v>0</v>
      </c>
      <c r="M43">
        <f>M9*-26.0477</f>
        <v>0</v>
      </c>
      <c r="N43">
        <f>E43+F43+G43+H43+I43+J43+K43+L43</f>
        <v>0</v>
      </c>
    </row>
    <row r="44" spans="3:14">
      <c r="C44">
        <f>30.0</f>
        <v>0</v>
      </c>
      <c r="D44">
        <f>10.0</f>
        <v>0</v>
      </c>
      <c r="E44">
        <f>E9*104.0123</f>
        <v>0</v>
      </c>
      <c r="F44">
        <f>F9*1055.0569</f>
        <v>0</v>
      </c>
      <c r="G44">
        <f>G9*149.6058</f>
        <v>0</v>
      </c>
      <c r="H44">
        <f>H9*0.0</f>
        <v>0</v>
      </c>
      <c r="I44">
        <f>I9*3.1123</f>
        <v>0</v>
      </c>
      <c r="J44">
        <f>J9*202.9475</f>
        <v>0</v>
      </c>
      <c r="K44">
        <f>K9*-152.2106</f>
        <v>0</v>
      </c>
      <c r="L44">
        <f>L9*1418.4825</f>
        <v>0</v>
      </c>
      <c r="M44">
        <f>M9*-29.044</f>
        <v>0</v>
      </c>
      <c r="N44">
        <f>E44+F44+G44+H44+I44+J44+K44+L44</f>
        <v>0</v>
      </c>
    </row>
    <row r="45" spans="3:14">
      <c r="C45">
        <f>31.0</f>
        <v>0</v>
      </c>
      <c r="D45">
        <f>11.0</f>
        <v>0</v>
      </c>
      <c r="E45">
        <f>E9*98.6377</f>
        <v>0</v>
      </c>
      <c r="F45">
        <f>F9*1042.7636</f>
        <v>0</v>
      </c>
      <c r="G45">
        <f>G9*149.0377</f>
        <v>0</v>
      </c>
      <c r="H45">
        <f>H9*0.0</f>
        <v>0</v>
      </c>
      <c r="I45">
        <f>I9*2.7572</f>
        <v>0</v>
      </c>
      <c r="J45">
        <f>J9*191.4924</f>
        <v>0</v>
      </c>
      <c r="K45">
        <f>K9*-143.6193</f>
        <v>0</v>
      </c>
      <c r="L45">
        <f>L9*1429.4499</f>
        <v>0</v>
      </c>
      <c r="M45">
        <f>M9*-31.753</f>
        <v>0</v>
      </c>
      <c r="N45">
        <f>E45+F45+G45+H45+I45+J45+K45+L45</f>
        <v>0</v>
      </c>
    </row>
    <row r="46" spans="3:14">
      <c r="C46">
        <f>32.0</f>
        <v>0</v>
      </c>
      <c r="D46">
        <f>12.0</f>
        <v>0</v>
      </c>
      <c r="E46">
        <f>E9*92.5079</f>
        <v>0</v>
      </c>
      <c r="F46">
        <f>F9*1006.9589</f>
        <v>0</v>
      </c>
      <c r="G46">
        <f>G9*144.5348</f>
        <v>0</v>
      </c>
      <c r="H46">
        <f>H9*0.0</f>
        <v>0</v>
      </c>
      <c r="I46">
        <f>I9*2.3137</f>
        <v>0</v>
      </c>
      <c r="J46">
        <f>J9*183.2852</f>
        <v>0</v>
      </c>
      <c r="K46">
        <f>K9*-137.4639</f>
        <v>0</v>
      </c>
      <c r="L46">
        <f>L9*1398.1124</f>
        <v>0</v>
      </c>
      <c r="M46">
        <f>M9*-34.9788</f>
        <v>0</v>
      </c>
      <c r="N46">
        <f>E46+F46+G46+H46+I46+J46+K46+L46</f>
        <v>0</v>
      </c>
    </row>
    <row r="47" spans="3:14">
      <c r="C47">
        <f>33.0</f>
        <v>0</v>
      </c>
      <c r="D47">
        <f>13.0</f>
        <v>0</v>
      </c>
      <c r="E47">
        <f>E9*87.0985</f>
        <v>0</v>
      </c>
      <c r="F47">
        <f>F9*956.7877</f>
        <v>0</v>
      </c>
      <c r="G47">
        <f>G9*137.4387</f>
        <v>0</v>
      </c>
      <c r="H47">
        <f>H9*0.0</f>
        <v>0</v>
      </c>
      <c r="I47">
        <f>I9*1.8499</f>
        <v>0</v>
      </c>
      <c r="J47">
        <f>J9*185.4168</f>
        <v>0</v>
      </c>
      <c r="K47">
        <f>K9*-139.0626</f>
        <v>0</v>
      </c>
      <c r="L47">
        <f>L9*1340.1578</f>
        <v>0</v>
      </c>
      <c r="M47">
        <f>M9*-38.1782</f>
        <v>0</v>
      </c>
      <c r="N47">
        <f>E47+F47+G47+H47+I47+J47+K47+L47</f>
        <v>0</v>
      </c>
    </row>
    <row r="48" spans="3:14">
      <c r="C48">
        <f>34.0</f>
        <v>0</v>
      </c>
      <c r="D48">
        <f>14.0</f>
        <v>0</v>
      </c>
      <c r="E48">
        <f>E9*81.4296</f>
        <v>0</v>
      </c>
      <c r="F48">
        <f>F9*880.7575</f>
        <v>0</v>
      </c>
      <c r="G48">
        <f>G9*126.0465</f>
        <v>0</v>
      </c>
      <c r="H48">
        <f>H9*0.0</f>
        <v>0</v>
      </c>
      <c r="I48">
        <f>I9*1.2219</f>
        <v>0</v>
      </c>
      <c r="J48">
        <f>J9*197.7731</f>
        <v>0</v>
      </c>
      <c r="K48">
        <f>K9*-148.3298</f>
        <v>0</v>
      </c>
      <c r="L48">
        <f>L9*1244.5654</f>
        <v>0</v>
      </c>
      <c r="M48">
        <f>M9*-41.055</f>
        <v>0</v>
      </c>
      <c r="N48">
        <f>E48+F48+G48+H48+I48+J48+K48+L48</f>
        <v>0</v>
      </c>
    </row>
    <row r="49" spans="3:14">
      <c r="C49">
        <f>35.0</f>
        <v>0</v>
      </c>
      <c r="D49">
        <f>15.0</f>
        <v>0</v>
      </c>
      <c r="E49">
        <f>E9*74.0455</f>
        <v>0</v>
      </c>
      <c r="F49">
        <f>F9*781.6838</f>
        <v>0</v>
      </c>
      <c r="G49">
        <f>G9*110.794</f>
        <v>0</v>
      </c>
      <c r="H49">
        <f>H9*0.0</f>
        <v>0</v>
      </c>
      <c r="I49">
        <f>I9*0.3063</f>
        <v>0</v>
      </c>
      <c r="J49">
        <f>J9*221.5006</f>
        <v>0</v>
      </c>
      <c r="K49">
        <f>K9*-166.1255</f>
        <v>0</v>
      </c>
      <c r="L49">
        <f>L9*1108.1326</f>
        <v>0</v>
      </c>
      <c r="M49">
        <f>M9*-44.3825</f>
        <v>0</v>
      </c>
      <c r="N49">
        <f>E49+F49+G49+H49+I49+J49+K49+L49</f>
        <v>0</v>
      </c>
    </row>
    <row r="50" spans="3:14">
      <c r="C50">
        <f>35.91</f>
        <v>0</v>
      </c>
      <c r="D50">
        <f>15.91</f>
        <v>0</v>
      </c>
      <c r="E50">
        <f>E9*60.6694</f>
        <v>0</v>
      </c>
      <c r="F50">
        <f>F9*671.2852</f>
        <v>0</v>
      </c>
      <c r="G50">
        <f>G9*96.0877</f>
        <v>0</v>
      </c>
      <c r="H50">
        <f>H9*0.0</f>
        <v>0</v>
      </c>
      <c r="I50">
        <f>I9*-1.5157</f>
        <v>0</v>
      </c>
      <c r="J50">
        <f>J9*194.21400000000003</f>
        <v>0</v>
      </c>
      <c r="K50">
        <f>K9*-145.6605</f>
        <v>0</v>
      </c>
      <c r="L50">
        <f>L9*982.6734</f>
        <v>0</v>
      </c>
      <c r="M50">
        <f>M9*-49.6345</f>
        <v>0</v>
      </c>
      <c r="N50">
        <f>E50+F50+G50+H50+I50+J50+K50+L50</f>
        <v>0</v>
      </c>
    </row>
    <row r="51" spans="3:14">
      <c r="C51">
        <f>36.82</f>
        <v>0</v>
      </c>
      <c r="D51">
        <f>16.82</f>
        <v>0</v>
      </c>
      <c r="E51">
        <f>E9*46.2165</f>
        <v>0</v>
      </c>
      <c r="F51">
        <f>F9*537.7802</f>
        <v>0</v>
      </c>
      <c r="G51">
        <f>G9*77.6752</f>
        <v>0</v>
      </c>
      <c r="H51">
        <f>H9*0.0</f>
        <v>0</v>
      </c>
      <c r="I51">
        <f>I9*-2.9861</f>
        <v>0</v>
      </c>
      <c r="J51">
        <f>J9*159.9087</f>
        <v>0</v>
      </c>
      <c r="K51">
        <f>K9*-119.9316</f>
        <v>0</v>
      </c>
      <c r="L51">
        <f>L9*817.2362</f>
        <v>0</v>
      </c>
      <c r="M51">
        <f>M9*-56.5574</f>
        <v>0</v>
      </c>
      <c r="N51">
        <f>E51+F51+G51+H51+I51+J51+K51+L51</f>
        <v>0</v>
      </c>
    </row>
    <row r="52" spans="3:14">
      <c r="C52">
        <f>37.73</f>
        <v>0</v>
      </c>
      <c r="D52">
        <f>17.73</f>
        <v>0</v>
      </c>
      <c r="E52">
        <f>E9*31.2567</f>
        <v>0</v>
      </c>
      <c r="F52">
        <f>F9*377.0825</f>
        <v>0</v>
      </c>
      <c r="G52">
        <f>G9*54.8703</f>
        <v>0</v>
      </c>
      <c r="H52">
        <f>H9*0.0</f>
        <v>0</v>
      </c>
      <c r="I52">
        <f>I9*-3.6123</f>
        <v>0</v>
      </c>
      <c r="J52">
        <f>J9*130.5798</f>
        <v>0</v>
      </c>
      <c r="K52">
        <f>K9*-97.9349</f>
        <v>0</v>
      </c>
      <c r="L52">
        <f>L9*597.217</f>
        <v>0</v>
      </c>
      <c r="M52">
        <f>M9*-64.5003</f>
        <v>0</v>
      </c>
      <c r="N52">
        <f>E52+F52+G52+H52+I52+J52+K52+L52</f>
        <v>0</v>
      </c>
    </row>
    <row r="53" spans="3:14">
      <c r="C53">
        <f>38.64</f>
        <v>0</v>
      </c>
      <c r="D53">
        <f>18.64</f>
        <v>0</v>
      </c>
      <c r="E53">
        <f>E9*17.3503</f>
        <v>0</v>
      </c>
      <c r="F53">
        <f>F9*206.317</f>
        <v>0</v>
      </c>
      <c r="G53">
        <f>G9*30.1641</f>
        <v>0</v>
      </c>
      <c r="H53">
        <f>H9*0.0</f>
        <v>0</v>
      </c>
      <c r="I53">
        <f>I9*-2.1701</f>
        <v>0</v>
      </c>
      <c r="J53">
        <f>J9*108.0822</f>
        <v>0</v>
      </c>
      <c r="K53">
        <f>K9*-81.0616</f>
        <v>0</v>
      </c>
      <c r="L53">
        <f>L9*342.7737</f>
        <v>0</v>
      </c>
      <c r="M53">
        <f>M9*-74.8948</f>
        <v>0</v>
      </c>
      <c r="N53">
        <f>E53+F53+G53+H53+I53+J53+K53+L53</f>
        <v>0</v>
      </c>
    </row>
    <row r="54" spans="3:14">
      <c r="C54">
        <f>39.55</f>
        <v>0</v>
      </c>
      <c r="D54">
        <f>19.55</f>
        <v>0</v>
      </c>
      <c r="E54">
        <f>E9*0.6952</f>
        <v>0</v>
      </c>
      <c r="F54">
        <f>F9*-20.1209</f>
        <v>0</v>
      </c>
      <c r="G54">
        <f>G9*-3.0267</f>
        <v>0</v>
      </c>
      <c r="H54">
        <f>H9*0.0</f>
        <v>0</v>
      </c>
      <c r="I54">
        <f>I9*2.6344</f>
        <v>0</v>
      </c>
      <c r="J54">
        <f>J9*80.1202</f>
        <v>0</v>
      </c>
      <c r="K54">
        <f>K9*-60.0901</f>
        <v>0</v>
      </c>
      <c r="L54">
        <f>L9*10.2696</f>
        <v>0</v>
      </c>
      <c r="M54">
        <f>M9*-110.7446</f>
        <v>0</v>
      </c>
      <c r="N54">
        <f>E54+F54+G54+H54+I54+J54+K54+L54</f>
        <v>0</v>
      </c>
    </row>
    <row r="55" spans="3:14">
      <c r="C55">
        <f>40.0</f>
        <v>0</v>
      </c>
      <c r="D55">
        <f>20.0</f>
        <v>0</v>
      </c>
      <c r="E55">
        <f>E9*-0.8061</f>
        <v>0</v>
      </c>
      <c r="F55">
        <f>F9*-8.2867</f>
        <v>0</v>
      </c>
      <c r="G55">
        <f>G9*-1.1994</f>
        <v>0</v>
      </c>
      <c r="H55">
        <f>H9*0.0</f>
        <v>0</v>
      </c>
      <c r="I55">
        <f>I9*-0.0467</f>
        <v>0</v>
      </c>
      <c r="J55">
        <f>J9*87.8758</f>
        <v>0</v>
      </c>
      <c r="K55">
        <f>K9*-65.9068</f>
        <v>0</v>
      </c>
      <c r="L55">
        <f>L9*4.3124</f>
        <v>0</v>
      </c>
      <c r="M55">
        <f>M9*-12.4674</f>
        <v>0</v>
      </c>
      <c r="N55">
        <f>E55+F55+G55+H55+I55+J55+K55+L55</f>
        <v>0</v>
      </c>
    </row>
    <row r="56" spans="3:14">
      <c r="C56">
        <f>40.0</f>
        <v>0</v>
      </c>
      <c r="D56">
        <f>0.0</f>
        <v>0</v>
      </c>
      <c r="E56">
        <f>E9*-0.3541</f>
        <v>0</v>
      </c>
      <c r="F56">
        <f>F9*-3.1233</f>
        <v>0</v>
      </c>
      <c r="G56">
        <f>G9*-0.4664</f>
        <v>0</v>
      </c>
      <c r="H56">
        <f>H9*0.0</f>
        <v>0</v>
      </c>
      <c r="I56">
        <f>I9*-3.2289</f>
        <v>0</v>
      </c>
      <c r="J56">
        <f>J9*85.48299999999999</f>
        <v>0</v>
      </c>
      <c r="K56">
        <f>K9*-64.1123</f>
        <v>0</v>
      </c>
      <c r="L56">
        <f>L9*1.1836</f>
        <v>0</v>
      </c>
      <c r="M56">
        <f>M9*-8.382</f>
        <v>0</v>
      </c>
      <c r="N56">
        <f>E56+F56+G56+H56+I56+J56+K56+L56</f>
        <v>0</v>
      </c>
    </row>
    <row r="57" spans="3:14">
      <c r="C57">
        <f>40.45</f>
        <v>0</v>
      </c>
      <c r="D57">
        <f>0.45</f>
        <v>0</v>
      </c>
      <c r="E57">
        <f>E9*1.3979</f>
        <v>0</v>
      </c>
      <c r="F57">
        <f>F9*-32.8989</f>
        <v>0</v>
      </c>
      <c r="G57">
        <f>G9*-4.893</f>
        <v>0</v>
      </c>
      <c r="H57">
        <f>H9*0.0</f>
        <v>0</v>
      </c>
      <c r="I57">
        <f>I9*45.147</f>
        <v>0</v>
      </c>
      <c r="J57">
        <f>J9*85.8112</f>
        <v>0</v>
      </c>
      <c r="K57">
        <f>K9*-64.3584</f>
        <v>0</v>
      </c>
      <c r="L57">
        <f>L9*50.1348</f>
        <v>0</v>
      </c>
      <c r="M57">
        <f>M9*-84.5707</f>
        <v>0</v>
      </c>
      <c r="N57">
        <f>E57+F57+G57+H57+I57+J57+K57+L57</f>
        <v>0</v>
      </c>
    </row>
    <row r="58" spans="3:14">
      <c r="C58">
        <f>41.36</f>
        <v>0</v>
      </c>
      <c r="D58">
        <f>1.36</f>
        <v>0</v>
      </c>
      <c r="E58">
        <f>E9*5.3907</f>
        <v>0</v>
      </c>
      <c r="F58">
        <f>F9*84.2887</f>
        <v>0</v>
      </c>
      <c r="G58">
        <f>G9*12.8435</f>
        <v>0</v>
      </c>
      <c r="H58">
        <f>H9*0.0</f>
        <v>0</v>
      </c>
      <c r="I58">
        <f>I9*43.4789</f>
        <v>0</v>
      </c>
      <c r="J58">
        <f>J9*132.055</f>
        <v>0</v>
      </c>
      <c r="K58">
        <f>K9*-99.0412</f>
        <v>0</v>
      </c>
      <c r="L58">
        <f>L9*238.0608</f>
        <v>0</v>
      </c>
      <c r="M58">
        <f>M9*-16.7596</f>
        <v>0</v>
      </c>
      <c r="N58">
        <f>E58+F58+G58+H58+I58+J58+K58+L58</f>
        <v>0</v>
      </c>
    </row>
    <row r="59" spans="3:14">
      <c r="C59">
        <f>42.27</f>
        <v>0</v>
      </c>
      <c r="D59">
        <f>2.27</f>
        <v>0</v>
      </c>
      <c r="E59">
        <f>E9*8.5233</f>
        <v>0</v>
      </c>
      <c r="F59">
        <f>F9*161.406</f>
        <v>0</v>
      </c>
      <c r="G59">
        <f>G9*24.2902</f>
        <v>0</v>
      </c>
      <c r="H59">
        <f>H9*0.0</f>
        <v>0</v>
      </c>
      <c r="I59">
        <f>I9*44.9562</f>
        <v>0</v>
      </c>
      <c r="J59">
        <f>J9*172.5598</f>
        <v>0</v>
      </c>
      <c r="K59">
        <f>K9*-129.4198</f>
        <v>0</v>
      </c>
      <c r="L59">
        <f>L9*396.2398</f>
        <v>0</v>
      </c>
      <c r="M59">
        <f>M9*-8.3481</f>
        <v>0</v>
      </c>
      <c r="N59">
        <f>E59+F59+G59+H59+I59+J59+K59+L59</f>
        <v>0</v>
      </c>
    </row>
    <row r="60" spans="3:14">
      <c r="C60">
        <f>43.18</f>
        <v>0</v>
      </c>
      <c r="D60">
        <f>3.18</f>
        <v>0</v>
      </c>
      <c r="E60">
        <f>E9*12.2059</f>
        <v>0</v>
      </c>
      <c r="F60">
        <f>F9*224.4057</f>
        <v>0</v>
      </c>
      <c r="G60">
        <f>G9*33.2764</f>
        <v>0</v>
      </c>
      <c r="H60">
        <f>H9*0.0</f>
        <v>0</v>
      </c>
      <c r="I60">
        <f>I9*51.4447</f>
        <v>0</v>
      </c>
      <c r="J60">
        <f>J9*211.1314</f>
        <v>0</v>
      </c>
      <c r="K60">
        <f>K9*-158.3486</f>
        <v>0</v>
      </c>
      <c r="L60">
        <f>L9*512.9311</f>
        <v>0</v>
      </c>
      <c r="M60">
        <f>M9*-8.0104</f>
        <v>0</v>
      </c>
      <c r="N60">
        <f>E60+F60+G60+H60+I60+J60+K60+L60</f>
        <v>0</v>
      </c>
    </row>
    <row r="61" spans="3:14">
      <c r="C61">
        <f>44.09</f>
        <v>0</v>
      </c>
      <c r="D61">
        <f>4.09</f>
        <v>0</v>
      </c>
      <c r="E61">
        <f>E9*15.7937</f>
        <v>0</v>
      </c>
      <c r="F61">
        <f>F9*264.483</f>
        <v>0</v>
      </c>
      <c r="G61">
        <f>G9*38.5123</f>
        <v>0</v>
      </c>
      <c r="H61">
        <f>H9*0.0</f>
        <v>0</v>
      </c>
      <c r="I61">
        <f>I9*59.9718</f>
        <v>0</v>
      </c>
      <c r="J61">
        <f>J9*251.2212</f>
        <v>0</v>
      </c>
      <c r="K61">
        <f>K9*-188.4159</f>
        <v>0</v>
      </c>
      <c r="L61">
        <f>L9*572.51</f>
        <v>0</v>
      </c>
      <c r="M61">
        <f>M9*-6.8659</f>
        <v>0</v>
      </c>
      <c r="N61">
        <f>E61+F61+G61+H61+I61+J61+K61+L61</f>
        <v>0</v>
      </c>
    </row>
    <row r="62" spans="3:14">
      <c r="C62">
        <f>45.0</f>
        <v>0</v>
      </c>
      <c r="D62">
        <f>5.0</f>
        <v>0</v>
      </c>
      <c r="E62">
        <f>E9*18.9448</f>
        <v>0</v>
      </c>
      <c r="F62">
        <f>F9*286.7339</f>
        <v>0</v>
      </c>
      <c r="G62">
        <f>G9*40.7382</f>
        <v>0</v>
      </c>
      <c r="H62">
        <f>H9*0.0</f>
        <v>0</v>
      </c>
      <c r="I62">
        <f>I9*67.2417</f>
        <v>0</v>
      </c>
      <c r="J62">
        <f>J9*296.0485</f>
        <v>0</v>
      </c>
      <c r="K62">
        <f>K9*-222.0363</f>
        <v>0</v>
      </c>
      <c r="L62">
        <f>L9*589.9194</f>
        <v>0</v>
      </c>
      <c r="M62">
        <f>M9*-5.9955</f>
        <v>0</v>
      </c>
      <c r="N62">
        <f>E62+F62+G62+H62+I62+J62+K62+L62</f>
        <v>0</v>
      </c>
    </row>
    <row r="63" spans="3:14">
      <c r="C63">
        <f>46.0</f>
        <v>0</v>
      </c>
      <c r="D63">
        <f>6.0</f>
        <v>0</v>
      </c>
      <c r="E63">
        <f>E9*15.4176</f>
        <v>0</v>
      </c>
      <c r="F63">
        <f>F9*273.008</f>
        <v>0</v>
      </c>
      <c r="G63">
        <f>G9*39.8939</f>
        <v>0</v>
      </c>
      <c r="H63">
        <f>H9*0.0</f>
        <v>0</v>
      </c>
      <c r="I63">
        <f>I9*57.7353</f>
        <v>0</v>
      </c>
      <c r="J63">
        <f>J9*256.4012</f>
        <v>0</v>
      </c>
      <c r="K63">
        <f>K9*-192.3009</f>
        <v>0</v>
      </c>
      <c r="L63">
        <f>L9*586.9022</f>
        <v>0</v>
      </c>
      <c r="M63">
        <f>M9*-4.4013</f>
        <v>0</v>
      </c>
      <c r="N63">
        <f>E63+F63+G63+H63+I63+J63+K63+L63</f>
        <v>0</v>
      </c>
    </row>
    <row r="64" spans="3:14">
      <c r="C64">
        <f>47.0</f>
        <v>0</v>
      </c>
      <c r="D64">
        <f>7.0</f>
        <v>0</v>
      </c>
      <c r="E64">
        <f>E9*11.6918</f>
        <v>0</v>
      </c>
      <c r="F64">
        <f>F9*240.8741</f>
        <v>0</v>
      </c>
      <c r="G64">
        <f>G9*35.8369</f>
        <v>0</v>
      </c>
      <c r="H64">
        <f>H9*0.0</f>
        <v>0</v>
      </c>
      <c r="I64">
        <f>I9*45.8102</f>
        <v>0</v>
      </c>
      <c r="J64">
        <f>J9*220.1089</f>
        <v>0</v>
      </c>
      <c r="K64">
        <f>K9*-165.0817</f>
        <v>0</v>
      </c>
      <c r="L64">
        <f>L9*541.0909</f>
        <v>0</v>
      </c>
      <c r="M64">
        <f>M9*-3.8789999999999996</f>
        <v>0</v>
      </c>
      <c r="N64">
        <f>E64+F64+G64+H64+I64+J64+K64+L64</f>
        <v>0</v>
      </c>
    </row>
    <row r="65" spans="3:14">
      <c r="C65">
        <f>48.0</f>
        <v>0</v>
      </c>
      <c r="D65">
        <f>8.0</f>
        <v>0</v>
      </c>
      <c r="E65">
        <f>E9*7.9754</f>
        <v>0</v>
      </c>
      <c r="F65">
        <f>F9*186.6205</f>
        <v>0</v>
      </c>
      <c r="G65">
        <f>G9*28.0768</f>
        <v>0</v>
      </c>
      <c r="H65">
        <f>H9*0.0</f>
        <v>0</v>
      </c>
      <c r="I65">
        <f>I9*33.2244</f>
        <v>0</v>
      </c>
      <c r="J65">
        <f>J9*191.4357</f>
        <v>0</v>
      </c>
      <c r="K65">
        <f>K9*-143.5768</f>
        <v>0</v>
      </c>
      <c r="L65">
        <f>L9*438.0794</f>
        <v>0</v>
      </c>
      <c r="M65">
        <f>M9*-4.2589999999999995</f>
        <v>0</v>
      </c>
      <c r="N65">
        <f>E65+F65+G65+H65+I65+J65+K65+L65</f>
        <v>0</v>
      </c>
    </row>
    <row r="66" spans="3:14">
      <c r="C66">
        <f>49.0</f>
        <v>0</v>
      </c>
      <c r="D66">
        <f>9.0</f>
        <v>0</v>
      </c>
      <c r="E66">
        <f>E9*4.5676</f>
        <v>0</v>
      </c>
      <c r="F66">
        <f>F9*108.7724</f>
        <v>0</v>
      </c>
      <c r="G66">
        <f>G9*16.3478</f>
        <v>0</v>
      </c>
      <c r="H66">
        <f>H9*0.0</f>
        <v>0</v>
      </c>
      <c r="I66">
        <f>I9*20.1643</f>
        <v>0</v>
      </c>
      <c r="J66">
        <f>J9*156.3886</f>
        <v>0</v>
      </c>
      <c r="K66">
        <f>K9*-117.2915</f>
        <v>0</v>
      </c>
      <c r="L66">
        <f>L9*269.6945</f>
        <v>0</v>
      </c>
      <c r="M66">
        <f>M9*-3.8185</f>
        <v>0</v>
      </c>
      <c r="N66">
        <f>E66+F66+G66+H66+I66+J66+K66+L66</f>
        <v>0</v>
      </c>
    </row>
    <row r="67" spans="3:14">
      <c r="C67">
        <f>50.0</f>
        <v>0</v>
      </c>
      <c r="D67">
        <f>10.0</f>
        <v>0</v>
      </c>
      <c r="E67">
        <f>E9*1.1826</f>
        <v>0</v>
      </c>
      <c r="F67">
        <f>F9*-6.0165</f>
        <v>0</v>
      </c>
      <c r="G67">
        <f>G9*-1.3925</f>
        <v>0</v>
      </c>
      <c r="H67">
        <f>H9*0.0</f>
        <v>0</v>
      </c>
      <c r="I67">
        <f>I9*4.7112</f>
        <v>0</v>
      </c>
      <c r="J67">
        <f>J9*85.2844</f>
        <v>0</v>
      </c>
      <c r="K67">
        <f>K9*-63.9633</f>
        <v>0</v>
      </c>
      <c r="L67">
        <f>L9*4.1522</f>
        <v>0</v>
      </c>
      <c r="M67">
        <f>M9*-24.915</f>
        <v>0</v>
      </c>
      <c r="N67">
        <f>E67+F67+G67+H67+I67+J67+K67+L67</f>
        <v>0</v>
      </c>
    </row>
    <row r="74" spans="3:14">
      <c r="C74" t="s">
        <v>0</v>
      </c>
      <c r="D74" t="s">
        <v>1</v>
      </c>
      <c r="E74" t="s">
        <v>2</v>
      </c>
      <c r="F74" t="s">
        <v>3</v>
      </c>
      <c r="G74" t="s">
        <v>4</v>
      </c>
      <c r="H74" t="s">
        <v>5</v>
      </c>
      <c r="I74" t="s">
        <v>6</v>
      </c>
      <c r="J74" t="s">
        <v>7</v>
      </c>
      <c r="K74" t="s">
        <v>8</v>
      </c>
      <c r="L74" t="s">
        <v>9</v>
      </c>
      <c r="M74" t="s">
        <v>10</v>
      </c>
      <c r="N74" t="s">
        <v>11</v>
      </c>
    </row>
    <row r="75" spans="3:14">
      <c r="C75">
        <f>0.0</f>
        <v>0</v>
      </c>
      <c r="D75">
        <f>0.0</f>
        <v>0</v>
      </c>
      <c r="E75">
        <f>E73*-10.534</f>
        <v>0</v>
      </c>
      <c r="F75">
        <f>F73*-258.129</f>
        <v>0</v>
      </c>
      <c r="G75">
        <f>G73*-37.851</f>
        <v>0</v>
      </c>
      <c r="H75">
        <f>H73*0.0</f>
        <v>0</v>
      </c>
      <c r="I75">
        <f>I73*0.007084</f>
        <v>0</v>
      </c>
      <c r="J75">
        <f>J73*-141.18200000000002</f>
        <v>0</v>
      </c>
      <c r="K75">
        <f>K73*105.887</f>
        <v>0</v>
      </c>
      <c r="L75">
        <f>L73*6.318</f>
        <v>0</v>
      </c>
      <c r="M75">
        <f>M73*-445.151</f>
        <v>0</v>
      </c>
      <c r="N75">
        <f>E75+F75+G75+H75+I75+J75+K75+L75</f>
        <v>0</v>
      </c>
    </row>
    <row r="76" spans="3:14">
      <c r="C76">
        <f>1.0</f>
        <v>0</v>
      </c>
      <c r="D76">
        <f>1.0</f>
        <v>0</v>
      </c>
      <c r="E76">
        <f>E73*-11.347000000000001</f>
        <v>0</v>
      </c>
      <c r="F76">
        <f>F73*-232.115</f>
        <v>0</v>
      </c>
      <c r="G76">
        <f>G73*-35.662</f>
        <v>0</v>
      </c>
      <c r="H76">
        <f>H73*0.0</f>
        <v>0</v>
      </c>
      <c r="I76">
        <f>I73*0.0071920000000000005</f>
        <v>0</v>
      </c>
      <c r="J76">
        <f>J73*-131.276</f>
        <v>0</v>
      </c>
      <c r="K76">
        <f>K73*98.45700000000001</f>
        <v>0</v>
      </c>
      <c r="L76">
        <f>L73*20.965999999999998</f>
        <v>0</v>
      </c>
      <c r="M76">
        <f>M73*-423.139</f>
        <v>0</v>
      </c>
      <c r="N76">
        <f>E76+F76+G76+H76+I76+J76+K76+L76</f>
        <v>0</v>
      </c>
    </row>
    <row r="77" spans="3:14">
      <c r="C77">
        <f>2.0</f>
        <v>0</v>
      </c>
      <c r="D77">
        <f>2.0</f>
        <v>0</v>
      </c>
      <c r="E77">
        <f>E73*-12.22</f>
        <v>0</v>
      </c>
      <c r="F77">
        <f>F73*-203.812</f>
        <v>0</v>
      </c>
      <c r="G77">
        <f>G73*-30.898000000000003</f>
        <v>0</v>
      </c>
      <c r="H77">
        <f>H73*0.0</f>
        <v>0</v>
      </c>
      <c r="I77">
        <f>I73*0.007287999999999999</f>
        <v>0</v>
      </c>
      <c r="J77">
        <f>J73*-109.13</f>
        <v>0</v>
      </c>
      <c r="K77">
        <f>K73*81.847</f>
        <v>0</v>
      </c>
      <c r="L77">
        <f>L73*40.101</f>
        <v>0</v>
      </c>
      <c r="M77">
        <f>M73*-375.23800000000006</f>
        <v>0</v>
      </c>
      <c r="N77">
        <f>E77+F77+G77+H77+I77+J77+K77+L77</f>
        <v>0</v>
      </c>
    </row>
    <row r="78" spans="3:14">
      <c r="C78">
        <f>3.0</f>
        <v>0</v>
      </c>
      <c r="D78">
        <f>3.0</f>
        <v>0</v>
      </c>
      <c r="E78">
        <f>E73*-12.63</f>
        <v>0</v>
      </c>
      <c r="F78">
        <f>F73*-175.75099999999998</f>
        <v>0</v>
      </c>
      <c r="G78">
        <f>G73*-26.198</f>
        <v>0</v>
      </c>
      <c r="H78">
        <f>H73*0.0</f>
        <v>0</v>
      </c>
      <c r="I78">
        <f>I73*0.007195</f>
        <v>0</v>
      </c>
      <c r="J78">
        <f>J73*-97.296</f>
        <v>0</v>
      </c>
      <c r="K78">
        <f>K73*72.972</f>
        <v>0</v>
      </c>
      <c r="L78">
        <f>L73*66.658</f>
        <v>0</v>
      </c>
      <c r="M78">
        <f>M73*-336.097</f>
        <v>0</v>
      </c>
      <c r="N78">
        <f>E78+F78+G78+H78+I78+J78+K78+L78</f>
        <v>0</v>
      </c>
    </row>
    <row r="79" spans="3:14">
      <c r="C79">
        <f>4.0</f>
        <v>0</v>
      </c>
      <c r="D79">
        <f>4.0</f>
        <v>0</v>
      </c>
      <c r="E79">
        <f>E73*-13.468</f>
        <v>0</v>
      </c>
      <c r="F79">
        <f>F73*-156.039</f>
        <v>0</v>
      </c>
      <c r="G79">
        <f>G73*-21.566</f>
        <v>0</v>
      </c>
      <c r="H79">
        <f>H73*0.0</f>
        <v>0</v>
      </c>
      <c r="I79">
        <f>I73*0.006885</f>
        <v>0</v>
      </c>
      <c r="J79">
        <f>J73*-90.53</f>
        <v>0</v>
      </c>
      <c r="K79">
        <f>K73*67.898</f>
        <v>0</v>
      </c>
      <c r="L79">
        <f>L73*89.01299999999999</f>
        <v>0</v>
      </c>
      <c r="M79">
        <f>M73*-299.835</f>
        <v>0</v>
      </c>
      <c r="N79">
        <f>E79+F79+G79+H79+I79+J79+K79+L79</f>
        <v>0</v>
      </c>
    </row>
    <row r="80" spans="3:14">
      <c r="C80">
        <f>5.0</f>
        <v>0</v>
      </c>
      <c r="D80">
        <f>5.0</f>
        <v>0</v>
      </c>
      <c r="E80">
        <f>E73*-13.045</f>
        <v>0</v>
      </c>
      <c r="F80">
        <f>F73*-130.623</f>
        <v>0</v>
      </c>
      <c r="G80">
        <f>G73*-18.498</f>
        <v>0</v>
      </c>
      <c r="H80">
        <f>H73*0.0</f>
        <v>0</v>
      </c>
      <c r="I80">
        <f>I73*0.0060490000000000006</f>
        <v>0</v>
      </c>
      <c r="J80">
        <f>J73*-73.37</f>
        <v>0</v>
      </c>
      <c r="K80">
        <f>K73*55.028</f>
        <v>0</v>
      </c>
      <c r="L80">
        <f>L73*99.795</f>
        <v>0</v>
      </c>
      <c r="M80">
        <f>M73*-284.797</f>
        <v>0</v>
      </c>
      <c r="N80">
        <f>E80+F80+G80+H80+I80+J80+K80+L80</f>
        <v>0</v>
      </c>
    </row>
    <row r="81" spans="3:14">
      <c r="C81">
        <f>6.0</f>
        <v>0</v>
      </c>
      <c r="D81">
        <f>6.0</f>
        <v>0</v>
      </c>
      <c r="E81">
        <f>E73*-6.215</f>
        <v>0</v>
      </c>
      <c r="F81">
        <f>F73*-97.21600000000001</f>
        <v>0</v>
      </c>
      <c r="G81">
        <f>G73*-15.742</f>
        <v>0</v>
      </c>
      <c r="H81">
        <f>H73*0.0</f>
        <v>0</v>
      </c>
      <c r="I81">
        <f>I73*0.00475</f>
        <v>0</v>
      </c>
      <c r="J81">
        <f>J73*5.542999999999999</f>
        <v>0</v>
      </c>
      <c r="K81">
        <f>K73*-4.157</f>
        <v>0</v>
      </c>
      <c r="L81">
        <f>L73*105.055</f>
        <v>0</v>
      </c>
      <c r="M81">
        <f>M73*-270.84</f>
        <v>0</v>
      </c>
      <c r="N81">
        <f>E81+F81+G81+H81+I81+J81+K81+L81</f>
        <v>0</v>
      </c>
    </row>
    <row r="82" spans="3:14">
      <c r="C82">
        <f>7.0</f>
        <v>0</v>
      </c>
      <c r="D82">
        <f>7.0</f>
        <v>0</v>
      </c>
      <c r="E82">
        <f>E73*-5.832999999999999</f>
        <v>0</v>
      </c>
      <c r="F82">
        <f>F73*-72.895</f>
        <v>0</v>
      </c>
      <c r="G82">
        <f>G73*-11.659</f>
        <v>0</v>
      </c>
      <c r="H82">
        <f>H73*0.0</f>
        <v>0</v>
      </c>
      <c r="I82">
        <f>I73*0.0046170000000000004</f>
        <v>0</v>
      </c>
      <c r="J82">
        <f>J73*2.536</f>
        <v>0</v>
      </c>
      <c r="K82">
        <f>K73*-1.902</f>
        <v>0</v>
      </c>
      <c r="L82">
        <f>L73*129.333</f>
        <v>0</v>
      </c>
      <c r="M82">
        <f>M73*-241.583</f>
        <v>0</v>
      </c>
      <c r="N82">
        <f>E82+F82+G82+H82+I82+J82+K82+L82</f>
        <v>0</v>
      </c>
    </row>
    <row r="83" spans="3:14">
      <c r="C83">
        <f>8.0</f>
        <v>0</v>
      </c>
      <c r="D83">
        <f>8.0</f>
        <v>0</v>
      </c>
      <c r="E83">
        <f>E73*-5.6</f>
        <v>0</v>
      </c>
      <c r="F83">
        <f>F73*-48.838</f>
        <v>0</v>
      </c>
      <c r="G83">
        <f>G73*-7.6</f>
        <v>0</v>
      </c>
      <c r="H83">
        <f>H73*0.0</f>
        <v>0</v>
      </c>
      <c r="I83">
        <f>I73*0.004275</f>
        <v>0</v>
      </c>
      <c r="J83">
        <f>J73*-8.134</f>
        <v>0</v>
      </c>
      <c r="K83">
        <f>K73*6.1</f>
        <v>0</v>
      </c>
      <c r="L83">
        <f>L73*154.129</f>
        <v>0</v>
      </c>
      <c r="M83">
        <f>M73*-213.81400000000002</f>
        <v>0</v>
      </c>
      <c r="N83">
        <f>E83+F83+G83+H83+I83+J83+K83+L83</f>
        <v>0</v>
      </c>
    </row>
    <row r="84" spans="3:14">
      <c r="C84">
        <f>9.0</f>
        <v>0</v>
      </c>
      <c r="D84">
        <f>9.0</f>
        <v>0</v>
      </c>
      <c r="E84">
        <f>E73*-5.153</f>
        <v>0</v>
      </c>
      <c r="F84">
        <f>F73*-24.886999999999997</f>
        <v>0</v>
      </c>
      <c r="G84">
        <f>G73*-3.5789999999999997</f>
        <v>0</v>
      </c>
      <c r="H84">
        <f>H73*0.0</f>
        <v>0</v>
      </c>
      <c r="I84">
        <f>I73*0.003701</f>
        <v>0</v>
      </c>
      <c r="J84">
        <f>J73*-14.227</f>
        <v>0</v>
      </c>
      <c r="K84">
        <f>K73*10.67</f>
        <v>0</v>
      </c>
      <c r="L84">
        <f>L73*178.05</f>
        <v>0</v>
      </c>
      <c r="M84">
        <f>M73*-187.483</f>
        <v>0</v>
      </c>
      <c r="N84">
        <f>E84+F84+G84+H84+I84+J84+K84+L84</f>
        <v>0</v>
      </c>
    </row>
    <row r="85" spans="3:14">
      <c r="C85">
        <f>10.0</f>
        <v>0</v>
      </c>
      <c r="D85">
        <f>10.0</f>
        <v>0</v>
      </c>
      <c r="E85">
        <f>E73*5.468999999999999</f>
        <v>0</v>
      </c>
      <c r="F85">
        <f>F73*6.765</f>
        <v>0</v>
      </c>
      <c r="G85">
        <f>G73*0.564</f>
        <v>0</v>
      </c>
      <c r="H85">
        <f>H73*0.0</f>
        <v>0</v>
      </c>
      <c r="I85">
        <f>I73*0.003196</f>
        <v>0</v>
      </c>
      <c r="J85">
        <f>J73*-14.754000000000001</f>
        <v>0</v>
      </c>
      <c r="K85">
        <f>K73*11.065999999999999</f>
        <v>0</v>
      </c>
      <c r="L85">
        <f>L73*189.757</f>
        <v>0</v>
      </c>
      <c r="M85">
        <f>M73*-185.14</f>
        <v>0</v>
      </c>
      <c r="N85">
        <f>E85+F85+G85+H85+I85+J85+K85+L85</f>
        <v>0</v>
      </c>
    </row>
    <row r="86" spans="3:14">
      <c r="C86">
        <f>11.0</f>
        <v>0</v>
      </c>
      <c r="D86">
        <f>11.0</f>
        <v>0</v>
      </c>
      <c r="E86">
        <f>E73*6.351</f>
        <v>0</v>
      </c>
      <c r="F86">
        <f>F73*31.761</f>
        <v>0</v>
      </c>
      <c r="G86">
        <f>G73*4.569</f>
        <v>0</v>
      </c>
      <c r="H86">
        <f>H73*0.0</f>
        <v>0</v>
      </c>
      <c r="I86">
        <f>I73*0.0004508</f>
        <v>0</v>
      </c>
      <c r="J86">
        <f>J73*11.934000000000001</f>
        <v>0</v>
      </c>
      <c r="K86">
        <f>K73*-8.95</f>
        <v>0</v>
      </c>
      <c r="L86">
        <f>L73*189.45</f>
        <v>0</v>
      </c>
      <c r="M86">
        <f>M73*-174.63299999999998</f>
        <v>0</v>
      </c>
      <c r="N86">
        <f>E86+F86+G86+H86+I86+J86+K86+L86</f>
        <v>0</v>
      </c>
    </row>
    <row r="87" spans="3:14">
      <c r="C87">
        <f>12.0</f>
        <v>0</v>
      </c>
      <c r="D87">
        <f>12.0</f>
        <v>0</v>
      </c>
      <c r="E87">
        <f>E73*6.86</f>
        <v>0</v>
      </c>
      <c r="F87">
        <f>F73*55.628</f>
        <v>0</v>
      </c>
      <c r="G87">
        <f>G73*8.57</f>
        <v>0</v>
      </c>
      <c r="H87">
        <f>H73*0.0</f>
        <v>0</v>
      </c>
      <c r="I87">
        <f>I73*-0.00048449999999999996</f>
        <v>0</v>
      </c>
      <c r="J87">
        <f>J73*5.273</f>
        <v>0</v>
      </c>
      <c r="K87">
        <f>K73*-3.955</f>
        <v>0</v>
      </c>
      <c r="L87">
        <f>L73*215.19299999999998</f>
        <v>0</v>
      </c>
      <c r="M87">
        <f>M73*-152.562</f>
        <v>0</v>
      </c>
      <c r="N87">
        <f>E87+F87+G87+H87+I87+J87+K87+L87</f>
        <v>0</v>
      </c>
    </row>
    <row r="88" spans="3:14">
      <c r="C88">
        <f>13.0</f>
        <v>0</v>
      </c>
      <c r="D88">
        <f>13.0</f>
        <v>0</v>
      </c>
      <c r="E88">
        <f>E73*7.205</f>
        <v>0</v>
      </c>
      <c r="F88">
        <f>F73*79.547</f>
        <v>0</v>
      </c>
      <c r="G88">
        <f>G73*12.602</f>
        <v>0</v>
      </c>
      <c r="H88">
        <f>H73*0.0</f>
        <v>0</v>
      </c>
      <c r="I88">
        <f>I73*-0.001394</f>
        <v>0</v>
      </c>
      <c r="J88">
        <f>J73*-7.39</f>
        <v>0</v>
      </c>
      <c r="K88">
        <f>K73*5.542000000000001</f>
        <v>0</v>
      </c>
      <c r="L88">
        <f>L73*245.46900000000002</f>
        <v>0</v>
      </c>
      <c r="M88">
        <f>M73*-134.92600000000002</f>
        <v>0</v>
      </c>
      <c r="N88">
        <f>E88+F88+G88+H88+I88+J88+K88+L88</f>
        <v>0</v>
      </c>
    </row>
    <row r="89" spans="3:14">
      <c r="C89">
        <f>14.0</f>
        <v>0</v>
      </c>
      <c r="D89">
        <f>14.0</f>
        <v>0</v>
      </c>
      <c r="E89">
        <f>E73*7.7860000000000005</f>
        <v>0</v>
      </c>
      <c r="F89">
        <f>F73*103.81200000000001</f>
        <v>0</v>
      </c>
      <c r="G89">
        <f>G73*16.672</f>
        <v>0</v>
      </c>
      <c r="H89">
        <f>H73*0.0</f>
        <v>0</v>
      </c>
      <c r="I89">
        <f>I73*-0.002448</f>
        <v>0</v>
      </c>
      <c r="J89">
        <f>J73*-13.048</f>
        <v>0</v>
      </c>
      <c r="K89">
        <f>K73*9.786</f>
        <v>0</v>
      </c>
      <c r="L89">
        <f>L73*271.846</f>
        <v>0</v>
      </c>
      <c r="M89">
        <f>M73*-110.039</f>
        <v>0</v>
      </c>
      <c r="N89">
        <f>E89+F89+G89+H89+I89+J89+K89+L89</f>
        <v>0</v>
      </c>
    </row>
    <row r="90" spans="3:14">
      <c r="C90">
        <f>15.0</f>
        <v>0</v>
      </c>
      <c r="D90">
        <f>15.0</f>
        <v>0</v>
      </c>
      <c r="E90">
        <f>E73*17.542</f>
        <v>0</v>
      </c>
      <c r="F90">
        <f>F73*145.92600000000002</f>
        <v>0</v>
      </c>
      <c r="G90">
        <f>G73*20.347</f>
        <v>0</v>
      </c>
      <c r="H90">
        <f>H73*0.0</f>
        <v>0</v>
      </c>
      <c r="I90">
        <f>I73*-0.0029980000000000002</f>
        <v>0</v>
      </c>
      <c r="J90">
        <f>J73*30.699</f>
        <v>0</v>
      </c>
      <c r="K90">
        <f>K73*-23.024</f>
        <v>0</v>
      </c>
      <c r="L90">
        <f>L73*287.165</f>
        <v>0</v>
      </c>
      <c r="M90">
        <f>M73*-109.545</f>
        <v>0</v>
      </c>
      <c r="N90">
        <f>E90+F90+G90+H90+I90+J90+K90+L90</f>
        <v>0</v>
      </c>
    </row>
    <row r="91" spans="3:14">
      <c r="C91">
        <f>15.91</f>
        <v>0</v>
      </c>
      <c r="D91">
        <f>15.91</f>
        <v>0</v>
      </c>
      <c r="E91">
        <f>E73*18.174</f>
        <v>0</v>
      </c>
      <c r="F91">
        <f>F73*169.362</f>
        <v>0</v>
      </c>
      <c r="G91">
        <f>G73*23.245</f>
        <v>0</v>
      </c>
      <c r="H91">
        <f>H73*0.0</f>
        <v>0</v>
      </c>
      <c r="I91">
        <f>I73*0.001929</f>
        <v>0</v>
      </c>
      <c r="J91">
        <f>J73*40.619</f>
        <v>0</v>
      </c>
      <c r="K91">
        <f>K73*-30.464000000000002</f>
        <v>0</v>
      </c>
      <c r="L91">
        <f>L73*298.675</f>
        <v>0</v>
      </c>
      <c r="M91">
        <f>M73*-100.363</f>
        <v>0</v>
      </c>
      <c r="N91">
        <f>E91+F91+G91+H91+I91+J91+K91+L91</f>
        <v>0</v>
      </c>
    </row>
    <row r="92" spans="3:14">
      <c r="C92">
        <f>16.82</f>
        <v>0</v>
      </c>
      <c r="D92">
        <f>16.82</f>
        <v>0</v>
      </c>
      <c r="E92">
        <f>E73*18.23</f>
        <v>0</v>
      </c>
      <c r="F92">
        <f>F73*187.43900000000002</f>
        <v>0</v>
      </c>
      <c r="G92">
        <f>G73*27.328000000000003</f>
        <v>0</v>
      </c>
      <c r="H92">
        <f>H73*0.0</f>
        <v>0</v>
      </c>
      <c r="I92">
        <f>I73*0.004673</f>
        <v>0</v>
      </c>
      <c r="J92">
        <f>J73*40.416</f>
        <v>0</v>
      </c>
      <c r="K92">
        <f>K73*-30.311999999999998</f>
        <v>0</v>
      </c>
      <c r="L92">
        <f>L73*328.86800000000005</f>
        <v>0</v>
      </c>
      <c r="M92">
        <f>M73*-79.967</f>
        <v>0</v>
      </c>
      <c r="N92">
        <f>E92+F92+G92+H92+I92+J92+K92+L92</f>
        <v>0</v>
      </c>
    </row>
    <row r="93" spans="3:14">
      <c r="C93">
        <f>17.73</f>
        <v>0</v>
      </c>
      <c r="D93">
        <f>17.73</f>
        <v>0</v>
      </c>
      <c r="E93">
        <f>E73*18.622</f>
        <v>0</v>
      </c>
      <c r="F93">
        <f>F73*214.49599999999998</f>
        <v>0</v>
      </c>
      <c r="G93">
        <f>G73*31.747</f>
        <v>0</v>
      </c>
      <c r="H93">
        <f>H73*0.0</f>
        <v>0</v>
      </c>
      <c r="I93">
        <f>I73*0.01</f>
        <v>0</v>
      </c>
      <c r="J93">
        <f>J73*40.214</f>
        <v>0</v>
      </c>
      <c r="K93">
        <f>K73*-30.160999999999998</f>
        <v>0</v>
      </c>
      <c r="L93">
        <f>L73*365.10900000000004</f>
        <v>0</v>
      </c>
      <c r="M93">
        <f>M73*-51.878</f>
        <v>0</v>
      </c>
      <c r="N93">
        <f>E93+F93+G93+H93+I93+J93+K93+L93</f>
        <v>0</v>
      </c>
    </row>
    <row r="94" spans="3:14">
      <c r="C94">
        <f>18.64</f>
        <v>0</v>
      </c>
      <c r="D94">
        <f>18.64</f>
        <v>0</v>
      </c>
      <c r="E94">
        <f>E73*19.087</f>
        <v>0</v>
      </c>
      <c r="F94">
        <f>F73*244.612</f>
        <v>0</v>
      </c>
      <c r="G94">
        <f>G73*36.586</f>
        <v>0</v>
      </c>
      <c r="H94">
        <f>H73*0.0</f>
        <v>0</v>
      </c>
      <c r="I94">
        <f>I73*0.021</f>
        <v>0</v>
      </c>
      <c r="J94">
        <f>J73*46.765</f>
        <v>0</v>
      </c>
      <c r="K94">
        <f>K73*-35.074</f>
        <v>0</v>
      </c>
      <c r="L94">
        <f>L73*411.135</f>
        <v>0</v>
      </c>
      <c r="M94">
        <f>M73*-31.754</f>
        <v>0</v>
      </c>
      <c r="N94">
        <f>E94+F94+G94+H94+I94+J94+K94+L94</f>
        <v>0</v>
      </c>
    </row>
    <row r="95" spans="3:14">
      <c r="C95">
        <f>19.55</f>
        <v>0</v>
      </c>
      <c r="D95">
        <f>19.55</f>
        <v>0</v>
      </c>
      <c r="E95">
        <f>E73*19.387</f>
        <v>0</v>
      </c>
      <c r="F95">
        <f>F73*271.45599999999996</f>
        <v>0</v>
      </c>
      <c r="G95">
        <f>G73*38.986</f>
        <v>0</v>
      </c>
      <c r="H95">
        <f>H73*0.0</f>
        <v>0</v>
      </c>
      <c r="I95">
        <f>I73*0.028999999999999998</f>
        <v>0</v>
      </c>
      <c r="J95">
        <f>J73*56.751000000000005</f>
        <v>0</v>
      </c>
      <c r="K95">
        <f>K73*-42.563</f>
        <v>0</v>
      </c>
      <c r="L95">
        <f>L73*436.587</f>
        <v>0</v>
      </c>
      <c r="M95">
        <f>M73*-218.497</f>
        <v>0</v>
      </c>
      <c r="N95">
        <f>E95+F95+G95+H95+I95+J95+K95+L95</f>
        <v>0</v>
      </c>
    </row>
    <row r="96" spans="3:14">
      <c r="C96">
        <f>20.0</f>
        <v>0</v>
      </c>
      <c r="D96">
        <f>20.0</f>
        <v>0</v>
      </c>
      <c r="E96">
        <f>E73*0.633</f>
        <v>0</v>
      </c>
      <c r="F96">
        <f>F73*-12.462</f>
        <v>0</v>
      </c>
      <c r="G96">
        <f>G73*-2.778</f>
        <v>0</v>
      </c>
      <c r="H96">
        <f>H73*0.0</f>
        <v>0</v>
      </c>
      <c r="I96">
        <f>I73*-0.02</f>
        <v>0</v>
      </c>
      <c r="J96">
        <f>J73*-16.917</f>
        <v>0</v>
      </c>
      <c r="K96">
        <f>K73*12.687999999999999</f>
        <v>0</v>
      </c>
      <c r="L96">
        <f>L73*13.055</f>
        <v>0</v>
      </c>
      <c r="M96">
        <f>M73*-219.399</f>
        <v>0</v>
      </c>
      <c r="N96">
        <f>E96+F96+G96+H96+I96+J96+K96+L96</f>
        <v>0</v>
      </c>
    </row>
    <row r="97" spans="3:14">
      <c r="C97">
        <f>20.0</f>
        <v>0</v>
      </c>
      <c r="D97">
        <f>0.0</f>
        <v>0</v>
      </c>
      <c r="E97">
        <f>E73*-0.531</f>
        <v>0</v>
      </c>
      <c r="F97">
        <f>F73*11.600999999999999</f>
        <v>0</v>
      </c>
      <c r="G97">
        <f>G73*2.647</f>
        <v>0</v>
      </c>
      <c r="H97">
        <f>H73*0.0</f>
        <v>0</v>
      </c>
      <c r="I97">
        <f>I73*-0.141</f>
        <v>0</v>
      </c>
      <c r="J97">
        <f>J73*15.207</f>
        <v>0</v>
      </c>
      <c r="K97">
        <f>K73*-11.405</f>
        <v>0</v>
      </c>
      <c r="L97">
        <f>L73*25.881999999999998</f>
        <v>0</v>
      </c>
      <c r="M97">
        <f>M73*-13.475999999999999</f>
        <v>0</v>
      </c>
      <c r="N97">
        <f>E97+F97+G97+H97+I97+J97+K97+L97</f>
        <v>0</v>
      </c>
    </row>
    <row r="98" spans="3:14">
      <c r="C98">
        <f>20.45</f>
        <v>0</v>
      </c>
      <c r="D98">
        <f>0.45</f>
        <v>0</v>
      </c>
      <c r="E98">
        <f>E73*-18.266</f>
        <v>0</v>
      </c>
      <c r="F98">
        <f>F73*-270.981</f>
        <v>0</v>
      </c>
      <c r="G98">
        <f>G73*-38.949</f>
        <v>0</v>
      </c>
      <c r="H98">
        <f>H73*0.0</f>
        <v>0</v>
      </c>
      <c r="I98">
        <f>I73*0.408</f>
        <v>0</v>
      </c>
      <c r="J98">
        <f>J73*-65.96</f>
        <v>0</v>
      </c>
      <c r="K98">
        <f>K73*49.47</f>
        <v>0</v>
      </c>
      <c r="L98">
        <f>L73*24.651999999999997</f>
        <v>0</v>
      </c>
      <c r="M98">
        <f>M73*-443.711</f>
        <v>0</v>
      </c>
      <c r="N98">
        <f>E98+F98+G98+H98+I98+J98+K98+L98</f>
        <v>0</v>
      </c>
    </row>
    <row r="99" spans="3:14">
      <c r="C99">
        <f>21.36</f>
        <v>0</v>
      </c>
      <c r="D99">
        <f>1.36</f>
        <v>0</v>
      </c>
      <c r="E99">
        <f>E73*-18.008</f>
        <v>0</v>
      </c>
      <c r="F99">
        <f>F73*-243.829</f>
        <v>0</v>
      </c>
      <c r="G99">
        <f>G73*-36.501999999999995</f>
        <v>0</v>
      </c>
      <c r="H99">
        <f>H73*0.0</f>
        <v>0</v>
      </c>
      <c r="I99">
        <f>I73*0.312</f>
        <v>0</v>
      </c>
      <c r="J99">
        <f>J73*-55.288999999999994</f>
        <v>0</v>
      </c>
      <c r="K99">
        <f>K73*41.467</f>
        <v>0</v>
      </c>
      <c r="L99">
        <f>L73*27.084</f>
        <v>0</v>
      </c>
      <c r="M99">
        <f>M73*-418.778</f>
        <v>0</v>
      </c>
      <c r="N99">
        <f>E99+F99+G99+H99+I99+J99+K99+L99</f>
        <v>0</v>
      </c>
    </row>
    <row r="100" spans="3:14">
      <c r="C100">
        <f>22.27</f>
        <v>0</v>
      </c>
      <c r="D100">
        <f>2.27</f>
        <v>0</v>
      </c>
      <c r="E100">
        <f>E73*-17.637</f>
        <v>0</v>
      </c>
      <c r="F100">
        <f>F73*-213.12</f>
        <v>0</v>
      </c>
      <c r="G100">
        <f>G73*-31.572</f>
        <v>0</v>
      </c>
      <c r="H100">
        <f>H73*0.0</f>
        <v>0</v>
      </c>
      <c r="I100">
        <f>I73*0.172</f>
        <v>0</v>
      </c>
      <c r="J100">
        <f>J73*-47.321999999999996</f>
        <v>0</v>
      </c>
      <c r="K100">
        <f>K73*35.492</f>
        <v>0</v>
      </c>
      <c r="L100">
        <f>L73*45.253</f>
        <v>0</v>
      </c>
      <c r="M100">
        <f>M73*-371.77</f>
        <v>0</v>
      </c>
      <c r="N100">
        <f>E100+F100+G100+H100+I100+J100+K100+L100</f>
        <v>0</v>
      </c>
    </row>
    <row r="101" spans="3:14">
      <c r="C101">
        <f>23.18</f>
        <v>0</v>
      </c>
      <c r="D101">
        <f>3.18</f>
        <v>0</v>
      </c>
      <c r="E101">
        <f>E73*-17.327</f>
        <v>0</v>
      </c>
      <c r="F101">
        <f>F73*-185.565</f>
        <v>0</v>
      </c>
      <c r="G101">
        <f>G73*-27.076</f>
        <v>0</v>
      </c>
      <c r="H101">
        <f>H73*0.0</f>
        <v>0</v>
      </c>
      <c r="I101">
        <f>I73*0.064</f>
        <v>0</v>
      </c>
      <c r="J101">
        <f>J73*-46.269</f>
        <v>0</v>
      </c>
      <c r="K101">
        <f>K73*34.702</f>
        <v>0</v>
      </c>
      <c r="L101">
        <f>L73*72.567</f>
        <v>0</v>
      </c>
      <c r="M101">
        <f>M73*-333.478</f>
        <v>0</v>
      </c>
      <c r="N101">
        <f>E101+F101+G101+H101+I101+J101+K101+L101</f>
        <v>0</v>
      </c>
    </row>
    <row r="102" spans="3:14">
      <c r="C102">
        <f>24.09</f>
        <v>0</v>
      </c>
      <c r="D102">
        <f>4.09</f>
        <v>0</v>
      </c>
      <c r="E102">
        <f>E73*-17.359</f>
        <v>0</v>
      </c>
      <c r="F102">
        <f>F73*-166.709</f>
        <v>0</v>
      </c>
      <c r="G102">
        <f>G73*-22.934</f>
        <v>0</v>
      </c>
      <c r="H102">
        <f>H73*0.0</f>
        <v>0</v>
      </c>
      <c r="I102">
        <f>I73*-0.078</f>
        <v>0</v>
      </c>
      <c r="J102">
        <f>J73*-45.426</f>
        <v>0</v>
      </c>
      <c r="K102">
        <f>K73*34.07</f>
        <v>0</v>
      </c>
      <c r="L102">
        <f>L73*94.412</f>
        <v>0</v>
      </c>
      <c r="M102">
        <f>M73*-301.325</f>
        <v>0</v>
      </c>
      <c r="N102">
        <f>E102+F102+G102+H102+I102+J102+K102+L102</f>
        <v>0</v>
      </c>
    </row>
    <row r="103" spans="3:14">
      <c r="C103">
        <f>25.0</f>
        <v>0</v>
      </c>
      <c r="D103">
        <f>5.0</f>
        <v>0</v>
      </c>
      <c r="E103">
        <f>E73*-16.754</f>
        <v>0</v>
      </c>
      <c r="F103">
        <f>F73*-143.157</f>
        <v>0</v>
      </c>
      <c r="G103">
        <f>G73*-19.958</f>
        <v>0</v>
      </c>
      <c r="H103">
        <f>H73*0.0</f>
        <v>0</v>
      </c>
      <c r="I103">
        <f>I73*-0.371</f>
        <v>0</v>
      </c>
      <c r="J103">
        <f>J73*-34.486999999999995</f>
        <v>0</v>
      </c>
      <c r="K103">
        <f>K73*25.865</f>
        <v>0</v>
      </c>
      <c r="L103">
        <f>L73*104.15899999999999</f>
        <v>0</v>
      </c>
      <c r="M103">
        <f>M73*-282.681</f>
        <v>0</v>
      </c>
      <c r="N103">
        <f>E103+F103+G103+H103+I103+J103+K103+L103</f>
        <v>0</v>
      </c>
    </row>
    <row r="104" spans="3:14">
      <c r="C104">
        <f>26.0</f>
        <v>0</v>
      </c>
      <c r="D104">
        <f>6.0</f>
        <v>0</v>
      </c>
      <c r="E104">
        <f>E73*-7.212999999999999</f>
        <v>0</v>
      </c>
      <c r="F104">
        <f>F73*-99.881</f>
        <v>0</v>
      </c>
      <c r="G104">
        <f>G73*-16.107</f>
        <v>0</v>
      </c>
      <c r="H104">
        <f>H73*0.0</f>
        <v>0</v>
      </c>
      <c r="I104">
        <f>I73*-0.409</f>
        <v>0</v>
      </c>
      <c r="J104">
        <f>J73*12.607000000000001</f>
        <v>0</v>
      </c>
      <c r="K104">
        <f>K73*-9.455</f>
        <v>0</v>
      </c>
      <c r="L104">
        <f>L73*108.67200000000001</f>
        <v>0</v>
      </c>
      <c r="M104">
        <f>M73*-270.274</f>
        <v>0</v>
      </c>
      <c r="N104">
        <f>E104+F104+G104+H104+I104+J104+K104+L104</f>
        <v>0</v>
      </c>
    </row>
    <row r="105" spans="3:14">
      <c r="C105">
        <f>27.0</f>
        <v>0</v>
      </c>
      <c r="D105">
        <f>7.0</f>
        <v>0</v>
      </c>
      <c r="E105">
        <f>E73*-6.6739999999999995</f>
        <v>0</v>
      </c>
      <c r="F105">
        <f>F73*-75.582</f>
        <v>0</v>
      </c>
      <c r="G105">
        <f>G73*-12.023</f>
        <v>0</v>
      </c>
      <c r="H105">
        <f>H73*0.0</f>
        <v>0</v>
      </c>
      <c r="I105">
        <f>I73*-0.433</f>
        <v>0</v>
      </c>
      <c r="J105">
        <f>J73*7.587000000000001</f>
        <v>0</v>
      </c>
      <c r="K105">
        <f>K73*-5.69</f>
        <v>0</v>
      </c>
      <c r="L105">
        <f>L73*133.733</f>
        <v>0</v>
      </c>
      <c r="M105">
        <f>M73*-240.113</f>
        <v>0</v>
      </c>
      <c r="N105">
        <f>E105+F105+G105+H105+I105+J105+K105+L105</f>
        <v>0</v>
      </c>
    </row>
    <row r="106" spans="3:14">
      <c r="C106">
        <f>28.0</f>
        <v>0</v>
      </c>
      <c r="D106">
        <f>8.0</f>
        <v>0</v>
      </c>
      <c r="E106">
        <f>E73*-6.364</f>
        <v>0</v>
      </c>
      <c r="F106">
        <f>F73*-51.722</f>
        <v>0</v>
      </c>
      <c r="G106">
        <f>G73*-7.989</f>
        <v>0</v>
      </c>
      <c r="H106">
        <f>H73*0.0</f>
        <v>0</v>
      </c>
      <c r="I106">
        <f>I73*-0.445</f>
        <v>0</v>
      </c>
      <c r="J106">
        <f>J73*-4.349</f>
        <v>0</v>
      </c>
      <c r="K106">
        <f>K73*3.262</f>
        <v>0</v>
      </c>
      <c r="L106">
        <f>L73*154.81</f>
        <v>0</v>
      </c>
      <c r="M106">
        <f>M73*-212.812</f>
        <v>0</v>
      </c>
      <c r="N106">
        <f>E106+F106+G106+H106+I106+J106+K106+L106</f>
        <v>0</v>
      </c>
    </row>
    <row r="107" spans="3:14">
      <c r="C107">
        <f>29.0</f>
        <v>0</v>
      </c>
      <c r="D107">
        <f>9.0</f>
        <v>0</v>
      </c>
      <c r="E107">
        <f>E73*-5.879</f>
        <v>0</v>
      </c>
      <c r="F107">
        <f>F73*-27.99</f>
        <v>0</v>
      </c>
      <c r="G107">
        <f>G73*-4.0</f>
        <v>0</v>
      </c>
      <c r="H107">
        <f>H73*0.0</f>
        <v>0</v>
      </c>
      <c r="I107">
        <f>I73*-0.452</f>
        <v>0</v>
      </c>
      <c r="J107">
        <f>J73*-10.765</f>
        <v>0</v>
      </c>
      <c r="K107">
        <f>K73*8.074</f>
        <v>0</v>
      </c>
      <c r="L107">
        <f>L73*175.99900000000002</f>
        <v>0</v>
      </c>
      <c r="M107">
        <f>M73*-187.0</f>
        <v>0</v>
      </c>
      <c r="N107">
        <f>E107+F107+G107+H107+I107+J107+K107+L107</f>
        <v>0</v>
      </c>
    </row>
    <row r="108" spans="3:14">
      <c r="C108">
        <f>30.0</f>
        <v>0</v>
      </c>
      <c r="D108">
        <f>10.0</f>
        <v>0</v>
      </c>
      <c r="E108">
        <f>E73*5.193</f>
        <v>0</v>
      </c>
      <c r="F108">
        <f>F73*3.655</f>
        <v>0</v>
      </c>
      <c r="G108">
        <f>G73*0.09300000000000001</f>
        <v>0</v>
      </c>
      <c r="H108">
        <f>H73*0.0</f>
        <v>0</v>
      </c>
      <c r="I108">
        <f>I73*-0.452</f>
        <v>0</v>
      </c>
      <c r="J108">
        <f>J73*-11.446</f>
        <v>0</v>
      </c>
      <c r="K108">
        <f>K73*8.584</f>
        <v>0</v>
      </c>
      <c r="L108">
        <f>L73*187.354</f>
        <v>0</v>
      </c>
      <c r="M108">
        <f>M73*-187.233</f>
        <v>0</v>
      </c>
      <c r="N108">
        <f>E108+F108+G108+H108+I108+J108+K108+L108</f>
        <v>0</v>
      </c>
    </row>
    <row r="109" spans="3:14">
      <c r="C109">
        <f>31.0</f>
        <v>0</v>
      </c>
      <c r="D109">
        <f>11.0</f>
        <v>0</v>
      </c>
      <c r="E109">
        <f>E73*6.07</f>
        <v>0</v>
      </c>
      <c r="F109">
        <f>F73*28.548000000000002</f>
        <v>0</v>
      </c>
      <c r="G109">
        <f>G73*4.072</f>
        <v>0</v>
      </c>
      <c r="H109">
        <f>H73*0.0</f>
        <v>0</v>
      </c>
      <c r="I109">
        <f>I73*0.44299999999999995</f>
        <v>0</v>
      </c>
      <c r="J109">
        <f>J73*9.512</f>
        <v>0</v>
      </c>
      <c r="K109">
        <f>K73*-7.1339999999999995</f>
        <v>0</v>
      </c>
      <c r="L109">
        <f>L73*186.628</f>
        <v>0</v>
      </c>
      <c r="M109">
        <f>M73*-176.09599999999998</f>
        <v>0</v>
      </c>
      <c r="N109">
        <f>E109+F109+G109+H109+I109+J109+K109+L109</f>
        <v>0</v>
      </c>
    </row>
    <row r="110" spans="3:14">
      <c r="C110">
        <f>32.0</f>
        <v>0</v>
      </c>
      <c r="D110">
        <f>12.0</f>
        <v>0</v>
      </c>
      <c r="E110">
        <f>E73*6.567</f>
        <v>0</v>
      </c>
      <c r="F110">
        <f>F73*52.245</f>
        <v>0</v>
      </c>
      <c r="G110">
        <f>G73*8.052999999999999</f>
        <v>0</v>
      </c>
      <c r="H110">
        <f>H73*0.0</f>
        <v>0</v>
      </c>
      <c r="I110">
        <f>I73*0.623</f>
        <v>0</v>
      </c>
      <c r="J110">
        <f>J73*2.988</f>
        <v>0</v>
      </c>
      <c r="K110">
        <f>K73*-2.241</f>
        <v>0</v>
      </c>
      <c r="L110">
        <f>L73*212.28799999999998</f>
        <v>0</v>
      </c>
      <c r="M110">
        <f>M73*-154.721</f>
        <v>0</v>
      </c>
      <c r="N110">
        <f>E110+F110+G110+H110+I110+J110+K110+L110</f>
        <v>0</v>
      </c>
    </row>
    <row r="111" spans="3:14">
      <c r="C111">
        <f>33.0</f>
        <v>0</v>
      </c>
      <c r="D111">
        <f>13.0</f>
        <v>0</v>
      </c>
      <c r="E111">
        <f>E73*6.895</f>
        <v>0</v>
      </c>
      <c r="F111">
        <f>F73*76.032</f>
        <v>0</v>
      </c>
      <c r="G111">
        <f>G73*12.07</f>
        <v>0</v>
      </c>
      <c r="H111">
        <f>H73*0.0</f>
        <v>0</v>
      </c>
      <c r="I111">
        <f>I73*0.8340000000000001</f>
        <v>0</v>
      </c>
      <c r="J111">
        <f>J73*-9.299</f>
        <v>0</v>
      </c>
      <c r="K111">
        <f>K73*6.974</f>
        <v>0</v>
      </c>
      <c r="L111">
        <f>L73*239.334</f>
        <v>0</v>
      </c>
      <c r="M111">
        <f>M73*-134.686</f>
        <v>0</v>
      </c>
      <c r="N111">
        <f>E111+F111+G111+H111+I111+J111+K111+L111</f>
        <v>0</v>
      </c>
    </row>
    <row r="112" spans="3:14">
      <c r="C112">
        <f>34.0</f>
        <v>0</v>
      </c>
      <c r="D112">
        <f>14.0</f>
        <v>0</v>
      </c>
      <c r="E112">
        <f>E73*7.455</f>
        <v>0</v>
      </c>
      <c r="F112">
        <f>F73*100.16</f>
        <v>0</v>
      </c>
      <c r="G112">
        <f>G73*16.121</f>
        <v>0</v>
      </c>
      <c r="H112">
        <f>H73*0.0</f>
        <v>0</v>
      </c>
      <c r="I112">
        <f>I73*1.0859999999999999</f>
        <v>0</v>
      </c>
      <c r="J112">
        <f>J73*-14.722999999999999</f>
        <v>0</v>
      </c>
      <c r="K112">
        <f>K73*11.042</f>
        <v>0</v>
      </c>
      <c r="L112">
        <f>L73*270.675</f>
        <v>0</v>
      </c>
      <c r="M112">
        <f>M73*-109.796</f>
        <v>0</v>
      </c>
      <c r="N112">
        <f>E112+F112+G112+H112+I112+J112+K112+L112</f>
        <v>0</v>
      </c>
    </row>
    <row r="113" spans="3:14">
      <c r="C113">
        <f>35.0</f>
        <v>0</v>
      </c>
      <c r="D113">
        <f>15.0</f>
        <v>0</v>
      </c>
      <c r="E113">
        <f>E73*16.971</f>
        <v>0</v>
      </c>
      <c r="F113">
        <f>F73*139.282</f>
        <v>0</v>
      </c>
      <c r="G113">
        <f>G73*19.381</f>
        <v>0</v>
      </c>
      <c r="H113">
        <f>H73*0.0</f>
        <v>0</v>
      </c>
      <c r="I113">
        <f>I73*1.921</f>
        <v>0</v>
      </c>
      <c r="J113">
        <f>J73*28.988000000000003</f>
        <v>0</v>
      </c>
      <c r="K113">
        <f>K73*-21.741</f>
        <v>0</v>
      </c>
      <c r="L113">
        <f>L73*281.23</f>
        <v>0</v>
      </c>
      <c r="M113">
        <f>M73*-109.56299999999999</f>
        <v>0</v>
      </c>
      <c r="N113">
        <f>E113+F113+G113+H113+I113+J113+K113+L113</f>
        <v>0</v>
      </c>
    </row>
    <row r="114" spans="3:14">
      <c r="C114">
        <f>35.91</f>
        <v>0</v>
      </c>
      <c r="D114">
        <f>15.91</f>
        <v>0</v>
      </c>
      <c r="E114">
        <f>E73*17.586</f>
        <v>0</v>
      </c>
      <c r="F114">
        <f>F73*162.576</f>
        <v>0</v>
      </c>
      <c r="G114">
        <f>G73*22.276999999999997</f>
        <v>0</v>
      </c>
      <c r="H114">
        <f>H73*0.0</f>
        <v>0</v>
      </c>
      <c r="I114">
        <f>I73*2.036</f>
        <v>0</v>
      </c>
      <c r="J114">
        <f>J73*39.107</f>
        <v>0</v>
      </c>
      <c r="K114">
        <f>K73*-29.33</f>
        <v>0</v>
      </c>
      <c r="L114">
        <f>L73*295.502</f>
        <v>0</v>
      </c>
      <c r="M114">
        <f>M73*-100.375</f>
        <v>0</v>
      </c>
      <c r="N114">
        <f>E114+F114+G114+H114+I114+J114+K114+L114</f>
        <v>0</v>
      </c>
    </row>
    <row r="115" spans="3:14">
      <c r="C115">
        <f>36.82</f>
        <v>0</v>
      </c>
      <c r="D115">
        <f>16.82</f>
        <v>0</v>
      </c>
      <c r="E115">
        <f>E73*17.605</f>
        <v>0</v>
      </c>
      <c r="F115">
        <f>F73*180.40200000000002</f>
        <v>0</v>
      </c>
      <c r="G115">
        <f>G73*26.309</f>
        <v>0</v>
      </c>
      <c r="H115">
        <f>H73*0.0</f>
        <v>0</v>
      </c>
      <c r="I115">
        <f>I73*1.683</f>
        <v>0</v>
      </c>
      <c r="J115">
        <f>J73*39.071</f>
        <v>0</v>
      </c>
      <c r="K115">
        <f>K73*-29.303</f>
        <v>0</v>
      </c>
      <c r="L115">
        <f>L73*325.805</f>
        <v>0</v>
      </c>
      <c r="M115">
        <f>M73*-79.971</f>
        <v>0</v>
      </c>
      <c r="N115">
        <f>E115+F115+G115+H115+I115+J115+K115+L115</f>
        <v>0</v>
      </c>
    </row>
    <row r="116" spans="3:14">
      <c r="C116">
        <f>37.73</f>
        <v>0</v>
      </c>
      <c r="D116">
        <f>17.73</f>
        <v>0</v>
      </c>
      <c r="E116">
        <f>E73*17.935</f>
        <v>0</v>
      </c>
      <c r="F116">
        <f>F73*206.899</f>
        <v>0</v>
      </c>
      <c r="G116">
        <f>G73*30.649</f>
        <v>0</v>
      </c>
      <c r="H116">
        <f>H73*0.0</f>
        <v>0</v>
      </c>
      <c r="I116">
        <f>I73*-0.667</f>
        <v>0</v>
      </c>
      <c r="J116">
        <f>J73*39.039</f>
        <v>0</v>
      </c>
      <c r="K116">
        <f>K73*-29.279</f>
        <v>0</v>
      </c>
      <c r="L116">
        <f>L73*362.186</f>
        <v>0</v>
      </c>
      <c r="M116">
        <f>M73*-51.771</f>
        <v>0</v>
      </c>
      <c r="N116">
        <f>E116+F116+G116+H116+I116+J116+K116+L116</f>
        <v>0</v>
      </c>
    </row>
    <row r="117" spans="3:14">
      <c r="C117">
        <f>38.64</f>
        <v>0</v>
      </c>
      <c r="D117">
        <f>18.64</f>
        <v>0</v>
      </c>
      <c r="E117">
        <f>E73*18.289</f>
        <v>0</v>
      </c>
      <c r="F117">
        <f>F73*235.99900000000002</f>
        <v>0</v>
      </c>
      <c r="G117">
        <f>G73*35.344</f>
        <v>0</v>
      </c>
      <c r="H117">
        <f>H73*0.0</f>
        <v>0</v>
      </c>
      <c r="I117">
        <f>I73*-4.027</f>
        <v>0</v>
      </c>
      <c r="J117">
        <f>J73*45.792</f>
        <v>0</v>
      </c>
      <c r="K117">
        <f>K73*-34.344</f>
        <v>0</v>
      </c>
      <c r="L117">
        <f>L73*407.934</f>
        <v>0</v>
      </c>
      <c r="M117">
        <f>M73*-31.898000000000003</f>
        <v>0</v>
      </c>
      <c r="N117">
        <f>E117+F117+G117+H117+I117+J117+K117+L117</f>
        <v>0</v>
      </c>
    </row>
    <row r="118" spans="3:14">
      <c r="C118">
        <f>39.55</f>
        <v>0</v>
      </c>
      <c r="D118">
        <f>19.55</f>
        <v>0</v>
      </c>
      <c r="E118">
        <f>E73*18.499000000000002</f>
        <v>0</v>
      </c>
      <c r="F118">
        <f>F73*261.99</f>
        <v>0</v>
      </c>
      <c r="G118">
        <f>G73*37.624</f>
        <v>0</v>
      </c>
      <c r="H118">
        <f>H73*0.0</f>
        <v>0</v>
      </c>
      <c r="I118">
        <f>I73*-6.268</f>
        <v>0</v>
      </c>
      <c r="J118">
        <f>J73*55.922</f>
        <v>0</v>
      </c>
      <c r="K118">
        <f>K73*-41.941</f>
        <v>0</v>
      </c>
      <c r="L118">
        <f>L73*433.00800000000004</f>
        <v>0</v>
      </c>
      <c r="M118">
        <f>M73*-218.794</f>
        <v>0</v>
      </c>
      <c r="N118">
        <f>E118+F118+G118+H118+I118+J118+K118+L118</f>
        <v>0</v>
      </c>
    </row>
    <row r="119" spans="3:14">
      <c r="C119">
        <f>40.0</f>
        <v>0</v>
      </c>
      <c r="D119">
        <f>20.0</f>
        <v>0</v>
      </c>
      <c r="E119">
        <f>E73*0.9009999999999999</f>
        <v>0</v>
      </c>
      <c r="F119">
        <f>F73*-9.967</f>
        <v>0</v>
      </c>
      <c r="G119">
        <f>G73*-2.423</f>
        <v>0</v>
      </c>
      <c r="H119">
        <f>H73*0.0</f>
        <v>0</v>
      </c>
      <c r="I119">
        <f>I73*4.045</f>
        <v>0</v>
      </c>
      <c r="J119">
        <f>J73*-17.235</f>
        <v>0</v>
      </c>
      <c r="K119">
        <f>K73*12.925999999999998</f>
        <v>0</v>
      </c>
      <c r="L119">
        <f>L73*14.979000000000001</f>
        <v>0</v>
      </c>
      <c r="M119">
        <f>M73*-218.794</f>
        <v>0</v>
      </c>
      <c r="N119">
        <f>E119+F119+G119+H119+I119+J119+K119+L119</f>
        <v>0</v>
      </c>
    </row>
    <row r="120" spans="3:14">
      <c r="C120">
        <f>40.0</f>
        <v>0</v>
      </c>
      <c r="D120">
        <f>0.0</f>
        <v>0</v>
      </c>
      <c r="E120">
        <f>E73*-0.38299999999999995</f>
        <v>0</v>
      </c>
      <c r="F120">
        <f>F73*9.54</f>
        <v>0</v>
      </c>
      <c r="G120">
        <f>G73*2.34</f>
        <v>0</v>
      </c>
      <c r="H120">
        <f>H73*0.0</f>
        <v>0</v>
      </c>
      <c r="I120">
        <f>I73*-11.607000000000001</f>
        <v>0</v>
      </c>
      <c r="J120">
        <f>J73*-0.7290000000000001</f>
        <v>0</v>
      </c>
      <c r="K120">
        <f>K73*0.547</f>
        <v>0</v>
      </c>
      <c r="L120">
        <f>L73*23.343000000000004</f>
        <v>0</v>
      </c>
      <c r="M120">
        <f>M73*-11.159</f>
        <v>0</v>
      </c>
      <c r="N120">
        <f>E120+F120+G120+H120+I120+J120+K120+L120</f>
        <v>0</v>
      </c>
    </row>
    <row r="121" spans="3:14">
      <c r="C121">
        <f>40.45</f>
        <v>0</v>
      </c>
      <c r="D121">
        <f>0.45</f>
        <v>0</v>
      </c>
      <c r="E121">
        <f>E73*-4.569</f>
        <v>0</v>
      </c>
      <c r="F121">
        <f>F73*-142.572</f>
        <v>0</v>
      </c>
      <c r="G121">
        <f>G73*-20.737</f>
        <v>0</v>
      </c>
      <c r="H121">
        <f>H73*0.0</f>
        <v>0</v>
      </c>
      <c r="I121">
        <f>I73*-11.607000000000001</f>
        <v>0</v>
      </c>
      <c r="J121">
        <f>J73*-89.05799999999999</f>
        <v>0</v>
      </c>
      <c r="K121">
        <f>K73*66.794</f>
        <v>0</v>
      </c>
      <c r="L121">
        <f>L73*23.343000000000004</f>
        <v>0</v>
      </c>
      <c r="M121">
        <f>M73*-338.58099999999996</f>
        <v>0</v>
      </c>
      <c r="N121">
        <f>E121+F121+G121+H121+I121+J121+K121+L121</f>
        <v>0</v>
      </c>
    </row>
    <row r="122" spans="3:14">
      <c r="C122">
        <f>41.36</f>
        <v>0</v>
      </c>
      <c r="D122">
        <f>1.36</f>
        <v>0</v>
      </c>
      <c r="E122">
        <f>E73*-4.437</f>
        <v>0</v>
      </c>
      <c r="F122">
        <f>F73*-116.064</f>
        <v>0</v>
      </c>
      <c r="G122">
        <f>G73*-18.38</f>
        <v>0</v>
      </c>
      <c r="H122">
        <f>H73*0.0</f>
        <v>0</v>
      </c>
      <c r="I122">
        <f>I73*-3.11</f>
        <v>0</v>
      </c>
      <c r="J122">
        <f>J73*-78.311</f>
        <v>0</v>
      </c>
      <c r="K122">
        <f>K73*58.733000000000004</f>
        <v>0</v>
      </c>
      <c r="L122">
        <f>L73*31.186</f>
        <v>0</v>
      </c>
      <c r="M122">
        <f>M73*-309.129</f>
        <v>0</v>
      </c>
      <c r="N122">
        <f>E122+F122+G122+H122+I122+J122+K122+L122</f>
        <v>0</v>
      </c>
    </row>
    <row r="123" spans="3:14">
      <c r="C123">
        <f>42.27</f>
        <v>0</v>
      </c>
      <c r="D123">
        <f>2.27</f>
        <v>0</v>
      </c>
      <c r="E123">
        <f>E73*-4.399</f>
        <v>0</v>
      </c>
      <c r="F123">
        <f>F73*-89.87100000000001</f>
        <v>0</v>
      </c>
      <c r="G123">
        <f>G73*-13.915</f>
        <v>0</v>
      </c>
      <c r="H123">
        <f>H73*0.0</f>
        <v>0</v>
      </c>
      <c r="I123">
        <f>I73*-7.204</f>
        <v>0</v>
      </c>
      <c r="J123">
        <f>J73*-64.199</f>
        <v>0</v>
      </c>
      <c r="K123">
        <f>K73*48.148999999999994</f>
        <v>0</v>
      </c>
      <c r="L123">
        <f>L73*52.126000000000005</f>
        <v>0</v>
      </c>
      <c r="M123">
        <f>M73*-256.83799999999997</f>
        <v>0</v>
      </c>
      <c r="N123">
        <f>E123+F123+G123+H123+I123+J123+K123+L123</f>
        <v>0</v>
      </c>
    </row>
    <row r="124" spans="3:14">
      <c r="C124">
        <f>43.18</f>
        <v>0</v>
      </c>
      <c r="D124">
        <f>3.18</f>
        <v>0</v>
      </c>
      <c r="E124">
        <f>E73*-4.206</f>
        <v>0</v>
      </c>
      <c r="F124">
        <f>F73*-65.632</f>
        <v>0</v>
      </c>
      <c r="G124">
        <f>G73*-10.097999999999999</f>
        <v>0</v>
      </c>
      <c r="H124">
        <f>H73*0.0</f>
        <v>0</v>
      </c>
      <c r="I124">
        <f>I73*-8.437999999999999</f>
        <v>0</v>
      </c>
      <c r="J124">
        <f>J73*-50.29</f>
        <v>0</v>
      </c>
      <c r="K124">
        <f>K73*37.718</f>
        <v>0</v>
      </c>
      <c r="L124">
        <f>L73*83.75399999999999</f>
        <v>0</v>
      </c>
      <c r="M124">
        <f>M73*-219.93599999999998</f>
        <v>0</v>
      </c>
      <c r="N124">
        <f>E124+F124+G124+H124+I124+J124+K124+L124</f>
        <v>0</v>
      </c>
    </row>
    <row r="125" spans="3:14">
      <c r="C125">
        <f>44.09</f>
        <v>0</v>
      </c>
      <c r="D125">
        <f>4.09</f>
        <v>0</v>
      </c>
      <c r="E125">
        <f>E73*-3.8089999999999997</f>
        <v>0</v>
      </c>
      <c r="F125">
        <f>F73*-41.263000000000005</f>
        <v>0</v>
      </c>
      <c r="G125">
        <f>G73*-6.082000000000001</f>
        <v>0</v>
      </c>
      <c r="H125">
        <f>H73*0.0</f>
        <v>0</v>
      </c>
      <c r="I125">
        <f>I73*-7.702999999999999</f>
        <v>0</v>
      </c>
      <c r="J125">
        <f>J73*-51.007</f>
        <v>0</v>
      </c>
      <c r="K125">
        <f>K73*38.255</f>
        <v>0</v>
      </c>
      <c r="L125">
        <f>L73*116.713</f>
        <v>0</v>
      </c>
      <c r="M125">
        <f>M73*-183.34900000000002</f>
        <v>0</v>
      </c>
      <c r="N125">
        <f>E125+F125+G125+H125+I125+J125+K125+L125</f>
        <v>0</v>
      </c>
    </row>
    <row r="126" spans="3:14">
      <c r="C126">
        <f>45.0</f>
        <v>0</v>
      </c>
      <c r="D126">
        <f>5.0</f>
        <v>0</v>
      </c>
      <c r="E126">
        <f>E73*-3.103</f>
        <v>0</v>
      </c>
      <c r="F126">
        <f>F73*-17.613</f>
        <v>0</v>
      </c>
      <c r="G126">
        <f>G73*-2.171</f>
        <v>0</v>
      </c>
      <c r="H126">
        <f>H73*0.0</f>
        <v>0</v>
      </c>
      <c r="I126">
        <f>I73*8.753</f>
        <v>0</v>
      </c>
      <c r="J126">
        <f>J73*-48.7</f>
        <v>0</v>
      </c>
      <c r="K126">
        <f>K73*36.525</f>
        <v>0</v>
      </c>
      <c r="L126">
        <f>L73*133.364</f>
        <v>0</v>
      </c>
      <c r="M126">
        <f>M73*-152.004</f>
        <v>0</v>
      </c>
      <c r="N126">
        <f>E126+F126+G126+H126+I126+J126+K126+L126</f>
        <v>0</v>
      </c>
    </row>
    <row r="127" spans="3:14">
      <c r="C127">
        <f>46.0</f>
        <v>0</v>
      </c>
      <c r="D127">
        <f>6.0</f>
        <v>0</v>
      </c>
      <c r="E127">
        <f>E73*3.7760000000000002</f>
        <v>0</v>
      </c>
      <c r="F127">
        <f>F73*26.482</f>
        <v>0</v>
      </c>
      <c r="G127">
        <f>G73*3.99</f>
        <v>0</v>
      </c>
      <c r="H127">
        <f>H73*0.0</f>
        <v>0</v>
      </c>
      <c r="I127">
        <f>I73*12.175</f>
        <v>0</v>
      </c>
      <c r="J127">
        <f>J73*38.249</f>
        <v>0</v>
      </c>
      <c r="K127">
        <f>K73*-28.686999999999998</f>
        <v>0</v>
      </c>
      <c r="L127">
        <f>L73*166.396</f>
        <v>0</v>
      </c>
      <c r="M127">
        <f>M73*-136.556</f>
        <v>0</v>
      </c>
      <c r="N127">
        <f>E127+F127+G127+H127+I127+J127+K127+L127</f>
        <v>0</v>
      </c>
    </row>
    <row r="128" spans="3:14">
      <c r="C128">
        <f>47.0</f>
        <v>0</v>
      </c>
      <c r="D128">
        <f>7.0</f>
        <v>0</v>
      </c>
      <c r="E128">
        <f>E73*4.0760000000000005</f>
        <v>0</v>
      </c>
      <c r="F128">
        <f>F73*51.98</f>
        <v>0</v>
      </c>
      <c r="G128">
        <f>G73*8.249</f>
        <v>0</v>
      </c>
      <c r="H128">
        <f>H73*0.0</f>
        <v>0</v>
      </c>
      <c r="I128">
        <f>I73*13.98</f>
        <v>0</v>
      </c>
      <c r="J128">
        <f>J73*37.491</f>
        <v>0</v>
      </c>
      <c r="K128">
        <f>K73*-28.118000000000002</f>
        <v>0</v>
      </c>
      <c r="L128">
        <f>L73*203.446</f>
        <v>0</v>
      </c>
      <c r="M128">
        <f>M73*-100.0</f>
        <v>0</v>
      </c>
      <c r="N128">
        <f>E128+F128+G128+H128+I128+J128+K128+L128</f>
        <v>0</v>
      </c>
    </row>
    <row r="129" spans="3:14">
      <c r="C129">
        <f>48.0</f>
        <v>0</v>
      </c>
      <c r="D129">
        <f>8.0</f>
        <v>0</v>
      </c>
      <c r="E129">
        <f>E73*4.1160000000000005</f>
        <v>0</v>
      </c>
      <c r="F129">
        <f>F73*77.632</f>
        <v>0</v>
      </c>
      <c r="G129">
        <f>G73*11.929</f>
        <v>0</v>
      </c>
      <c r="H129">
        <f>H73*0.0</f>
        <v>0</v>
      </c>
      <c r="I129">
        <f>I73*14.806</f>
        <v>0</v>
      </c>
      <c r="J129">
        <f>J73*59.36</f>
        <v>0</v>
      </c>
      <c r="K129">
        <f>K73*-44.52</f>
        <v>0</v>
      </c>
      <c r="L129">
        <f>L73*235.06099999999998</f>
        <v>0</v>
      </c>
      <c r="M129">
        <f>M73*-63.76</f>
        <v>0</v>
      </c>
      <c r="N129">
        <f>E129+F129+G129+H129+I129+J129+K129+L129</f>
        <v>0</v>
      </c>
    </row>
    <row r="130" spans="3:14">
      <c r="C130">
        <f>49.0</f>
        <v>0</v>
      </c>
      <c r="D130">
        <f>9.0</f>
        <v>0</v>
      </c>
      <c r="E130">
        <f>E73*3.721</f>
        <v>0</v>
      </c>
      <c r="F130">
        <f>F73*101.723</f>
        <v>0</v>
      </c>
      <c r="G130">
        <f>G73*16.639</f>
        <v>0</v>
      </c>
      <c r="H130">
        <f>H73*0.0</f>
        <v>0</v>
      </c>
      <c r="I130">
        <f>I73*15.479000000000001</f>
        <v>0</v>
      </c>
      <c r="J130">
        <f>J73*73.251</f>
        <v>0</v>
      </c>
      <c r="K130">
        <f>K73*-54.938</f>
        <v>0</v>
      </c>
      <c r="L130">
        <f>L73*290.462</f>
        <v>0</v>
      </c>
      <c r="M130">
        <f>M73*-36.873000000000005</f>
        <v>0</v>
      </c>
      <c r="N130">
        <f>E130+F130+G130+H130+I130+J130+K130+L130</f>
        <v>0</v>
      </c>
    </row>
    <row r="131" spans="3:14">
      <c r="C131">
        <f>50.0</f>
        <v>0</v>
      </c>
      <c r="D131">
        <f>10.0</f>
        <v>0</v>
      </c>
      <c r="E131">
        <f>E73*3.4130000000000003</f>
        <v>0</v>
      </c>
      <c r="F131">
        <f>F73*127.823</f>
        <v>0</v>
      </c>
      <c r="G131">
        <f>G73*18.83</f>
        <v>0</v>
      </c>
      <c r="H131">
        <f>H73*0.0</f>
        <v>0</v>
      </c>
      <c r="I131">
        <f>I73*15.718</f>
        <v>0</v>
      </c>
      <c r="J131">
        <f>J73*81.546</f>
        <v>0</v>
      </c>
      <c r="K131">
        <f>K73*-61.16</f>
        <v>0</v>
      </c>
      <c r="L131">
        <f>L73*320.112</f>
        <v>0</v>
      </c>
      <c r="M131">
        <f>M73*-2.9760000000000004</f>
        <v>0</v>
      </c>
      <c r="N131">
        <f>E131+F131+G131+H131+I131+J131+K131+L131</f>
        <v>0</v>
      </c>
    </row>
    <row r="138" spans="3:14">
      <c r="C138" t="s">
        <v>0</v>
      </c>
      <c r="D138" t="s">
        <v>1</v>
      </c>
      <c r="E138" t="s">
        <v>2</v>
      </c>
      <c r="F138" t="s">
        <v>3</v>
      </c>
      <c r="G138" t="s">
        <v>4</v>
      </c>
      <c r="H138" t="s">
        <v>5</v>
      </c>
      <c r="I138" t="s">
        <v>6</v>
      </c>
      <c r="J138" t="s">
        <v>7</v>
      </c>
      <c r="K138" t="s">
        <v>8</v>
      </c>
      <c r="L138" t="s">
        <v>9</v>
      </c>
      <c r="M138" t="s">
        <v>10</v>
      </c>
      <c r="N138" t="s">
        <v>11</v>
      </c>
    </row>
    <row r="139" spans="3:14">
      <c r="C139">
        <f>0.0</f>
        <v>0</v>
      </c>
      <c r="D139">
        <f>0.0</f>
        <v>0</v>
      </c>
      <c r="E139">
        <f>E137*0.611</f>
        <v>0</v>
      </c>
      <c r="F139">
        <f>F137*1.3872</f>
        <v>0</v>
      </c>
      <c r="G139">
        <f>G137*0.1961</f>
        <v>0</v>
      </c>
      <c r="H139">
        <f>H137*0.0</f>
        <v>0</v>
      </c>
      <c r="I139">
        <f>I137*0.0007218</f>
        <v>0</v>
      </c>
      <c r="J139">
        <f>J137*-77.8815</f>
        <v>0</v>
      </c>
      <c r="K139">
        <f>K137*58.4112</f>
        <v>0</v>
      </c>
      <c r="L139">
        <f>L137*8.8416</f>
        <v>0</v>
      </c>
      <c r="M139">
        <f>M137*-10.0861</f>
        <v>0</v>
      </c>
      <c r="N139">
        <f>E139+F139+G139+H139+I139+J139+K139+L139</f>
        <v>0</v>
      </c>
    </row>
    <row r="140" spans="3:14">
      <c r="C140">
        <f>1.0</f>
        <v>0</v>
      </c>
      <c r="D140">
        <f>1.0</f>
        <v>0</v>
      </c>
      <c r="E140">
        <f>E137*-2.7721</f>
        <v>0</v>
      </c>
      <c r="F140">
        <f>F137*5.2277</f>
        <v>0</v>
      </c>
      <c r="G140">
        <f>G137*0.5305</f>
        <v>0</v>
      </c>
      <c r="H140">
        <f>H137*0.0</f>
        <v>0</v>
      </c>
      <c r="I140">
        <f>I137*0.0247</f>
        <v>0</v>
      </c>
      <c r="J140">
        <f>J137*185.5428</f>
        <v>0</v>
      </c>
      <c r="K140">
        <f>K137*-139.1571</f>
        <v>0</v>
      </c>
      <c r="L140">
        <f>L137*51.8938</f>
        <v>0</v>
      </c>
      <c r="M140">
        <f>M137*-50.9668</f>
        <v>0</v>
      </c>
      <c r="N140">
        <f>E140+F140+G140+H140+I140+J140+K140+L140</f>
        <v>0</v>
      </c>
    </row>
    <row r="141" spans="3:14">
      <c r="C141">
        <f>2.0</f>
        <v>0</v>
      </c>
      <c r="D141">
        <f>2.0</f>
        <v>0</v>
      </c>
      <c r="E141">
        <f>E137*4.9235</f>
        <v>0</v>
      </c>
      <c r="F141">
        <f>F137*10.8151</f>
        <v>0</v>
      </c>
      <c r="G141">
        <f>G137*1.1947</f>
        <v>0</v>
      </c>
      <c r="H141">
        <f>H137*0.0</f>
        <v>0</v>
      </c>
      <c r="I141">
        <f>I137*0.0202</f>
        <v>0</v>
      </c>
      <c r="J141">
        <f>J137*95.3665</f>
        <v>0</v>
      </c>
      <c r="K141">
        <f>K137*-71.5249</f>
        <v>0</v>
      </c>
      <c r="L141">
        <f>L137*75.7998</f>
        <v>0</v>
      </c>
      <c r="M141">
        <f>M137*-70.0646</f>
        <v>0</v>
      </c>
      <c r="N141">
        <f>E141+F141+G141+H141+I141+J141+K141+L141</f>
        <v>0</v>
      </c>
    </row>
    <row r="142" spans="3:14">
      <c r="C142">
        <f>3.0</f>
        <v>0</v>
      </c>
      <c r="D142">
        <f>3.0</f>
        <v>0</v>
      </c>
      <c r="E142">
        <f>E137*7.5238</f>
        <v>0</v>
      </c>
      <c r="F142">
        <f>F137*12.4317</f>
        <v>0</v>
      </c>
      <c r="G142">
        <f>G137*1.3098</f>
        <v>0</v>
      </c>
      <c r="H142">
        <f>H137*0.0</f>
        <v>0</v>
      </c>
      <c r="I142">
        <f>I137*0.0173</f>
        <v>0</v>
      </c>
      <c r="J142">
        <f>J137*41.5314</f>
        <v>0</v>
      </c>
      <c r="K142">
        <f>K137*-31.1486</f>
        <v>0</v>
      </c>
      <c r="L142">
        <f>L137*109.1729</f>
        <v>0</v>
      </c>
      <c r="M142">
        <f>M137*-102.147</f>
        <v>0</v>
      </c>
      <c r="N142">
        <f>E142+F142+G142+H142+I142+J142+K142+L142</f>
        <v>0</v>
      </c>
    </row>
    <row r="143" spans="3:14">
      <c r="C143">
        <f>4.0</f>
        <v>0</v>
      </c>
      <c r="D143">
        <f>4.0</f>
        <v>0</v>
      </c>
      <c r="E143">
        <f>E137*9.1002</f>
        <v>0</v>
      </c>
      <c r="F143">
        <f>F137*11.7733</f>
        <v>0</v>
      </c>
      <c r="G143">
        <f>G137*1.1531</f>
        <v>0</v>
      </c>
      <c r="H143">
        <f>H137*0.0</f>
        <v>0</v>
      </c>
      <c r="I143">
        <f>I137*0.0142</f>
        <v>0</v>
      </c>
      <c r="J143">
        <f>J137*33.2877</f>
        <v>0</v>
      </c>
      <c r="K143">
        <f>K137*-24.9658</f>
        <v>0</v>
      </c>
      <c r="L143">
        <f>L137*137.6319</f>
        <v>0</v>
      </c>
      <c r="M143">
        <f>M137*-129.2238</f>
        <v>0</v>
      </c>
      <c r="N143">
        <f>E143+F143+G143+H143+I143+J143+K143+L143</f>
        <v>0</v>
      </c>
    </row>
    <row r="144" spans="3:14">
      <c r="C144">
        <f>5.0</f>
        <v>0</v>
      </c>
      <c r="D144">
        <f>5.0</f>
        <v>0</v>
      </c>
      <c r="E144">
        <f>E137*3.0793</f>
        <v>0</v>
      </c>
      <c r="F144">
        <f>F137*16.9914</f>
        <v>0</v>
      </c>
      <c r="G144">
        <f>G137*2.3637</f>
        <v>0</v>
      </c>
      <c r="H144">
        <f>H137*0.0</f>
        <v>0</v>
      </c>
      <c r="I144">
        <f>I137*0.0003569</f>
        <v>0</v>
      </c>
      <c r="J144">
        <f>J137*-32.715</f>
        <v>0</v>
      </c>
      <c r="K144">
        <f>K137*24.5363</f>
        <v>0</v>
      </c>
      <c r="L144">
        <f>L137*130.3856</f>
        <v>0</v>
      </c>
      <c r="M144">
        <f>M137*-109.4865</f>
        <v>0</v>
      </c>
      <c r="N144">
        <f>E144+F144+G144+H144+I144+J144+K144+L144</f>
        <v>0</v>
      </c>
    </row>
    <row r="145" spans="3:14">
      <c r="C145">
        <f>6.0</f>
        <v>0</v>
      </c>
      <c r="D145">
        <f>6.0</f>
        <v>0</v>
      </c>
      <c r="E145">
        <f>E137*5.715</f>
        <v>0</v>
      </c>
      <c r="F145">
        <f>F137*10.6319</f>
        <v>0</v>
      </c>
      <c r="G145">
        <f>G137*1.1972</f>
        <v>0</v>
      </c>
      <c r="H145">
        <f>H137*0.0</f>
        <v>0</v>
      </c>
      <c r="I145">
        <f>I137*0.0125</f>
        <v>0</v>
      </c>
      <c r="J145">
        <f>J137*44.4317</f>
        <v>0</v>
      </c>
      <c r="K145">
        <f>K137*-33.3238</f>
        <v>0</v>
      </c>
      <c r="L145">
        <f>L137*165.417</f>
        <v>0</v>
      </c>
      <c r="M145">
        <f>M137*-153.6486</f>
        <v>0</v>
      </c>
      <c r="N145">
        <f>E145+F145+G145+H145+I145+J145+K145+L145</f>
        <v>0</v>
      </c>
    </row>
    <row r="146" spans="3:14">
      <c r="C146">
        <f>7.0</f>
        <v>0</v>
      </c>
      <c r="D146">
        <f>7.0</f>
        <v>0</v>
      </c>
      <c r="E146">
        <f>E137*4.6716</f>
        <v>0</v>
      </c>
      <c r="F146">
        <f>F137*7.5951</f>
        <v>0</v>
      </c>
      <c r="G146">
        <f>G137*0.8128</f>
        <v>0</v>
      </c>
      <c r="H146">
        <f>H137*0.0</f>
        <v>0</v>
      </c>
      <c r="I146">
        <f>I137*-0.0128</f>
        <v>0</v>
      </c>
      <c r="J146">
        <f>J137*17.7633</f>
        <v>0</v>
      </c>
      <c r="K146">
        <f>K137*-13.3225</f>
        <v>0</v>
      </c>
      <c r="L146">
        <f>L137*177.697</f>
        <v>0</v>
      </c>
      <c r="M146">
        <f>M137*-168.8847</f>
        <v>0</v>
      </c>
      <c r="N146">
        <f>E146+F146+G146+H146+I146+J146+K146+L146</f>
        <v>0</v>
      </c>
    </row>
    <row r="147" spans="3:14">
      <c r="C147">
        <f>8.0</f>
        <v>0</v>
      </c>
      <c r="D147">
        <f>8.0</f>
        <v>0</v>
      </c>
      <c r="E147">
        <f>E137*4.8267</f>
        <v>0</v>
      </c>
      <c r="F147">
        <f>F137*4.3488</f>
        <v>0</v>
      </c>
      <c r="G147">
        <f>G137*0.3242</f>
        <v>0</v>
      </c>
      <c r="H147">
        <f>H137*0.0</f>
        <v>0</v>
      </c>
      <c r="I147">
        <f>I137*-0.0136</f>
        <v>0</v>
      </c>
      <c r="J147">
        <f>J137*7.3155</f>
        <v>0</v>
      </c>
      <c r="K147">
        <f>K137*-5.4866</f>
        <v>0</v>
      </c>
      <c r="L147">
        <f>L137*184.0238</f>
        <v>0</v>
      </c>
      <c r="M147">
        <f>M137*-179.6875</f>
        <v>0</v>
      </c>
      <c r="N147">
        <f>E147+F147+G147+H147+I147+J147+K147+L147</f>
        <v>0</v>
      </c>
    </row>
    <row r="148" spans="3:14">
      <c r="C148">
        <f>9.0</f>
        <v>0</v>
      </c>
      <c r="D148">
        <f>9.0</f>
        <v>0</v>
      </c>
      <c r="E148">
        <f>E137*5.3127</f>
        <v>0</v>
      </c>
      <c r="F148">
        <f>F137*6.0568</f>
        <v>0</v>
      </c>
      <c r="G148">
        <f>G137*0.7299</f>
        <v>0</v>
      </c>
      <c r="H148">
        <f>H137*0.0</f>
        <v>0</v>
      </c>
      <c r="I148">
        <f>I137*-0.0189</f>
        <v>0</v>
      </c>
      <c r="J148">
        <f>J137*29.4319</f>
        <v>0</v>
      </c>
      <c r="K148">
        <f>K137*-22.0739</f>
        <v>0</v>
      </c>
      <c r="L148">
        <f>L137*185.4015</f>
        <v>0</v>
      </c>
      <c r="M148">
        <f>M137*-184.9256</f>
        <v>0</v>
      </c>
      <c r="N148">
        <f>E148+F148+G148+H148+I148+J148+K148+L148</f>
        <v>0</v>
      </c>
    </row>
    <row r="149" spans="3:14">
      <c r="C149">
        <f>10.0</f>
        <v>0</v>
      </c>
      <c r="D149">
        <f>10.0</f>
        <v>0</v>
      </c>
      <c r="E149">
        <f>E137*-3.6377</f>
        <v>0</v>
      </c>
      <c r="F149">
        <f>F137*14.0436</f>
        <v>0</v>
      </c>
      <c r="G149">
        <f>G137*2.3116</f>
        <v>0</v>
      </c>
      <c r="H149">
        <f>H137*0.0</f>
        <v>0</v>
      </c>
      <c r="I149">
        <f>I137*-0.0103</f>
        <v>0</v>
      </c>
      <c r="J149">
        <f>J137*5.7134</f>
        <v>0</v>
      </c>
      <c r="K149">
        <f>K137*-4.285</f>
        <v>0</v>
      </c>
      <c r="L149">
        <f>L137*175.0706</f>
        <v>0</v>
      </c>
      <c r="M149">
        <f>M137*-163.7123</f>
        <v>0</v>
      </c>
      <c r="N149">
        <f>E149+F149+G149+H149+I149+J149+K149+L149</f>
        <v>0</v>
      </c>
    </row>
    <row r="150" spans="3:14">
      <c r="C150">
        <f>11.0</f>
        <v>0</v>
      </c>
      <c r="D150">
        <f>11.0</f>
        <v>0</v>
      </c>
      <c r="E150">
        <f>E137*5.0551</f>
        <v>0</v>
      </c>
      <c r="F150">
        <f>F137*7.4658</f>
        <v>0</v>
      </c>
      <c r="G150">
        <f>G137*0.7546</f>
        <v>0</v>
      </c>
      <c r="H150">
        <f>H137*0.0</f>
        <v>0</v>
      </c>
      <c r="I150">
        <f>I137*-0.0159</f>
        <v>0</v>
      </c>
      <c r="J150">
        <f>J137*36.1438</f>
        <v>0</v>
      </c>
      <c r="K150">
        <f>K137*-27.1079</f>
        <v>0</v>
      </c>
      <c r="L150">
        <f>L137*179.2808</f>
        <v>0</v>
      </c>
      <c r="M150">
        <f>M137*-178.4169</f>
        <v>0</v>
      </c>
      <c r="N150">
        <f>E150+F150+G150+H150+I150+J150+K150+L150</f>
        <v>0</v>
      </c>
    </row>
    <row r="151" spans="3:14">
      <c r="C151">
        <f>12.0</f>
        <v>0</v>
      </c>
      <c r="D151">
        <f>12.0</f>
        <v>0</v>
      </c>
      <c r="E151">
        <f>E137*4.1136</f>
        <v>0</v>
      </c>
      <c r="F151">
        <f>F137*10.5915</f>
        <v>0</v>
      </c>
      <c r="G151">
        <f>G137*1.2646</f>
        <v>0</v>
      </c>
      <c r="H151">
        <f>H137*0.0</f>
        <v>0</v>
      </c>
      <c r="I151">
        <f>I137*-0.0158</f>
        <v>0</v>
      </c>
      <c r="J151">
        <f>J137*19.4179</f>
        <v>0</v>
      </c>
      <c r="K151">
        <f>K137*-14.5635</f>
        <v>0</v>
      </c>
      <c r="L151">
        <f>L137*176.7839</f>
        <v>0</v>
      </c>
      <c r="M151">
        <f>M137*-177.6829</f>
        <v>0</v>
      </c>
      <c r="N151">
        <f>E151+F151+G151+H151+I151+J151+K151+L151</f>
        <v>0</v>
      </c>
    </row>
    <row r="152" spans="3:14">
      <c r="C152">
        <f>13.0</f>
        <v>0</v>
      </c>
      <c r="D152">
        <f>13.0</f>
        <v>0</v>
      </c>
      <c r="E152">
        <f>E137*3.398</f>
        <v>0</v>
      </c>
      <c r="F152">
        <f>F137*13.9122</f>
        <v>0</v>
      </c>
      <c r="G152">
        <f>G137*1.8041</f>
        <v>0</v>
      </c>
      <c r="H152">
        <f>H137*0.0</f>
        <v>0</v>
      </c>
      <c r="I152">
        <f>I137*-0.0163</f>
        <v>0</v>
      </c>
      <c r="J152">
        <f>J137*21.682</f>
        <v>0</v>
      </c>
      <c r="K152">
        <f>K137*-16.2615</f>
        <v>0</v>
      </c>
      <c r="L152">
        <f>L137*168.6346</f>
        <v>0</v>
      </c>
      <c r="M152">
        <f>M137*-171.8482</f>
        <v>0</v>
      </c>
      <c r="N152">
        <f>E152+F152+G152+H152+I152+J152+K152+L152</f>
        <v>0</v>
      </c>
    </row>
    <row r="153" spans="3:14">
      <c r="C153">
        <f>14.0</f>
        <v>0</v>
      </c>
      <c r="D153">
        <f>14.0</f>
        <v>0</v>
      </c>
      <c r="E153">
        <f>E137*3.8641</f>
        <v>0</v>
      </c>
      <c r="F153">
        <f>F137*17.0075</f>
        <v>0</v>
      </c>
      <c r="G153">
        <f>G137*2.2355</f>
        <v>0</v>
      </c>
      <c r="H153">
        <f>H137*0.0</f>
        <v>0</v>
      </c>
      <c r="I153">
        <f>I137*-0.0222</f>
        <v>0</v>
      </c>
      <c r="J153">
        <f>J137*45.287</f>
        <v>0</v>
      </c>
      <c r="K153">
        <f>K137*-33.9652</f>
        <v>0</v>
      </c>
      <c r="L153">
        <f>L137*150.3093</f>
        <v>0</v>
      </c>
      <c r="M153">
        <f>M137*-154.8984</f>
        <v>0</v>
      </c>
      <c r="N153">
        <f>E153+F153+G153+H153+I153+J153+K153+L153</f>
        <v>0</v>
      </c>
    </row>
    <row r="154" spans="3:14">
      <c r="C154">
        <f>15.0</f>
        <v>0</v>
      </c>
      <c r="D154">
        <f>15.0</f>
        <v>0</v>
      </c>
      <c r="E154">
        <f>E137*-3.2771</f>
        <v>0</v>
      </c>
      <c r="F154">
        <f>F137*18.6999</f>
        <v>0</v>
      </c>
      <c r="G154">
        <f>G137*2.8906</f>
        <v>0</v>
      </c>
      <c r="H154">
        <f>H137*0.0</f>
        <v>0</v>
      </c>
      <c r="I154">
        <f>I137*-0.0068</f>
        <v>0</v>
      </c>
      <c r="J154">
        <f>J137*9.3824</f>
        <v>0</v>
      </c>
      <c r="K154">
        <f>K137*-7.0368</f>
        <v>0</v>
      </c>
      <c r="L154">
        <f>L137*136.9562</f>
        <v>0</v>
      </c>
      <c r="M154">
        <f>M137*-139.2153</f>
        <v>0</v>
      </c>
      <c r="N154">
        <f>E154+F154+G154+H154+I154+J154+K154+L154</f>
        <v>0</v>
      </c>
    </row>
    <row r="155" spans="3:14">
      <c r="C155">
        <f>15.91</f>
        <v>0</v>
      </c>
      <c r="D155">
        <f>15.91</f>
        <v>0</v>
      </c>
      <c r="E155">
        <f>E137*6.9006</f>
        <v>0</v>
      </c>
      <c r="F155">
        <f>F137*19.0785</f>
        <v>0</v>
      </c>
      <c r="G155">
        <f>G137*2.3395</f>
        <v>0</v>
      </c>
      <c r="H155">
        <f>H137*0.0</f>
        <v>0</v>
      </c>
      <c r="I155">
        <f>I137*-0.0183</f>
        <v>0</v>
      </c>
      <c r="J155">
        <f>J137*46.446999999999996</f>
        <v>0</v>
      </c>
      <c r="K155">
        <f>K137*-34.8352</f>
        <v>0</v>
      </c>
      <c r="L155">
        <f>L137*117.8886</f>
        <v>0</v>
      </c>
      <c r="M155">
        <f>M137*-118.6792</f>
        <v>0</v>
      </c>
      <c r="N155">
        <f>E155+F155+G155+H155+I155+J155+K155+L155</f>
        <v>0</v>
      </c>
    </row>
    <row r="156" spans="3:14">
      <c r="C156">
        <f>16.82</f>
        <v>0</v>
      </c>
      <c r="D156">
        <f>16.82</f>
        <v>0</v>
      </c>
      <c r="E156">
        <f>E137*5.7976</f>
        <v>0</v>
      </c>
      <c r="F156">
        <f>F137*19.772000000000002</f>
        <v>0</v>
      </c>
      <c r="G156">
        <f>G137*2.4774</f>
        <v>0</v>
      </c>
      <c r="H156">
        <f>H137*0.0</f>
        <v>0</v>
      </c>
      <c r="I156">
        <f>I137*-0.0248</f>
        <v>0</v>
      </c>
      <c r="J156">
        <f>J137*26.5928</f>
        <v>0</v>
      </c>
      <c r="K156">
        <f>K137*-19.9446</f>
        <v>0</v>
      </c>
      <c r="L156">
        <f>L137*103.3331</f>
        <v>0</v>
      </c>
      <c r="M156">
        <f>M137*-102.3073</f>
        <v>0</v>
      </c>
      <c r="N156">
        <f>E156+F156+G156+H156+I156+J156+K156+L156</f>
        <v>0</v>
      </c>
    </row>
    <row r="157" spans="3:14">
      <c r="C157">
        <f>17.73</f>
        <v>0</v>
      </c>
      <c r="D157">
        <f>17.73</f>
        <v>0</v>
      </c>
      <c r="E157">
        <f>E137*3.9099</f>
        <v>0</v>
      </c>
      <c r="F157">
        <f>F137*17.6641</f>
        <v>0</v>
      </c>
      <c r="G157">
        <f>G137*2.2688</f>
        <v>0</v>
      </c>
      <c r="H157">
        <f>H137*0.0</f>
        <v>0</v>
      </c>
      <c r="I157">
        <f>I137*-0.0343</f>
        <v>0</v>
      </c>
      <c r="J157">
        <f>J137*45.6019</f>
        <v>0</v>
      </c>
      <c r="K157">
        <f>K137*-34.2014</f>
        <v>0</v>
      </c>
      <c r="L157">
        <f>L137*83.99799999999999</f>
        <v>0</v>
      </c>
      <c r="M157">
        <f>M137*-78.4901</f>
        <v>0</v>
      </c>
      <c r="N157">
        <f>E157+F157+G157+H157+I157+J157+K157+L157</f>
        <v>0</v>
      </c>
    </row>
    <row r="158" spans="3:14">
      <c r="C158">
        <f>18.64</f>
        <v>0</v>
      </c>
      <c r="D158">
        <f>18.64</f>
        <v>0</v>
      </c>
      <c r="E158">
        <f>E137*2.0368</f>
        <v>0</v>
      </c>
      <c r="F158">
        <f>F137*14.2822</f>
        <v>0</v>
      </c>
      <c r="G158">
        <f>G137*1.8183</f>
        <v>0</v>
      </c>
      <c r="H158">
        <f>H137*0.0</f>
        <v>0</v>
      </c>
      <c r="I158">
        <f>I137*-0.0494</f>
        <v>0</v>
      </c>
      <c r="J158">
        <f>J137*71.0626</f>
        <v>0</v>
      </c>
      <c r="K158">
        <f>K137*-53.2969</f>
        <v>0</v>
      </c>
      <c r="L158">
        <f>L137*47.8188</f>
        <v>0</v>
      </c>
      <c r="M158">
        <f>M137*-37.3328</f>
        <v>0</v>
      </c>
      <c r="N158">
        <f>E158+F158+G158+H158+I158+J158+K158+L158</f>
        <v>0</v>
      </c>
    </row>
    <row r="159" spans="3:14">
      <c r="C159">
        <f>19.55</f>
        <v>0</v>
      </c>
      <c r="D159">
        <f>19.55</f>
        <v>0</v>
      </c>
      <c r="E159">
        <f>E137*-2.5637</f>
        <v>0</v>
      </c>
      <c r="F159">
        <f>F137*-12.1519</f>
        <v>0</v>
      </c>
      <c r="G159">
        <f>G137*-1.4834</f>
        <v>0</v>
      </c>
      <c r="H159">
        <f>H137*0.0</f>
        <v>0</v>
      </c>
      <c r="I159">
        <f>I137*0.0233</f>
        <v>0</v>
      </c>
      <c r="J159">
        <f>J137*-79.86</f>
        <v>0</v>
      </c>
      <c r="K159">
        <f>K137*59.895</f>
        <v>0</v>
      </c>
      <c r="L159">
        <f>L137*45.0996</f>
        <v>0</v>
      </c>
      <c r="M159">
        <f>M137*-56.5553</f>
        <v>0</v>
      </c>
      <c r="N159">
        <f>E159+F159+G159+H159+I159+J159+K159+L159</f>
        <v>0</v>
      </c>
    </row>
    <row r="160" spans="3:14">
      <c r="C160">
        <f>20.0</f>
        <v>0</v>
      </c>
      <c r="D160">
        <f>20.0</f>
        <v>0</v>
      </c>
      <c r="E160">
        <f>E137*-0.4897</f>
        <v>0</v>
      </c>
      <c r="F160">
        <f>F137*-3.4001</f>
        <v>0</v>
      </c>
      <c r="G160">
        <f>G137*-0.4416</f>
        <v>0</v>
      </c>
      <c r="H160">
        <f>H137*0.0</f>
        <v>0</v>
      </c>
      <c r="I160">
        <f>I137*0.0127</f>
        <v>0</v>
      </c>
      <c r="J160">
        <f>J137*-23.4577</f>
        <v>0</v>
      </c>
      <c r="K160">
        <f>K137*17.5932</f>
        <v>0</v>
      </c>
      <c r="L160">
        <f>L137*3.9865</f>
        <v>0</v>
      </c>
      <c r="M160">
        <f>M137*-5.8118</f>
        <v>0</v>
      </c>
      <c r="N160">
        <f>E160+F160+G160+H160+I160+J160+K160+L160</f>
        <v>0</v>
      </c>
    </row>
    <row r="161" spans="3:14">
      <c r="C161">
        <f>20.0</f>
        <v>0</v>
      </c>
      <c r="D161">
        <f>0.0</f>
        <v>0</v>
      </c>
      <c r="E161">
        <f>E137*-0.4862</f>
        <v>0</v>
      </c>
      <c r="F161">
        <f>F137*-4.2062</f>
        <v>0</v>
      </c>
      <c r="G161">
        <f>G137*-0.5573</f>
        <v>0</v>
      </c>
      <c r="H161">
        <f>H137*0.0</f>
        <v>0</v>
      </c>
      <c r="I161">
        <f>I137*-0.3292</f>
        <v>0</v>
      </c>
      <c r="J161">
        <f>J137*-23.8815</f>
        <v>0</v>
      </c>
      <c r="K161">
        <f>K137*17.9112</f>
        <v>0</v>
      </c>
      <c r="L161">
        <f>L137*9.5337</f>
        <v>0</v>
      </c>
      <c r="M161">
        <f>M137*-12.6312</f>
        <v>0</v>
      </c>
      <c r="N161">
        <f>E161+F161+G161+H161+I161+J161+K161+L161</f>
        <v>0</v>
      </c>
    </row>
    <row r="162" spans="3:14">
      <c r="C162">
        <f>20.45</f>
        <v>0</v>
      </c>
      <c r="D162">
        <f>0.45</f>
        <v>0</v>
      </c>
      <c r="E162">
        <f>E137*-2.5227</f>
        <v>0</v>
      </c>
      <c r="F162">
        <f>F137*-14.630999999999998</f>
        <v>0</v>
      </c>
      <c r="G162">
        <f>G137*-1.8413</f>
        <v>0</v>
      </c>
      <c r="H162">
        <f>H137*0.0</f>
        <v>0</v>
      </c>
      <c r="I162">
        <f>I137*-0.3317</f>
        <v>0</v>
      </c>
      <c r="J162">
        <f>J137*-81.5514</f>
        <v>0</v>
      </c>
      <c r="K162">
        <f>K137*61.1636</f>
        <v>0</v>
      </c>
      <c r="L162">
        <f>L137*16.078</f>
        <v>0</v>
      </c>
      <c r="M162">
        <f>M137*-26.3746</f>
        <v>0</v>
      </c>
      <c r="N162">
        <f>E162+F162+G162+H162+I162+J162+K162+L162</f>
        <v>0</v>
      </c>
    </row>
    <row r="163" spans="3:14">
      <c r="C163">
        <f>21.36</f>
        <v>0</v>
      </c>
      <c r="D163">
        <f>1.36</f>
        <v>0</v>
      </c>
      <c r="E163">
        <f>E137*2.0321</f>
        <v>0</v>
      </c>
      <c r="F163">
        <f>F137*16.129</f>
        <v>0</v>
      </c>
      <c r="G163">
        <f>G137*2.0688</f>
        <v>0</v>
      </c>
      <c r="H163">
        <f>H137*0.0</f>
        <v>0</v>
      </c>
      <c r="I163">
        <f>I137*0.9827</f>
        <v>0</v>
      </c>
      <c r="J163">
        <f>J137*69.3033</f>
        <v>0</v>
      </c>
      <c r="K163">
        <f>K137*-51.9775</f>
        <v>0</v>
      </c>
      <c r="L163">
        <f>L137*42.7976</f>
        <v>0</v>
      </c>
      <c r="M163">
        <f>M137*-34.4292</f>
        <v>0</v>
      </c>
      <c r="N163">
        <f>E163+F163+G163+H163+I163+J163+K163+L163</f>
        <v>0</v>
      </c>
    </row>
    <row r="164" spans="3:14">
      <c r="C164">
        <f>22.27</f>
        <v>0</v>
      </c>
      <c r="D164">
        <f>2.27</f>
        <v>0</v>
      </c>
      <c r="E164">
        <f>E137*3.8646</f>
        <v>0</v>
      </c>
      <c r="F164">
        <f>F137*15.7415</f>
        <v>0</v>
      </c>
      <c r="G164">
        <f>G137*1.9945</f>
        <v>0</v>
      </c>
      <c r="H164">
        <f>H137*0.0</f>
        <v>0</v>
      </c>
      <c r="I164">
        <f>I137*0.9718</f>
        <v>0</v>
      </c>
      <c r="J164">
        <f>J137*44.5613</f>
        <v>0</v>
      </c>
      <c r="K164">
        <f>K137*-33.421</f>
        <v>0</v>
      </c>
      <c r="L164">
        <f>L137*71.7064</f>
        <v>0</v>
      </c>
      <c r="M164">
        <f>M137*-58.2202</f>
        <v>0</v>
      </c>
      <c r="N164">
        <f>E164+F164+G164+H164+I164+J164+K164+L164</f>
        <v>0</v>
      </c>
    </row>
    <row r="165" spans="3:14">
      <c r="C165">
        <f>23.18</f>
        <v>0</v>
      </c>
      <c r="D165">
        <f>3.18</f>
        <v>0</v>
      </c>
      <c r="E165">
        <f>E137*5.7815</f>
        <v>0</v>
      </c>
      <c r="F165">
        <f>F137*17.4301</f>
        <v>0</v>
      </c>
      <c r="G165">
        <f>G137*2.1402</f>
        <v>0</v>
      </c>
      <c r="H165">
        <f>H137*0.0</f>
        <v>0</v>
      </c>
      <c r="I165">
        <f>I137*1.0325</f>
        <v>0</v>
      </c>
      <c r="J165">
        <f>J137*25.3967</f>
        <v>0</v>
      </c>
      <c r="K165">
        <f>K137*-19.0475</f>
        <v>0</v>
      </c>
      <c r="L165">
        <f>L137*94.3062</f>
        <v>0</v>
      </c>
      <c r="M165">
        <f>M137*-79.6743</f>
        <v>0</v>
      </c>
      <c r="N165">
        <f>E165+F165+G165+H165+I165+J165+K165+L165</f>
        <v>0</v>
      </c>
    </row>
    <row r="166" spans="3:14">
      <c r="C166">
        <f>24.09</f>
        <v>0</v>
      </c>
      <c r="D166">
        <f>4.09</f>
        <v>0</v>
      </c>
      <c r="E166">
        <f>E137*6.9218</f>
        <v>0</v>
      </c>
      <c r="F166">
        <f>F137*16.4242</f>
        <v>0</v>
      </c>
      <c r="G166">
        <f>G137*1.9543</f>
        <v>0</v>
      </c>
      <c r="H166">
        <f>H137*0.0</f>
        <v>0</v>
      </c>
      <c r="I166">
        <f>I137*1.0986</f>
        <v>0</v>
      </c>
      <c r="J166">
        <f>J137*44.6085</f>
        <v>0</v>
      </c>
      <c r="K166">
        <f>K137*-33.4564</f>
        <v>0</v>
      </c>
      <c r="L166">
        <f>L137*115.816</f>
        <v>0</v>
      </c>
      <c r="M166">
        <f>M137*-101.4598</f>
        <v>0</v>
      </c>
      <c r="N166">
        <f>E166+F166+G166+H166+I166+J166+K166+L166</f>
        <v>0</v>
      </c>
    </row>
    <row r="167" spans="3:14">
      <c r="C167">
        <f>25.0</f>
        <v>0</v>
      </c>
      <c r="D167">
        <f>5.0</f>
        <v>0</v>
      </c>
      <c r="E167">
        <f>E137*-2.806</f>
        <v>0</v>
      </c>
      <c r="F167">
        <f>F137*15.1822</f>
        <v>0</v>
      </c>
      <c r="G167">
        <f>G137*2.3683</f>
        <v>0</v>
      </c>
      <c r="H167">
        <f>H137*0.0</f>
        <v>0</v>
      </c>
      <c r="I167">
        <f>I137*0.8652</f>
        <v>0</v>
      </c>
      <c r="J167">
        <f>J137*4.7306</f>
        <v>0</v>
      </c>
      <c r="K167">
        <f>K137*-3.548</f>
        <v>0</v>
      </c>
      <c r="L167">
        <f>L137*114.3392</f>
        <v>0</v>
      </c>
      <c r="M167">
        <f>M137*-112.2153</f>
        <v>0</v>
      </c>
      <c r="N167">
        <f>E167+F167+G167+H167+I167+J167+K167+L167</f>
        <v>0</v>
      </c>
    </row>
    <row r="168" spans="3:14">
      <c r="C168">
        <f>26.0</f>
        <v>0</v>
      </c>
      <c r="D168">
        <f>6.0</f>
        <v>0</v>
      </c>
      <c r="E168">
        <f>E137*4.1335</f>
        <v>0</v>
      </c>
      <c r="F168">
        <f>F137*14.1877</f>
        <v>0</v>
      </c>
      <c r="G168">
        <f>G137*1.8226</f>
        <v>0</v>
      </c>
      <c r="H168">
        <f>H137*0.0</f>
        <v>0</v>
      </c>
      <c r="I168">
        <f>I137*1.506</f>
        <v>0</v>
      </c>
      <c r="J168">
        <f>J137*42.461000000000006</f>
        <v>0</v>
      </c>
      <c r="K168">
        <f>K137*-31.8458</f>
        <v>0</v>
      </c>
      <c r="L168">
        <f>L137*135.8846</f>
        <v>0</v>
      </c>
      <c r="M168">
        <f>M137*-121.3432</f>
        <v>0</v>
      </c>
      <c r="N168">
        <f>E168+F168+G168+H168+I168+J168+K168+L168</f>
        <v>0</v>
      </c>
    </row>
    <row r="169" spans="3:14">
      <c r="C169">
        <f>27.0</f>
        <v>0</v>
      </c>
      <c r="D169">
        <f>7.0</f>
        <v>0</v>
      </c>
      <c r="E169">
        <f>E137*3.4391</f>
        <v>0</v>
      </c>
      <c r="F169">
        <f>F137*11.5435</f>
        <v>0</v>
      </c>
      <c r="G169">
        <f>G137*1.4578</f>
        <v>0</v>
      </c>
      <c r="H169">
        <f>H137*0.0</f>
        <v>0</v>
      </c>
      <c r="I169">
        <f>I137*1.5469</f>
        <v>0</v>
      </c>
      <c r="J169">
        <f>J137*19.656</f>
        <v>0</v>
      </c>
      <c r="K169">
        <f>K137*-14.742</f>
        <v>0</v>
      </c>
      <c r="L169">
        <f>L137*146.7943</f>
        <v>0</v>
      </c>
      <c r="M169">
        <f>M137*-137.4647</f>
        <v>0</v>
      </c>
      <c r="N169">
        <f>E169+F169+G169+H169+I169+J169+K169+L169</f>
        <v>0</v>
      </c>
    </row>
    <row r="170" spans="3:14">
      <c r="C170">
        <f>28.0</f>
        <v>0</v>
      </c>
      <c r="D170">
        <f>8.0</f>
        <v>0</v>
      </c>
      <c r="E170">
        <f>E137*4.1225</f>
        <v>0</v>
      </c>
      <c r="F170">
        <f>F137*8.72</f>
        <v>0</v>
      </c>
      <c r="G170">
        <f>G137*0.9913</f>
        <v>0</v>
      </c>
      <c r="H170">
        <f>H137*0.0</f>
        <v>0</v>
      </c>
      <c r="I170">
        <f>I137*1.8049</f>
        <v>0</v>
      </c>
      <c r="J170">
        <f>J137*18.3479</f>
        <v>0</v>
      </c>
      <c r="K170">
        <f>K137*-13.7609</f>
        <v>0</v>
      </c>
      <c r="L170">
        <f>L137*152.4062</f>
        <v>0</v>
      </c>
      <c r="M170">
        <f>M137*-144.8856</f>
        <v>0</v>
      </c>
      <c r="N170">
        <f>E170+F170+G170+H170+I170+J170+K170+L170</f>
        <v>0</v>
      </c>
    </row>
    <row r="171" spans="3:14">
      <c r="C171">
        <f>29.0</f>
        <v>0</v>
      </c>
      <c r="D171">
        <f>9.0</f>
        <v>0</v>
      </c>
      <c r="E171">
        <f>E137*5.0269</f>
        <v>0</v>
      </c>
      <c r="F171">
        <f>F137*6.0738</f>
        <v>0</v>
      </c>
      <c r="G171">
        <f>G137*0.5762</f>
        <v>0</v>
      </c>
      <c r="H171">
        <f>H137*0.0</f>
        <v>0</v>
      </c>
      <c r="I171">
        <f>I137*2.0980000000000003</f>
        <v>0</v>
      </c>
      <c r="J171">
        <f>J137*35.8195</f>
        <v>0</v>
      </c>
      <c r="K171">
        <f>K137*-26.8646</f>
        <v>0</v>
      </c>
      <c r="L171">
        <f>L137*153.7318</f>
        <v>0</v>
      </c>
      <c r="M171">
        <f>M137*-150.5566</f>
        <v>0</v>
      </c>
      <c r="N171">
        <f>E171+F171+G171+H171+I171+J171+K171+L171</f>
        <v>0</v>
      </c>
    </row>
    <row r="172" spans="3:14">
      <c r="C172">
        <f>30.0</f>
        <v>0</v>
      </c>
      <c r="D172">
        <f>10.0</f>
        <v>0</v>
      </c>
      <c r="E172">
        <f>E137*-4.0939</f>
        <v>0</v>
      </c>
      <c r="F172">
        <f>F137*12.6147</f>
        <v>0</v>
      </c>
      <c r="G172">
        <f>G137*2.1505</f>
        <v>0</v>
      </c>
      <c r="H172">
        <f>H137*0.0</f>
        <v>0</v>
      </c>
      <c r="I172">
        <f>I137*1.9192</f>
        <v>0</v>
      </c>
      <c r="J172">
        <f>J137*13.883</f>
        <v>0</v>
      </c>
      <c r="K172">
        <f>K137*-10.4123</f>
        <v>0</v>
      </c>
      <c r="L172">
        <f>L137*147.1387</f>
        <v>0</v>
      </c>
      <c r="M172">
        <f>M137*-130.0122</f>
        <v>0</v>
      </c>
      <c r="N172">
        <f>E172+F172+G172+H172+I172+J172+K172+L172</f>
        <v>0</v>
      </c>
    </row>
    <row r="173" spans="3:14">
      <c r="C173">
        <f>31.0</f>
        <v>0</v>
      </c>
      <c r="D173">
        <f>11.0</f>
        <v>0</v>
      </c>
      <c r="E173">
        <f>E137*4.8253</f>
        <v>0</v>
      </c>
      <c r="F173">
        <f>F137*6.2119</f>
        <v>0</v>
      </c>
      <c r="G173">
        <f>G137*0.6331</f>
        <v>0</v>
      </c>
      <c r="H173">
        <f>H137*0.0</f>
        <v>0</v>
      </c>
      <c r="I173">
        <f>I137*2.5457</f>
        <v>0</v>
      </c>
      <c r="J173">
        <f>J137*37.7904</f>
        <v>0</v>
      </c>
      <c r="K173">
        <f>K137*-28.3428</f>
        <v>0</v>
      </c>
      <c r="L173">
        <f>L137*151.7535</f>
        <v>0</v>
      </c>
      <c r="M173">
        <f>M137*-146.6789</f>
        <v>0</v>
      </c>
      <c r="N173">
        <f>E173+F173+G173+H173+I173+J173+K173+L173</f>
        <v>0</v>
      </c>
    </row>
    <row r="174" spans="3:14">
      <c r="C174">
        <f>32.0</f>
        <v>0</v>
      </c>
      <c r="D174">
        <f>12.0</f>
        <v>0</v>
      </c>
      <c r="E174">
        <f>E137*3.8667</f>
        <v>0</v>
      </c>
      <c r="F174">
        <f>F137*9.1678</f>
        <v>0</v>
      </c>
      <c r="G174">
        <f>G137*1.0671</f>
        <v>0</v>
      </c>
      <c r="H174">
        <f>H137*0.0</f>
        <v>0</v>
      </c>
      <c r="I174">
        <f>I137*2.4411</f>
        <v>0</v>
      </c>
      <c r="J174">
        <f>J137*21.1046</f>
        <v>0</v>
      </c>
      <c r="K174">
        <f>K137*-15.8285</f>
        <v>0</v>
      </c>
      <c r="L174">
        <f>L137*151.2226</f>
        <v>0</v>
      </c>
      <c r="M174">
        <f>M137*-147.4144</f>
        <v>0</v>
      </c>
      <c r="N174">
        <f>E174+F174+G174+H174+I174+J174+K174+L174</f>
        <v>0</v>
      </c>
    </row>
    <row r="175" spans="3:14">
      <c r="C175">
        <f>33.0</f>
        <v>0</v>
      </c>
      <c r="D175">
        <f>13.0</f>
        <v>0</v>
      </c>
      <c r="E175">
        <f>E137*3.1308</f>
        <v>0</v>
      </c>
      <c r="F175">
        <f>F137*12.379000000000001</f>
        <v>0</v>
      </c>
      <c r="G175">
        <f>G137*1.5926</f>
        <v>0</v>
      </c>
      <c r="H175">
        <f>H137*0.0</f>
        <v>0</v>
      </c>
      <c r="I175">
        <f>I137*2.4327</f>
        <v>0</v>
      </c>
      <c r="J175">
        <f>J137*19.5266</f>
        <v>0</v>
      </c>
      <c r="K175">
        <f>K137*-14.6449</f>
        <v>0</v>
      </c>
      <c r="L175">
        <f>L137*146.2124</f>
        <v>0</v>
      </c>
      <c r="M175">
        <f>M137*-143.635</f>
        <v>0</v>
      </c>
      <c r="N175">
        <f>E175+F175+G175+H175+I175+J175+K175+L175</f>
        <v>0</v>
      </c>
    </row>
    <row r="176" spans="3:14">
      <c r="C176">
        <f>34.0</f>
        <v>0</v>
      </c>
      <c r="D176">
        <f>14.0</f>
        <v>0</v>
      </c>
      <c r="E176">
        <f>E137*4.1134</f>
        <v>0</v>
      </c>
      <c r="F176">
        <f>F137*15.3167</f>
        <v>0</v>
      </c>
      <c r="G176">
        <f>G137*2.0023</f>
        <v>0</v>
      </c>
      <c r="H176">
        <f>H137*0.0</f>
        <v>0</v>
      </c>
      <c r="I176">
        <f>I137*2.3896</f>
        <v>0</v>
      </c>
      <c r="J176">
        <f>J137*42.1812</f>
        <v>0</v>
      </c>
      <c r="K176">
        <f>K137*-31.6359</f>
        <v>0</v>
      </c>
      <c r="L176">
        <f>L137*135.615</f>
        <v>0</v>
      </c>
      <c r="M176">
        <f>M137*-128.1907</f>
        <v>0</v>
      </c>
      <c r="N176">
        <f>E176+F176+G176+H176+I176+J176+K176+L176</f>
        <v>0</v>
      </c>
    </row>
    <row r="177" spans="3:14">
      <c r="C177">
        <f>35.0</f>
        <v>0</v>
      </c>
      <c r="D177">
        <f>15.0</f>
        <v>0</v>
      </c>
      <c r="E177">
        <f>E137*-2.8024</f>
        <v>0</v>
      </c>
      <c r="F177">
        <f>F137*18.4816</f>
        <v>0</v>
      </c>
      <c r="G177">
        <f>G137*2.8679</f>
        <v>0</v>
      </c>
      <c r="H177">
        <f>H137*0.0</f>
        <v>0</v>
      </c>
      <c r="I177">
        <f>I137*-4.0988</f>
        <v>0</v>
      </c>
      <c r="J177">
        <f>J137*11.3474</f>
        <v>0</v>
      </c>
      <c r="K177">
        <f>K137*-8.5105</f>
        <v>0</v>
      </c>
      <c r="L177">
        <f>L137*119.7045</f>
        <v>0</v>
      </c>
      <c r="M177">
        <f>M137*-118.4792</f>
        <v>0</v>
      </c>
      <c r="N177">
        <f>E177+F177+G177+H177+I177+J177+K177+L177</f>
        <v>0</v>
      </c>
    </row>
    <row r="178" spans="3:14">
      <c r="C178">
        <f>35.91</f>
        <v>0</v>
      </c>
      <c r="D178">
        <f>15.91</f>
        <v>0</v>
      </c>
      <c r="E178">
        <f>E137*6.5664</f>
        <v>0</v>
      </c>
      <c r="F178">
        <f>F137*16.5994</f>
        <v>0</v>
      </c>
      <c r="G178">
        <f>G137*1.994</f>
        <v>0</v>
      </c>
      <c r="H178">
        <f>H137*0.0</f>
        <v>0</v>
      </c>
      <c r="I178">
        <f>I137*4.5423</f>
        <v>0</v>
      </c>
      <c r="J178">
        <f>J137*48.0217</f>
        <v>0</v>
      </c>
      <c r="K178">
        <f>K137*-36.0163</f>
        <v>0</v>
      </c>
      <c r="L178">
        <f>L137*117.4759</f>
        <v>0</v>
      </c>
      <c r="M178">
        <f>M137*-99.9994</f>
        <v>0</v>
      </c>
      <c r="N178">
        <f>E178+F178+G178+H178+I178+J178+K178+L178</f>
        <v>0</v>
      </c>
    </row>
    <row r="179" spans="3:14">
      <c r="C179">
        <f>36.82</f>
        <v>0</v>
      </c>
      <c r="D179">
        <f>16.82</f>
        <v>0</v>
      </c>
      <c r="E179">
        <f>E137*5.4599</f>
        <v>0</v>
      </c>
      <c r="F179">
        <f>F137*17.2471</f>
        <v>0</v>
      </c>
      <c r="G179">
        <f>G137*2.1258</f>
        <v>0</v>
      </c>
      <c r="H179">
        <f>H137*0.0</f>
        <v>0</v>
      </c>
      <c r="I179">
        <f>I137*5.7165</f>
        <v>0</v>
      </c>
      <c r="J179">
        <f>J137*28.1493</f>
        <v>0</v>
      </c>
      <c r="K179">
        <f>K137*-21.112</f>
        <v>0</v>
      </c>
      <c r="L179">
        <f>L137*96.3756</f>
        <v>0</v>
      </c>
      <c r="M179">
        <f>M137*-80.95</f>
        <v>0</v>
      </c>
      <c r="N179">
        <f>E179+F179+G179+H179+I179+J179+K179+L179</f>
        <v>0</v>
      </c>
    </row>
    <row r="180" spans="3:14">
      <c r="C180">
        <f>37.73</f>
        <v>0</v>
      </c>
      <c r="D180">
        <f>17.73</f>
        <v>0</v>
      </c>
      <c r="E180">
        <f>E137*3.6087</f>
        <v>0</v>
      </c>
      <c r="F180">
        <f>F137*15.4797</f>
        <v>0</v>
      </c>
      <c r="G180">
        <f>G137*1.9658</f>
        <v>0</v>
      </c>
      <c r="H180">
        <f>H137*0.0</f>
        <v>0</v>
      </c>
      <c r="I180">
        <f>I137*10.8061</f>
        <v>0</v>
      </c>
      <c r="J180">
        <f>J137*42.453</f>
        <v>0</v>
      </c>
      <c r="K180">
        <f>K137*-31.8398</f>
        <v>0</v>
      </c>
      <c r="L180">
        <f>L137*74.3367</f>
        <v>0</v>
      </c>
      <c r="M180">
        <f>M137*-59.7149</f>
        <v>0</v>
      </c>
      <c r="N180">
        <f>E180+F180+G180+H180+I180+J180+K180+L180</f>
        <v>0</v>
      </c>
    </row>
    <row r="181" spans="3:14">
      <c r="C181">
        <f>38.64</f>
        <v>0</v>
      </c>
      <c r="D181">
        <f>18.64</f>
        <v>0</v>
      </c>
      <c r="E181">
        <f>E137*1.8163</f>
        <v>0</v>
      </c>
      <c r="F181">
        <f>F137*11.2408</f>
        <v>0</v>
      </c>
      <c r="G181">
        <f>G137*1.3646</f>
        <v>0</v>
      </c>
      <c r="H181">
        <f>H137*0.0</f>
        <v>0</v>
      </c>
      <c r="I181">
        <f>I137*15.2057</f>
        <v>0</v>
      </c>
      <c r="J181">
        <f>J137*67.9008</f>
        <v>0</v>
      </c>
      <c r="K181">
        <f>K137*-50.9256</f>
        <v>0</v>
      </c>
      <c r="L181">
        <f>L137*44.4835</f>
        <v>0</v>
      </c>
      <c r="M181">
        <f>M137*-34.4236</f>
        <v>0</v>
      </c>
      <c r="N181">
        <f>E181+F181+G181+H181+I181+J181+K181+L181</f>
        <v>0</v>
      </c>
    </row>
    <row r="182" spans="3:14">
      <c r="C182">
        <f>39.55</f>
        <v>0</v>
      </c>
      <c r="D182">
        <f>19.55</f>
        <v>0</v>
      </c>
      <c r="E182">
        <f>E137*-2.3736</f>
        <v>0</v>
      </c>
      <c r="F182">
        <f>F137*-8.9522</f>
        <v>0</v>
      </c>
      <c r="G182">
        <f>G137*-1.0218</f>
        <v>0</v>
      </c>
      <c r="H182">
        <f>H137*0.0</f>
        <v>0</v>
      </c>
      <c r="I182">
        <f>I137*-14.4126</f>
        <v>0</v>
      </c>
      <c r="J182">
        <f>J137*-77.5595</f>
        <v>0</v>
      </c>
      <c r="K182">
        <f>K137*58.1696</f>
        <v>0</v>
      </c>
      <c r="L182">
        <f>L137*22.4148</f>
        <v>0</v>
      </c>
      <c r="M182">
        <f>M137*-32.0268</f>
        <v>0</v>
      </c>
      <c r="N182">
        <f>E182+F182+G182+H182+I182+J182+K182+L182</f>
        <v>0</v>
      </c>
    </row>
    <row r="183" spans="3:14">
      <c r="C183">
        <f>40.0</f>
        <v>0</v>
      </c>
      <c r="D183">
        <f>20.0</f>
        <v>0</v>
      </c>
      <c r="E183">
        <f>E137*-0.4521</f>
        <v>0</v>
      </c>
      <c r="F183">
        <f>F137*-2.6435</f>
        <v>0</v>
      </c>
      <c r="G183">
        <f>G137*-0.3292</f>
        <v>0</v>
      </c>
      <c r="H183">
        <f>H137*0.0</f>
        <v>0</v>
      </c>
      <c r="I183">
        <f>I137*-3.1167</f>
        <v>0</v>
      </c>
      <c r="J183">
        <f>J137*-22.7293</f>
        <v>0</v>
      </c>
      <c r="K183">
        <f>K137*17.047</f>
        <v>0</v>
      </c>
      <c r="L183">
        <f>L137*7.9705</f>
        <v>0</v>
      </c>
      <c r="M183">
        <f>M137*-9.7791</f>
        <v>0</v>
      </c>
      <c r="N183">
        <f>E183+F183+G183+H183+I183+J183+K183+L183</f>
        <v>0</v>
      </c>
    </row>
    <row r="184" spans="3:14">
      <c r="C184">
        <f>40.0</f>
        <v>0</v>
      </c>
      <c r="D184">
        <f>0.0</f>
        <v>0</v>
      </c>
      <c r="E184">
        <f>E137*-0.45</f>
        <v>0</v>
      </c>
      <c r="F184">
        <f>F137*-3.5147</f>
        <v>0</v>
      </c>
      <c r="G184">
        <f>G137*-0.4591</f>
        <v>0</v>
      </c>
      <c r="H184">
        <f>H137*0.0</f>
        <v>0</v>
      </c>
      <c r="I184">
        <f>I137*-3.9027</f>
        <v>0</v>
      </c>
      <c r="J184">
        <f>J137*-24.2409</f>
        <v>0</v>
      </c>
      <c r="K184">
        <f>K137*18.1807</f>
        <v>0</v>
      </c>
      <c r="L184">
        <f>L137*2.7186</f>
        <v>0</v>
      </c>
      <c r="M184">
        <f>M137*-5.3872</f>
        <v>0</v>
      </c>
      <c r="N184">
        <f>E184+F184+G184+H184+I184+J184+K184+L184</f>
        <v>0</v>
      </c>
    </row>
    <row r="185" spans="3:14">
      <c r="C185">
        <f>40.45</f>
        <v>0</v>
      </c>
      <c r="D185">
        <f>0.45</f>
        <v>0</v>
      </c>
      <c r="E185">
        <f>E137*-1.8386</f>
        <v>0</v>
      </c>
      <c r="F185">
        <f>F137*-12.7331</f>
        <v>0</v>
      </c>
      <c r="G185">
        <f>G137*-1.6098</f>
        <v>0</v>
      </c>
      <c r="H185">
        <f>H137*0.0</f>
        <v>0</v>
      </c>
      <c r="I185">
        <f>I137*-16.5659</f>
        <v>0</v>
      </c>
      <c r="J185">
        <f>J137*-90.8263</f>
        <v>0</v>
      </c>
      <c r="K185">
        <f>K137*68.1197</f>
        <v>0</v>
      </c>
      <c r="L185">
        <f>L137*7.6744</f>
        <v>0</v>
      </c>
      <c r="M185">
        <f>M137*-20.160999999999998</f>
        <v>0</v>
      </c>
      <c r="N185">
        <f>E185+F185+G185+H185+I185+J185+K185+L185</f>
        <v>0</v>
      </c>
    </row>
    <row r="186" spans="3:14">
      <c r="C186">
        <f>41.36</f>
        <v>0</v>
      </c>
      <c r="D186">
        <f>1.36</f>
        <v>0</v>
      </c>
      <c r="E186">
        <f>E137*2.3358</f>
        <v>0</v>
      </c>
      <c r="F186">
        <f>F137*13.9674</f>
        <v>0</v>
      </c>
      <c r="G186">
        <f>G137*1.7582</f>
        <v>0</v>
      </c>
      <c r="H186">
        <f>H137*0.0</f>
        <v>0</v>
      </c>
      <c r="I186">
        <f>I137*-7.8848</f>
        <v>0</v>
      </c>
      <c r="J186">
        <f>J137*74.7652</f>
        <v>0</v>
      </c>
      <c r="K186">
        <f>K137*-56.0739</f>
        <v>0</v>
      </c>
      <c r="L186">
        <f>L137*34.0115</f>
        <v>0</v>
      </c>
      <c r="M186">
        <f>M137*-32.1356</f>
        <v>0</v>
      </c>
      <c r="N186">
        <f>E186+F186+G186+H186+I186+J186+K186+L186</f>
        <v>0</v>
      </c>
    </row>
    <row r="187" spans="3:14">
      <c r="C187">
        <f>42.27</f>
        <v>0</v>
      </c>
      <c r="D187">
        <f>2.27</f>
        <v>0</v>
      </c>
      <c r="E187">
        <f>E137*4.0877</f>
        <v>0</v>
      </c>
      <c r="F187">
        <f>F137*10.1945</f>
        <v>0</v>
      </c>
      <c r="G187">
        <f>G137*1.2109</f>
        <v>0</v>
      </c>
      <c r="H187">
        <f>H137*0.0</f>
        <v>0</v>
      </c>
      <c r="I187">
        <f>I137*-27.4168</f>
        <v>0</v>
      </c>
      <c r="J187">
        <f>J137*53.0612</f>
        <v>0</v>
      </c>
      <c r="K187">
        <f>K137*-39.7959</f>
        <v>0</v>
      </c>
      <c r="L187">
        <f>L137*53.0109</f>
        <v>0</v>
      </c>
      <c r="M187">
        <f>M137*-49.8312</f>
        <v>0</v>
      </c>
      <c r="N187">
        <f>E187+F187+G187+H187+I187+J187+K187+L187</f>
        <v>0</v>
      </c>
    </row>
    <row r="188" spans="3:14">
      <c r="C188">
        <f>43.18</f>
        <v>0</v>
      </c>
      <c r="D188">
        <f>3.18</f>
        <v>0</v>
      </c>
      <c r="E188">
        <f>E137*5.784</f>
        <v>0</v>
      </c>
      <c r="F188">
        <f>F137*5.9558</f>
        <v>0</v>
      </c>
      <c r="G188">
        <f>G137*0.6302</f>
        <v>0</v>
      </c>
      <c r="H188">
        <f>H137*0.0</f>
        <v>0</v>
      </c>
      <c r="I188">
        <f>I137*-49.4521</f>
        <v>0</v>
      </c>
      <c r="J188">
        <f>J137*35.8701</f>
        <v>0</v>
      </c>
      <c r="K188">
        <f>K137*-26.9026</f>
        <v>0</v>
      </c>
      <c r="L188">
        <f>L137*65.0281</f>
        <v>0</v>
      </c>
      <c r="M188">
        <f>M137*-62.3948</f>
        <v>0</v>
      </c>
      <c r="N188">
        <f>E188+F188+G188+H188+I188+J188+K188+L188</f>
        <v>0</v>
      </c>
    </row>
    <row r="189" spans="3:14">
      <c r="C189">
        <f>44.09</f>
        <v>0</v>
      </c>
      <c r="D189">
        <f>4.09</f>
        <v>0</v>
      </c>
      <c r="E189">
        <f>E137*6.7591</f>
        <v>0</v>
      </c>
      <c r="F189">
        <f>F137*3.7885</f>
        <v>0</v>
      </c>
      <c r="G189">
        <f>G137*0.1499</f>
        <v>0</v>
      </c>
      <c r="H189">
        <f>H137*0.0</f>
        <v>0</v>
      </c>
      <c r="I189">
        <f>I137*-64.8245</f>
        <v>0</v>
      </c>
      <c r="J189">
        <f>J137*48.423</f>
        <v>0</v>
      </c>
      <c r="K189">
        <f>K137*-36.3173</f>
        <v>0</v>
      </c>
      <c r="L189">
        <f>L137*68.6984</f>
        <v>0</v>
      </c>
      <c r="M189">
        <f>M137*-68.0674</f>
        <v>0</v>
      </c>
      <c r="N189">
        <f>E189+F189+G189+H189+I189+J189+K189+L189</f>
        <v>0</v>
      </c>
    </row>
    <row r="190" spans="3:14">
      <c r="C190">
        <f>45.0</f>
        <v>0</v>
      </c>
      <c r="D190">
        <f>5.0</f>
        <v>0</v>
      </c>
      <c r="E190">
        <f>E137*2.0751</f>
        <v>0</v>
      </c>
      <c r="F190">
        <f>F137*-2.5687</f>
        <v>0</v>
      </c>
      <c r="G190">
        <f>G137*-0.3044</f>
        <v>0</v>
      </c>
      <c r="H190">
        <f>H137*0.0</f>
        <v>0</v>
      </c>
      <c r="I190">
        <f>I137*-103.8204</f>
        <v>0</v>
      </c>
      <c r="J190">
        <f>J137*-28.3557</f>
        <v>0</v>
      </c>
      <c r="K190">
        <f>K137*21.2668</f>
        <v>0</v>
      </c>
      <c r="L190">
        <f>L137*56.1061</f>
        <v>0</v>
      </c>
      <c r="M190">
        <f>M137*-51.5533</f>
        <v>0</v>
      </c>
      <c r="N190">
        <f>E190+F190+G190+H190+I190+J190+K190+L190</f>
        <v>0</v>
      </c>
    </row>
    <row r="191" spans="3:14">
      <c r="C191">
        <f>46.0</f>
        <v>0</v>
      </c>
      <c r="D191">
        <f>6.0</f>
        <v>0</v>
      </c>
      <c r="E191">
        <f>E137*6.047999999999999</f>
        <v>0</v>
      </c>
      <c r="F191">
        <f>F137*1.7694</f>
        <v>0</v>
      </c>
      <c r="G191">
        <f>G137*-0.2591</f>
        <v>0</v>
      </c>
      <c r="H191">
        <f>H137*0.0</f>
        <v>0</v>
      </c>
      <c r="I191">
        <f>I137*-67.1275</f>
        <v>0</v>
      </c>
      <c r="J191">
        <f>J137*69.2426</f>
        <v>0</v>
      </c>
      <c r="K191">
        <f>K137*-51.9319</f>
        <v>0</v>
      </c>
      <c r="L191">
        <f>L137*66.2357</f>
        <v>0</v>
      </c>
      <c r="M191">
        <f>M137*-68.7232</f>
        <v>0</v>
      </c>
      <c r="N191">
        <f>E191+F191+G191+H191+I191+J191+K191+L191</f>
        <v>0</v>
      </c>
    </row>
    <row r="192" spans="3:14">
      <c r="C192">
        <f>47.0</f>
        <v>0</v>
      </c>
      <c r="D192">
        <f>7.0</f>
        <v>0</v>
      </c>
      <c r="E192">
        <f>E137*4.7808</f>
        <v>0</v>
      </c>
      <c r="F192">
        <f>F137*1.0969</f>
        <v>0</v>
      </c>
      <c r="G192">
        <f>G137*-0.3048</f>
        <v>0</v>
      </c>
      <c r="H192">
        <f>H137*0.0</f>
        <v>0</v>
      </c>
      <c r="I192">
        <f>I137*-56.51</f>
        <v>0</v>
      </c>
      <c r="J192">
        <f>J137*37.7878</f>
        <v>0</v>
      </c>
      <c r="K192">
        <f>K137*-28.3408</f>
        <v>0</v>
      </c>
      <c r="L192">
        <f>L137*62.0275</f>
        <v>0</v>
      </c>
      <c r="M192">
        <f>M137*-64.83800000000001</f>
        <v>0</v>
      </c>
      <c r="N192">
        <f>E192+F192+G192+H192+I192+J192+K192+L192</f>
        <v>0</v>
      </c>
    </row>
    <row r="193" spans="3:14">
      <c r="C193">
        <f>48.0</f>
        <v>0</v>
      </c>
      <c r="D193">
        <f>8.0</f>
        <v>0</v>
      </c>
      <c r="E193">
        <f>E137*2.7928</f>
        <v>0</v>
      </c>
      <c r="F193">
        <f>F137*0.8583</f>
        <v>0</v>
      </c>
      <c r="G193">
        <f>G137*-0.2635</f>
        <v>0</v>
      </c>
      <c r="H193">
        <f>H137*0.0</f>
        <v>0</v>
      </c>
      <c r="I193">
        <f>I137*-37.5237</f>
        <v>0</v>
      </c>
      <c r="J193">
        <f>J137*87.7465</f>
        <v>0</v>
      </c>
      <c r="K193">
        <f>K137*-65.8099</f>
        <v>0</v>
      </c>
      <c r="L193">
        <f>L137*49.3155</f>
        <v>0</v>
      </c>
      <c r="M193">
        <f>M137*-51.5204</f>
        <v>0</v>
      </c>
      <c r="N193">
        <f>E193+F193+G193+H193+I193+J193+K193+L193</f>
        <v>0</v>
      </c>
    </row>
    <row r="194" spans="3:14">
      <c r="C194">
        <f>49.0</f>
        <v>0</v>
      </c>
      <c r="D194">
        <f>9.0</f>
        <v>0</v>
      </c>
      <c r="E194">
        <f>E137*-1.6293</f>
        <v>0</v>
      </c>
      <c r="F194">
        <f>F137*1.3255</f>
        <v>0</v>
      </c>
      <c r="G194">
        <f>G137*0.23199999999999998</f>
        <v>0</v>
      </c>
      <c r="H194">
        <f>H137*0.0</f>
        <v>0</v>
      </c>
      <c r="I194">
        <f>I137*-9.0332</f>
        <v>0</v>
      </c>
      <c r="J194">
        <f>J137*184.9984</f>
        <v>0</v>
      </c>
      <c r="K194">
        <f>K137*-138.7488</f>
        <v>0</v>
      </c>
      <c r="L194">
        <f>L137*28.0548</f>
        <v>0</v>
      </c>
      <c r="M194">
        <f>M137*-25.1616</f>
        <v>0</v>
      </c>
      <c r="N194">
        <f>E194+F194+G194+H194+I194+J194+K194+L194</f>
        <v>0</v>
      </c>
    </row>
    <row r="195" spans="3:14">
      <c r="C195">
        <f>50.0</f>
        <v>0</v>
      </c>
      <c r="D195">
        <f>10.0</f>
        <v>0</v>
      </c>
      <c r="E195">
        <f>E137*-0.4127</f>
        <v>0</v>
      </c>
      <c r="F195">
        <f>F137*-0.4505</f>
        <v>0</v>
      </c>
      <c r="G195">
        <f>G137*0.005</f>
        <v>0</v>
      </c>
      <c r="H195">
        <f>H137*0.0</f>
        <v>0</v>
      </c>
      <c r="I195">
        <f>I137*11.7422</f>
        <v>0</v>
      </c>
      <c r="J195">
        <f>J137*-69.562</f>
        <v>0</v>
      </c>
      <c r="K195">
        <f>K137*52.1715</f>
        <v>0</v>
      </c>
      <c r="L195">
        <f>L137*15.2374</f>
        <v>0</v>
      </c>
      <c r="M195">
        <f>M137*-14.6278</f>
        <v>0</v>
      </c>
      <c r="N195">
        <f>E195+F195+G195+H195+I195+J195+K195+L195</f>
        <v>0</v>
      </c>
    </row>
    <row r="202" spans="3:14">
      <c r="C202" t="s">
        <v>0</v>
      </c>
      <c r="D202" t="s">
        <v>1</v>
      </c>
      <c r="E202" t="s">
        <v>2</v>
      </c>
      <c r="F202" t="s">
        <v>3</v>
      </c>
      <c r="G202" t="s">
        <v>4</v>
      </c>
      <c r="H202" t="s">
        <v>5</v>
      </c>
      <c r="I202" t="s">
        <v>6</v>
      </c>
      <c r="J202" t="s">
        <v>7</v>
      </c>
      <c r="K202" t="s">
        <v>8</v>
      </c>
      <c r="L202" t="s">
        <v>9</v>
      </c>
      <c r="M202" t="s">
        <v>10</v>
      </c>
      <c r="N202" t="s">
        <v>11</v>
      </c>
    </row>
    <row r="203" spans="3:14">
      <c r="C203">
        <f>0.0</f>
        <v>0</v>
      </c>
      <c r="D203">
        <f>0.0</f>
        <v>0</v>
      </c>
      <c r="E203">
        <f>E201*4.617</f>
        <v>0</v>
      </c>
      <c r="F203">
        <f>F201*5.792999999999999</f>
        <v>0</v>
      </c>
      <c r="G203">
        <f>G201*0.713</f>
        <v>0</v>
      </c>
      <c r="H203">
        <f>H201*0.0</f>
        <v>0</v>
      </c>
      <c r="I203">
        <f>I201*-0.045</f>
        <v>0</v>
      </c>
      <c r="J203">
        <f>J201*-406.56</f>
        <v>0</v>
      </c>
      <c r="K203">
        <f>K201*304.92</f>
        <v>0</v>
      </c>
      <c r="L203">
        <f>L201*109.322</f>
        <v>0</v>
      </c>
      <c r="M203">
        <f>M201*-112.304</f>
        <v>0</v>
      </c>
      <c r="N203">
        <f>E203+F203+G203+H203+I203+J203+K203+L203</f>
        <v>0</v>
      </c>
    </row>
    <row r="204" spans="3:14">
      <c r="C204">
        <f>1.0</f>
        <v>0</v>
      </c>
      <c r="D204">
        <f>1.0</f>
        <v>0</v>
      </c>
      <c r="E204">
        <f>E201*5.789</f>
        <v>0</v>
      </c>
      <c r="F204">
        <f>F201*16.173</f>
        <v>0</v>
      </c>
      <c r="G204">
        <f>G201*2.01</f>
        <v>0</v>
      </c>
      <c r="H204">
        <f>H201*0.0</f>
        <v>0</v>
      </c>
      <c r="I204">
        <f>I201*-0.042</f>
        <v>0</v>
      </c>
      <c r="J204">
        <f>J201*-334.819</f>
        <v>0</v>
      </c>
      <c r="K204">
        <f>K201*251.114</f>
        <v>0</v>
      </c>
      <c r="L204">
        <f>L201*88.90799999999999</f>
        <v>0</v>
      </c>
      <c r="M204">
        <f>M201*-80.669</f>
        <v>0</v>
      </c>
      <c r="N204">
        <f>E204+F204+G204+H204+I204+J204+K204+L204</f>
        <v>0</v>
      </c>
    </row>
    <row r="205" spans="3:14">
      <c r="C205">
        <f>2.0</f>
        <v>0</v>
      </c>
      <c r="D205">
        <f>2.0</f>
        <v>0</v>
      </c>
      <c r="E205">
        <f>E201*9.476</f>
        <v>0</v>
      </c>
      <c r="F205">
        <f>F201*23.717</f>
        <v>0</v>
      </c>
      <c r="G205">
        <f>G201*2.885</f>
        <v>0</v>
      </c>
      <c r="H205">
        <f>H201*0.0</f>
        <v>0</v>
      </c>
      <c r="I205">
        <f>I201*-0.033</f>
        <v>0</v>
      </c>
      <c r="J205">
        <f>J201*-189.09599999999998</f>
        <v>0</v>
      </c>
      <c r="K205">
        <f>K201*141.822</f>
        <v>0</v>
      </c>
      <c r="L205">
        <f>L201*80.969</f>
        <v>0</v>
      </c>
      <c r="M205">
        <f>M201*-56.817</f>
        <v>0</v>
      </c>
      <c r="N205">
        <f>E205+F205+G205+H205+I205+J205+K205+L205</f>
        <v>0</v>
      </c>
    </row>
    <row r="206" spans="3:14">
      <c r="C206">
        <f>3.0</f>
        <v>0</v>
      </c>
      <c r="D206">
        <f>3.0</f>
        <v>0</v>
      </c>
      <c r="E206">
        <f>E201*12.818</f>
        <v>0</v>
      </c>
      <c r="F206">
        <f>F201*25.204</f>
        <v>0</v>
      </c>
      <c r="G206">
        <f>G201*2.986</f>
        <v>0</v>
      </c>
      <c r="H206">
        <f>H201*0.0</f>
        <v>0</v>
      </c>
      <c r="I206">
        <f>I201*-0.034</f>
        <v>0</v>
      </c>
      <c r="J206">
        <f>J201*-68.122</f>
        <v>0</v>
      </c>
      <c r="K206">
        <f>K201*51.092</f>
        <v>0</v>
      </c>
      <c r="L206">
        <f>L201*90.587</f>
        <v>0</v>
      </c>
      <c r="M206">
        <f>M201*-65.94</f>
        <v>0</v>
      </c>
      <c r="N206">
        <f>E206+F206+G206+H206+I206+J206+K206+L206</f>
        <v>0</v>
      </c>
    </row>
    <row r="207" spans="3:14">
      <c r="C207">
        <f>4.0</f>
        <v>0</v>
      </c>
      <c r="D207">
        <f>4.0</f>
        <v>0</v>
      </c>
      <c r="E207">
        <f>E201*15.062000000000001</f>
        <v>0</v>
      </c>
      <c r="F207">
        <f>F201*23.872</f>
        <v>0</v>
      </c>
      <c r="G207">
        <f>G201*2.6510000000000002</f>
        <v>0</v>
      </c>
      <c r="H207">
        <f>H201*0.0</f>
        <v>0</v>
      </c>
      <c r="I207">
        <f>I201*-0.034</f>
        <v>0</v>
      </c>
      <c r="J207">
        <f>J201*57.338</f>
        <v>0</v>
      </c>
      <c r="K207">
        <f>K201*-43.004</f>
        <v>0</v>
      </c>
      <c r="L207">
        <f>L201*108.029</f>
        <v>0</v>
      </c>
      <c r="M207">
        <f>M201*-86.604</f>
        <v>0</v>
      </c>
      <c r="N207">
        <f>E207+F207+G207+H207+I207+J207+K207+L207</f>
        <v>0</v>
      </c>
    </row>
    <row r="208" spans="3:14">
      <c r="C208">
        <f>5.0</f>
        <v>0</v>
      </c>
      <c r="D208">
        <f>5.0</f>
        <v>0</v>
      </c>
      <c r="E208">
        <f>E201*15.911</f>
        <v>0</v>
      </c>
      <c r="F208">
        <f>F201*31.612</f>
        <v>0</v>
      </c>
      <c r="G208">
        <f>G201*4.762</f>
        <v>0</v>
      </c>
      <c r="H208">
        <f>H201*0.0</f>
        <v>0</v>
      </c>
      <c r="I208">
        <f>I201*-0.036000000000000004</f>
        <v>0</v>
      </c>
      <c r="J208">
        <f>J201*-119.14</f>
        <v>0</v>
      </c>
      <c r="K208">
        <f>K201*89.355</f>
        <v>0</v>
      </c>
      <c r="L208">
        <f>L201*119.35799999999999</f>
        <v>0</v>
      </c>
      <c r="M208">
        <f>M201*-103.359</f>
        <v>0</v>
      </c>
      <c r="N208">
        <f>E208+F208+G208+H208+I208+J208+K208+L208</f>
        <v>0</v>
      </c>
    </row>
    <row r="209" spans="3:14">
      <c r="C209">
        <f>6.0</f>
        <v>0</v>
      </c>
      <c r="D209">
        <f>6.0</f>
        <v>0</v>
      </c>
      <c r="E209">
        <f>E201*2.401</f>
        <v>0</v>
      </c>
      <c r="F209">
        <f>F201*26.474</f>
        <v>0</v>
      </c>
      <c r="G209">
        <f>G201*3.93</f>
        <v>0</v>
      </c>
      <c r="H209">
        <f>H201*0.0</f>
        <v>0</v>
      </c>
      <c r="I209">
        <f>I201*-0.035</f>
        <v>0</v>
      </c>
      <c r="J209">
        <f>J201*-99.758</f>
        <v>0</v>
      </c>
      <c r="K209">
        <f>K201*74.818</f>
        <v>0</v>
      </c>
      <c r="L209">
        <f>L201*96.97</f>
        <v>0</v>
      </c>
      <c r="M209">
        <f>M201*-60.192</f>
        <v>0</v>
      </c>
      <c r="N209">
        <f>E209+F209+G209+H209+I209+J209+K209+L209</f>
        <v>0</v>
      </c>
    </row>
    <row r="210" spans="3:14">
      <c r="C210">
        <f>7.0</f>
        <v>0</v>
      </c>
      <c r="D210">
        <f>7.0</f>
        <v>0</v>
      </c>
      <c r="E210">
        <f>E201*4.26</f>
        <v>0</v>
      </c>
      <c r="F210">
        <f>F201*15.9</f>
        <v>0</v>
      </c>
      <c r="G210">
        <f>G201*2.217</f>
        <v>0</v>
      </c>
      <c r="H210">
        <f>H201*0.0</f>
        <v>0</v>
      </c>
      <c r="I210">
        <f>I201*-0.035</f>
        <v>0</v>
      </c>
      <c r="J210">
        <f>J201*-56.183</f>
        <v>0</v>
      </c>
      <c r="K210">
        <f>K201*42.137</f>
        <v>0</v>
      </c>
      <c r="L210">
        <f>L201*88.555</f>
        <v>0</v>
      </c>
      <c r="M210">
        <f>M201*-75.128</f>
        <v>0</v>
      </c>
      <c r="N210">
        <f>E210+F210+G210+H210+I210+J210+K210+L210</f>
        <v>0</v>
      </c>
    </row>
    <row r="211" spans="3:14">
      <c r="C211">
        <f>8.0</f>
        <v>0</v>
      </c>
      <c r="D211">
        <f>8.0</f>
        <v>0</v>
      </c>
      <c r="E211">
        <f>E201*6.754</f>
        <v>0</v>
      </c>
      <c r="F211">
        <f>F201*5.122999999999999</f>
        <v>0</v>
      </c>
      <c r="G211">
        <f>G201*-0.49</f>
        <v>0</v>
      </c>
      <c r="H211">
        <f>H201*0.0</f>
        <v>0</v>
      </c>
      <c r="I211">
        <f>I201*-0.034</f>
        <v>0</v>
      </c>
      <c r="J211">
        <f>J201*15.499</f>
        <v>0</v>
      </c>
      <c r="K211">
        <f>K201*-11.624</f>
        <v>0</v>
      </c>
      <c r="L211">
        <f>L201*91.959</f>
        <v>0</v>
      </c>
      <c r="M211">
        <f>M201*-97.289</f>
        <v>0</v>
      </c>
      <c r="N211">
        <f>E211+F211+G211+H211+I211+J211+K211+L211</f>
        <v>0</v>
      </c>
    </row>
    <row r="212" spans="3:14">
      <c r="C212">
        <f>9.0</f>
        <v>0</v>
      </c>
      <c r="D212">
        <f>9.0</f>
        <v>0</v>
      </c>
      <c r="E212">
        <f>E201*9.918</f>
        <v>0</v>
      </c>
      <c r="F212">
        <f>F201*-13.269</f>
        <v>0</v>
      </c>
      <c r="G212">
        <f>G201*-2.6010000000000004</f>
        <v>0</v>
      </c>
      <c r="H212">
        <f>H201*0.0</f>
        <v>0</v>
      </c>
      <c r="I212">
        <f>I201*-0.033</f>
        <v>0</v>
      </c>
      <c r="J212">
        <f>J201*37.496</f>
        <v>0</v>
      </c>
      <c r="K212">
        <f>K201*-28.122</f>
        <v>0</v>
      </c>
      <c r="L212">
        <f>L201*104.13799999999999</f>
        <v>0</v>
      </c>
      <c r="M212">
        <f>M201*-131.305</f>
        <v>0</v>
      </c>
      <c r="N212">
        <f>E212+F212+G212+H212+I212+J212+K212+L212</f>
        <v>0</v>
      </c>
    </row>
    <row r="213" spans="3:14">
      <c r="C213">
        <f>10.0</f>
        <v>0</v>
      </c>
      <c r="D213">
        <f>10.0</f>
        <v>0</v>
      </c>
      <c r="E213">
        <f>E201*-12.165</f>
        <v>0</v>
      </c>
      <c r="F213">
        <f>F201*-20.258</f>
        <v>0</v>
      </c>
      <c r="G213">
        <f>G201*-3.7910000000000004</f>
        <v>0</v>
      </c>
      <c r="H213">
        <f>H201*0.0</f>
        <v>0</v>
      </c>
      <c r="I213">
        <f>I201*-0.034</f>
        <v>0</v>
      </c>
      <c r="J213">
        <f>J201*-46.135</f>
        <v>0</v>
      </c>
      <c r="K213">
        <f>K201*34.601</f>
        <v>0</v>
      </c>
      <c r="L213">
        <f>L201*117.7</f>
        <v>0</v>
      </c>
      <c r="M213">
        <f>M201*-153.968</f>
        <v>0</v>
      </c>
      <c r="N213">
        <f>E213+F213+G213+H213+I213+J213+K213+L213</f>
        <v>0</v>
      </c>
    </row>
    <row r="214" spans="3:14">
      <c r="C214">
        <f>11.0</f>
        <v>0</v>
      </c>
      <c r="D214">
        <f>11.0</f>
        <v>0</v>
      </c>
      <c r="E214">
        <f>E201*-10.136000000000001</f>
        <v>0</v>
      </c>
      <c r="F214">
        <f>F201*-14.725</f>
        <v>0</v>
      </c>
      <c r="G214">
        <f>G201*-1.591</f>
        <v>0</v>
      </c>
      <c r="H214">
        <f>H201*0.0</f>
        <v>0</v>
      </c>
      <c r="I214">
        <f>I201*-0.033</f>
        <v>0</v>
      </c>
      <c r="J214">
        <f>J201*-47.57899999999999</f>
        <v>0</v>
      </c>
      <c r="K214">
        <f>K201*35.684</f>
        <v>0</v>
      </c>
      <c r="L214">
        <f>L201*103.29</f>
        <v>0</v>
      </c>
      <c r="M214">
        <f>M201*-105.37700000000001</f>
        <v>0</v>
      </c>
      <c r="N214">
        <f>E214+F214+G214+H214+I214+J214+K214+L214</f>
        <v>0</v>
      </c>
    </row>
    <row r="215" spans="3:14">
      <c r="C215">
        <f>12.0</f>
        <v>0</v>
      </c>
      <c r="D215">
        <f>12.0</f>
        <v>0</v>
      </c>
      <c r="E215">
        <f>E201*-6.395</f>
        <v>0</v>
      </c>
      <c r="F215">
        <f>F201*-24.82</f>
        <v>0</v>
      </c>
      <c r="G215">
        <f>G201*-3.338</f>
        <v>0</v>
      </c>
      <c r="H215">
        <f>H201*0.0</f>
        <v>0</v>
      </c>
      <c r="I215">
        <f>I201*-0.033</f>
        <v>0</v>
      </c>
      <c r="J215">
        <f>J201*-31.38</f>
        <v>0</v>
      </c>
      <c r="K215">
        <f>K201*23.535</f>
        <v>0</v>
      </c>
      <c r="L215">
        <f>L201*90.266</f>
        <v>0</v>
      </c>
      <c r="M215">
        <f>M201*-118.16799999999999</f>
        <v>0</v>
      </c>
      <c r="N215">
        <f>E215+F215+G215+H215+I215+J215+K215+L215</f>
        <v>0</v>
      </c>
    </row>
    <row r="216" spans="3:14">
      <c r="C216">
        <f>13.0</f>
        <v>0</v>
      </c>
      <c r="D216">
        <f>13.0</f>
        <v>0</v>
      </c>
      <c r="E216">
        <f>E201*-2.863</f>
        <v>0</v>
      </c>
      <c r="F216">
        <f>F201*-32.71</f>
        <v>0</v>
      </c>
      <c r="G216">
        <f>G201*-4.783</f>
        <v>0</v>
      </c>
      <c r="H216">
        <f>H201*0.0</f>
        <v>0</v>
      </c>
      <c r="I216">
        <f>I201*-0.035</f>
        <v>0</v>
      </c>
      <c r="J216">
        <f>J201*23.796</f>
        <v>0</v>
      </c>
      <c r="K216">
        <f>K201*-17.847</f>
        <v>0</v>
      </c>
      <c r="L216">
        <f>L201*94.56299999999999</f>
        <v>0</v>
      </c>
      <c r="M216">
        <f>M201*-136.257</f>
        <v>0</v>
      </c>
      <c r="N216">
        <f>E216+F216+G216+H216+I216+J216+K216+L216</f>
        <v>0</v>
      </c>
    </row>
    <row r="217" spans="3:14">
      <c r="C217">
        <f>14.0</f>
        <v>0</v>
      </c>
      <c r="D217">
        <f>14.0</f>
        <v>0</v>
      </c>
      <c r="E217">
        <f>E201*2.78</f>
        <v>0</v>
      </c>
      <c r="F217">
        <f>F201*-37.643</f>
        <v>0</v>
      </c>
      <c r="G217">
        <f>G201*-5.849</f>
        <v>0</v>
      </c>
      <c r="H217">
        <f>H201*0.0</f>
        <v>0</v>
      </c>
      <c r="I217">
        <f>I201*-0.04</f>
        <v>0</v>
      </c>
      <c r="J217">
        <f>J201*48.126999999999995</f>
        <v>0</v>
      </c>
      <c r="K217">
        <f>K201*-36.095</f>
        <v>0</v>
      </c>
      <c r="L217">
        <f>L201*104.022</f>
        <v>0</v>
      </c>
      <c r="M217">
        <f>M201*-161.661</f>
        <v>0</v>
      </c>
      <c r="N217">
        <f>E217+F217+G217+H217+I217+J217+K217+L217</f>
        <v>0</v>
      </c>
    </row>
    <row r="218" spans="3:14">
      <c r="C218">
        <f>15.0</f>
        <v>0</v>
      </c>
      <c r="D218">
        <f>15.0</f>
        <v>0</v>
      </c>
      <c r="E218">
        <f>E201*-16.875</f>
        <v>0</v>
      </c>
      <c r="F218">
        <f>F201*-45.528</f>
        <v>0</v>
      </c>
      <c r="G218">
        <f>G201*-6.166</f>
        <v>0</v>
      </c>
      <c r="H218">
        <f>H201*0.0</f>
        <v>0</v>
      </c>
      <c r="I218">
        <f>I201*-0.044000000000000004</f>
        <v>0</v>
      </c>
      <c r="J218">
        <f>J201*-68.321</f>
        <v>0</v>
      </c>
      <c r="K218">
        <f>K201*51.24</f>
        <v>0</v>
      </c>
      <c r="L218">
        <f>L201*118.456</f>
        <v>0</v>
      </c>
      <c r="M218">
        <f>M201*-179.55900000000003</f>
        <v>0</v>
      </c>
      <c r="N218">
        <f>E218+F218+G218+H218+I218+J218+K218+L218</f>
        <v>0</v>
      </c>
    </row>
    <row r="219" spans="3:14">
      <c r="C219">
        <f>15.91</f>
        <v>0</v>
      </c>
      <c r="D219">
        <f>15.91</f>
        <v>0</v>
      </c>
      <c r="E219">
        <f>E201*-14.724</f>
        <v>0</v>
      </c>
      <c r="F219">
        <f>F201*-44.145</f>
        <v>0</v>
      </c>
      <c r="G219">
        <f>G201*-5.459</f>
        <v>0</v>
      </c>
      <c r="H219">
        <f>H201*0.0</f>
        <v>0</v>
      </c>
      <c r="I219">
        <f>I201*-0.028999999999999998</f>
        <v>0</v>
      </c>
      <c r="J219">
        <f>J201*-58.849</f>
        <v>0</v>
      </c>
      <c r="K219">
        <f>K201*44.137</f>
        <v>0</v>
      </c>
      <c r="L219">
        <f>L201*107.17299999999999</f>
        <v>0</v>
      </c>
      <c r="M219">
        <f>M201*-140.47799999999998</f>
        <v>0</v>
      </c>
      <c r="N219">
        <f>E219+F219+G219+H219+I219+J219+K219+L219</f>
        <v>0</v>
      </c>
    </row>
    <row r="220" spans="3:14">
      <c r="C220">
        <f>16.82</f>
        <v>0</v>
      </c>
      <c r="D220">
        <f>16.82</f>
        <v>0</v>
      </c>
      <c r="E220">
        <f>E201*-10.089</f>
        <v>0</v>
      </c>
      <c r="F220">
        <f>F201*-37.830999999999996</f>
        <v>0</v>
      </c>
      <c r="G220">
        <f>G201*-4.928</f>
        <v>0</v>
      </c>
      <c r="H220">
        <f>H201*0.0</f>
        <v>0</v>
      </c>
      <c r="I220">
        <f>I201*-0.036000000000000004</f>
        <v>0</v>
      </c>
      <c r="J220">
        <f>J201*-16.898</f>
        <v>0</v>
      </c>
      <c r="K220">
        <f>K201*12.673</f>
        <v>0</v>
      </c>
      <c r="L220">
        <f>L201*97.258</f>
        <v>0</v>
      </c>
      <c r="M220">
        <f>M201*-138.832</f>
        <v>0</v>
      </c>
      <c r="N220">
        <f>E220+F220+G220+H220+I220+J220+K220+L220</f>
        <v>0</v>
      </c>
    </row>
    <row r="221" spans="3:14">
      <c r="C221">
        <f>17.73</f>
        <v>0</v>
      </c>
      <c r="D221">
        <f>17.73</f>
        <v>0</v>
      </c>
      <c r="E221">
        <f>E201*-5.063</f>
        <v>0</v>
      </c>
      <c r="F221">
        <f>F201*-24.566</f>
        <v>0</v>
      </c>
      <c r="G221">
        <f>G201*-3.384</f>
        <v>0</v>
      </c>
      <c r="H221">
        <f>H201*0.0</f>
        <v>0</v>
      </c>
      <c r="I221">
        <f>I201*-0.049</f>
        <v>0</v>
      </c>
      <c r="J221">
        <f>J201*102.141</f>
        <v>0</v>
      </c>
      <c r="K221">
        <f>K201*-76.60600000000001</f>
        <v>0</v>
      </c>
      <c r="L221">
        <f>L201*102.228</f>
        <v>0</v>
      </c>
      <c r="M221">
        <f>M201*-133.506</f>
        <v>0</v>
      </c>
      <c r="N221">
        <f>E221+F221+G221+H221+I221+J221+K221+L221</f>
        <v>0</v>
      </c>
    </row>
    <row r="222" spans="3:14">
      <c r="C222">
        <f>18.64</f>
        <v>0</v>
      </c>
      <c r="D222">
        <f>18.64</f>
        <v>0</v>
      </c>
      <c r="E222">
        <f>E201*4.132</f>
        <v>0</v>
      </c>
      <c r="F222">
        <f>F201*21.139</f>
        <v>0</v>
      </c>
      <c r="G222">
        <f>G201*2.478</f>
        <v>0</v>
      </c>
      <c r="H222">
        <f>H201*0.0</f>
        <v>0</v>
      </c>
      <c r="I222">
        <f>I201*-0.087</f>
        <v>0</v>
      </c>
      <c r="J222">
        <f>J201*205.085</f>
        <v>0</v>
      </c>
      <c r="K222">
        <f>K201*-153.814</f>
        <v>0</v>
      </c>
      <c r="L222">
        <f>L201*127.45299999999999</f>
        <v>0</v>
      </c>
      <c r="M222">
        <f>M201*-118.7</f>
        <v>0</v>
      </c>
      <c r="N222">
        <f>E222+F222+G222+H222+I222+J222+K222+L222</f>
        <v>0</v>
      </c>
    </row>
    <row r="223" spans="3:14">
      <c r="C223">
        <f>19.55</f>
        <v>0</v>
      </c>
      <c r="D223">
        <f>19.55</f>
        <v>0</v>
      </c>
      <c r="E223">
        <f>E201*7.176</f>
        <v>0</v>
      </c>
      <c r="F223">
        <f>F201*43.473</f>
        <v>0</v>
      </c>
      <c r="G223">
        <f>G201*5.414</f>
        <v>0</v>
      </c>
      <c r="H223">
        <f>H201*0.0</f>
        <v>0</v>
      </c>
      <c r="I223">
        <f>I201*-0.11699999999999999</f>
        <v>0</v>
      </c>
      <c r="J223">
        <f>J201*253.752</f>
        <v>0</v>
      </c>
      <c r="K223">
        <f>K201*-190.31400000000002</f>
        <v>0</v>
      </c>
      <c r="L223">
        <f>L201*146.137</f>
        <v>0</v>
      </c>
      <c r="M223">
        <f>M201*-115.986</f>
        <v>0</v>
      </c>
      <c r="N223">
        <f>E223+F223+G223+H223+I223+J223+K223+L223</f>
        <v>0</v>
      </c>
    </row>
    <row r="224" spans="3:14">
      <c r="C224">
        <f>20.0</f>
        <v>0</v>
      </c>
      <c r="D224">
        <f>20.0</f>
        <v>0</v>
      </c>
      <c r="E224">
        <f>E201*-1.2670000000000001</f>
        <v>0</v>
      </c>
      <c r="F224">
        <f>F201*-14.633</f>
        <v>0</v>
      </c>
      <c r="G224">
        <f>G201*-1.949</f>
        <v>0</v>
      </c>
      <c r="H224">
        <f>H201*0.0</f>
        <v>0</v>
      </c>
      <c r="I224">
        <f>I201*0.024</f>
        <v>0</v>
      </c>
      <c r="J224">
        <f>J201*-22.444000000000003</f>
        <v>0</v>
      </c>
      <c r="K224">
        <f>K201*16.833</f>
        <v>0</v>
      </c>
      <c r="L224">
        <f>L201*14.418</f>
        <v>0</v>
      </c>
      <c r="M224">
        <f>M201*-31.336</f>
        <v>0</v>
      </c>
      <c r="N224">
        <f>E224+F224+G224+H224+I224+J224+K224+L224</f>
        <v>0</v>
      </c>
    </row>
    <row r="225" spans="3:14">
      <c r="C225">
        <f>20.0</f>
        <v>0</v>
      </c>
      <c r="D225">
        <f>0.0</f>
        <v>0</v>
      </c>
      <c r="E225">
        <f>E201*1.287</f>
        <v>0</v>
      </c>
      <c r="F225">
        <f>F201*14.081</f>
        <v>0</v>
      </c>
      <c r="G225">
        <f>G201*1.869</f>
        <v>0</v>
      </c>
      <c r="H225">
        <f>H201*0.0</f>
        <v>0</v>
      </c>
      <c r="I225">
        <f>I201*0.0057009999999999995</f>
        <v>0</v>
      </c>
      <c r="J225">
        <f>J201*21.904</f>
        <v>0</v>
      </c>
      <c r="K225">
        <f>K201*-16.428</f>
        <v>0</v>
      </c>
      <c r="L225">
        <f>L201*32.74</f>
        <v>0</v>
      </c>
      <c r="M225">
        <f>M201*-15.93</f>
        <v>0</v>
      </c>
      <c r="N225">
        <f>E225+F225+G225+H225+I225+J225+K225+L225</f>
        <v>0</v>
      </c>
    </row>
    <row r="226" spans="3:14">
      <c r="C226">
        <f>20.45</f>
        <v>0</v>
      </c>
      <c r="D226">
        <f>0.45</f>
        <v>0</v>
      </c>
      <c r="E226">
        <f>E201*-7.471</f>
        <v>0</v>
      </c>
      <c r="F226">
        <f>F201*-50.56399999999999</f>
        <v>0</v>
      </c>
      <c r="G226">
        <f>G201*-6.41</f>
        <v>0</v>
      </c>
      <c r="H226">
        <f>H201*0.0</f>
        <v>0</v>
      </c>
      <c r="I226">
        <f>I201*-2.016</f>
        <v>0</v>
      </c>
      <c r="J226">
        <f>J201*-253.362</f>
        <v>0</v>
      </c>
      <c r="K226">
        <f>K201*190.02200000000002</f>
        <v>0</v>
      </c>
      <c r="L226">
        <f>L201*36.013000000000005</f>
        <v>0</v>
      </c>
      <c r="M226">
        <f>M201*-76.956</f>
        <v>0</v>
      </c>
      <c r="N226">
        <f>E226+F226+G226+H226+I226+J226+K226+L226</f>
        <v>0</v>
      </c>
    </row>
    <row r="227" spans="3:14">
      <c r="C227">
        <f>21.36</f>
        <v>0</v>
      </c>
      <c r="D227">
        <f>1.36</f>
        <v>0</v>
      </c>
      <c r="E227">
        <f>E201*-4.476</f>
        <v>0</v>
      </c>
      <c r="F227">
        <f>F201*-28.785</f>
        <v>0</v>
      </c>
      <c r="G227">
        <f>G201*-3.55</f>
        <v>0</v>
      </c>
      <c r="H227">
        <f>H201*0.0</f>
        <v>0</v>
      </c>
      <c r="I227">
        <f>I201*-1.93</f>
        <v>0</v>
      </c>
      <c r="J227">
        <f>J201*-204.447</f>
        <v>0</v>
      </c>
      <c r="K227">
        <f>K201*153.335</f>
        <v>0</v>
      </c>
      <c r="L227">
        <f>L201*25.787</f>
        <v>0</v>
      </c>
      <c r="M227">
        <f>M201*-46.092</f>
        <v>0</v>
      </c>
      <c r="N227">
        <f>E227+F227+G227+H227+I227+J227+K227+L227</f>
        <v>0</v>
      </c>
    </row>
    <row r="228" spans="3:14">
      <c r="C228">
        <f>22.27</f>
        <v>0</v>
      </c>
      <c r="D228">
        <f>2.27</f>
        <v>0</v>
      </c>
      <c r="E228">
        <f>E201*4.511</f>
        <v>0</v>
      </c>
      <c r="F228">
        <f>F201*16.102</f>
        <v>0</v>
      </c>
      <c r="G228">
        <f>G201*2.208</f>
        <v>0</v>
      </c>
      <c r="H228">
        <f>H201*0.0</f>
        <v>0</v>
      </c>
      <c r="I228">
        <f>I201*-1.9580000000000002</f>
        <v>0</v>
      </c>
      <c r="J228">
        <f>J201*-100.111</f>
        <v>0</v>
      </c>
      <c r="K228">
        <f>K201*75.083</f>
        <v>0</v>
      </c>
      <c r="L228">
        <f>L201*46.543</f>
        <v>0</v>
      </c>
      <c r="M228">
        <f>M201*-21.254</f>
        <v>0</v>
      </c>
      <c r="N228">
        <f>E228+F228+G228+H228+I228+J228+K228+L228</f>
        <v>0</v>
      </c>
    </row>
    <row r="229" spans="3:14">
      <c r="C229">
        <f>23.18</f>
        <v>0</v>
      </c>
      <c r="D229">
        <f>3.18</f>
        <v>0</v>
      </c>
      <c r="E229">
        <f>E201*9.432</f>
        <v>0</v>
      </c>
      <c r="F229">
        <f>F201*28.877</f>
        <v>0</v>
      </c>
      <c r="G229">
        <f>G201*3.69</f>
        <v>0</v>
      </c>
      <c r="H229">
        <f>H201*0.0</f>
        <v>0</v>
      </c>
      <c r="I229">
        <f>I201*-2.2680000000000002</f>
        <v>0</v>
      </c>
      <c r="J229">
        <f>J201*20.444000000000003</f>
        <v>0</v>
      </c>
      <c r="K229">
        <f>K201*-15.333</f>
        <v>0</v>
      </c>
      <c r="L229">
        <f>L201*53.422</f>
        <v>0</v>
      </c>
      <c r="M229">
        <f>M201*-24.103</f>
        <v>0</v>
      </c>
      <c r="N229">
        <f>E229+F229+G229+H229+I229+J229+K229+L229</f>
        <v>0</v>
      </c>
    </row>
    <row r="230" spans="3:14">
      <c r="C230">
        <f>24.09</f>
        <v>0</v>
      </c>
      <c r="D230">
        <f>4.09</f>
        <v>0</v>
      </c>
      <c r="E230">
        <f>E201*13.95</f>
        <v>0</v>
      </c>
      <c r="F230">
        <f>F201*35.162</f>
        <v>0</v>
      </c>
      <c r="G230">
        <f>G201*4.225</f>
        <v>0</v>
      </c>
      <c r="H230">
        <f>H201*0.0</f>
        <v>0</v>
      </c>
      <c r="I230">
        <f>I201*-2.681</f>
        <v>0</v>
      </c>
      <c r="J230">
        <f>J201*63.82899999999999</f>
        <v>0</v>
      </c>
      <c r="K230">
        <f>K201*-47.872</f>
        <v>0</v>
      </c>
      <c r="L230">
        <f>L201*63.967</f>
        <v>0</v>
      </c>
      <c r="M230">
        <f>M201*-43.696999999999996</f>
        <v>0</v>
      </c>
      <c r="N230">
        <f>E230+F230+G230+H230+I230+J230+K230+L230</f>
        <v>0</v>
      </c>
    </row>
    <row r="231" spans="3:14">
      <c r="C231">
        <f>25.0</f>
        <v>0</v>
      </c>
      <c r="D231">
        <f>5.0</f>
        <v>0</v>
      </c>
      <c r="E231">
        <f>E201*16.039</f>
        <v>0</v>
      </c>
      <c r="F231">
        <f>F201*36.689</f>
        <v>0</v>
      </c>
      <c r="G231">
        <f>G201*4.555</f>
        <v>0</v>
      </c>
      <c r="H231">
        <f>H201*0.0</f>
        <v>0</v>
      </c>
      <c r="I231">
        <f>I201*-2.9139999999999997</f>
        <v>0</v>
      </c>
      <c r="J231">
        <f>J201*74.15</f>
        <v>0</v>
      </c>
      <c r="K231">
        <f>K201*-55.613</f>
        <v>0</v>
      </c>
      <c r="L231">
        <f>L201*97.90100000000001</f>
        <v>0</v>
      </c>
      <c r="M231">
        <f>M201*-65.068</f>
        <v>0</v>
      </c>
      <c r="N231">
        <f>E231+F231+G231+H231+I231+J231+K231+L231</f>
        <v>0</v>
      </c>
    </row>
    <row r="232" spans="3:14">
      <c r="C232">
        <f>26.0</f>
        <v>0</v>
      </c>
      <c r="D232">
        <f>6.0</f>
        <v>0</v>
      </c>
      <c r="E232">
        <f>E201*-3.195</f>
        <v>0</v>
      </c>
      <c r="F232">
        <f>F201*26.454</f>
        <v>0</v>
      </c>
      <c r="G232">
        <f>G201*4.276</f>
        <v>0</v>
      </c>
      <c r="H232">
        <f>H201*0.0</f>
        <v>0</v>
      </c>
      <c r="I232">
        <f>I201*-2.9619999999999997</f>
        <v>0</v>
      </c>
      <c r="J232">
        <f>J201*-48.888000000000005</f>
        <v>0</v>
      </c>
      <c r="K232">
        <f>K201*36.666</f>
        <v>0</v>
      </c>
      <c r="L232">
        <f>L201*75.53</f>
        <v>0</v>
      </c>
      <c r="M232">
        <f>M201*-25.451</f>
        <v>0</v>
      </c>
      <c r="N232">
        <f>E232+F232+G232+H232+I232+J232+K232+L232</f>
        <v>0</v>
      </c>
    </row>
    <row r="233" spans="3:14">
      <c r="C233">
        <f>27.0</f>
        <v>0</v>
      </c>
      <c r="D233">
        <f>7.0</f>
        <v>0</v>
      </c>
      <c r="E233">
        <f>E201*2.498</f>
        <v>0</v>
      </c>
      <c r="F233">
        <f>F201*21.853</f>
        <v>0</v>
      </c>
      <c r="G233">
        <f>G201*3.258</f>
        <v>0</v>
      </c>
      <c r="H233">
        <f>H201*0.0</f>
        <v>0</v>
      </c>
      <c r="I233">
        <f>I201*-3.4760000000000004</f>
        <v>0</v>
      </c>
      <c r="J233">
        <f>J201*-24.392</f>
        <v>0</v>
      </c>
      <c r="K233">
        <f>K201*18.294</f>
        <v>0</v>
      </c>
      <c r="L233">
        <f>L201*45.388999999999996</f>
        <v>0</v>
      </c>
      <c r="M233">
        <f>M201*-14.038</f>
        <v>0</v>
      </c>
      <c r="N233">
        <f>E233+F233+G233+H233+I233+J233+K233+L233</f>
        <v>0</v>
      </c>
    </row>
    <row r="234" spans="3:14">
      <c r="C234">
        <f>28.0</f>
        <v>0</v>
      </c>
      <c r="D234">
        <f>8.0</f>
        <v>0</v>
      </c>
      <c r="E234">
        <f>E201*6.236000000000001</f>
        <v>0</v>
      </c>
      <c r="F234">
        <f>F201*14.105</f>
        <v>0</v>
      </c>
      <c r="G234">
        <f>G201*1.8259999999999998</f>
        <v>0</v>
      </c>
      <c r="H234">
        <f>H201*0.0</f>
        <v>0</v>
      </c>
      <c r="I234">
        <f>I201*-4.013</f>
        <v>0</v>
      </c>
      <c r="J234">
        <f>J201*27.618000000000002</f>
        <v>0</v>
      </c>
      <c r="K234">
        <f>K201*-20.714000000000002</f>
        <v>0</v>
      </c>
      <c r="L234">
        <f>L201*36.155</f>
        <v>0</v>
      </c>
      <c r="M234">
        <f>M201*-28.855999999999998</f>
        <v>0</v>
      </c>
      <c r="N234">
        <f>E234+F234+G234+H234+I234+J234+K234+L234</f>
        <v>0</v>
      </c>
    </row>
    <row r="235" spans="3:14">
      <c r="C235">
        <f>29.0</f>
        <v>0</v>
      </c>
      <c r="D235">
        <f>9.0</f>
        <v>0</v>
      </c>
      <c r="E235">
        <f>E201*10.408</f>
        <v>0</v>
      </c>
      <c r="F235">
        <f>F201*4.118</f>
        <v>0</v>
      </c>
      <c r="G235">
        <f>G201*-1.01</f>
        <v>0</v>
      </c>
      <c r="H235">
        <f>H201*0.0</f>
        <v>0</v>
      </c>
      <c r="I235">
        <f>I201*-4.575</f>
        <v>0</v>
      </c>
      <c r="J235">
        <f>J201*38.451</f>
        <v>0</v>
      </c>
      <c r="K235">
        <f>K201*-28.838</f>
        <v>0</v>
      </c>
      <c r="L235">
        <f>L201*48.152</f>
        <v>0</v>
      </c>
      <c r="M235">
        <f>M201*-64.91</f>
        <v>0</v>
      </c>
      <c r="N235">
        <f>E235+F235+G235+H235+I235+J235+K235+L235</f>
        <v>0</v>
      </c>
    </row>
    <row r="236" spans="3:14">
      <c r="C236">
        <f>30.0</f>
        <v>0</v>
      </c>
      <c r="D236">
        <f>10.0</f>
        <v>0</v>
      </c>
      <c r="E236">
        <f>E201*12.767999999999999</f>
        <v>0</v>
      </c>
      <c r="F236">
        <f>F201*9.201</f>
        <v>0</v>
      </c>
      <c r="G236">
        <f>G201*2.2430000000000003</f>
        <v>0</v>
      </c>
      <c r="H236">
        <f>H201*0.0</f>
        <v>0</v>
      </c>
      <c r="I236">
        <f>I201*-4.9510000000000005</f>
        <v>0</v>
      </c>
      <c r="J236">
        <f>J201*-38.076</f>
        <v>0</v>
      </c>
      <c r="K236">
        <f>K201*28.557</f>
        <v>0</v>
      </c>
      <c r="L236">
        <f>L201*83.102</f>
        <v>0</v>
      </c>
      <c r="M236">
        <f>M201*-91.10700000000001</f>
        <v>0</v>
      </c>
      <c r="N236">
        <f>E236+F236+G236+H236+I236+J236+K236+L236</f>
        <v>0</v>
      </c>
    </row>
    <row r="237" spans="3:14">
      <c r="C237">
        <f>31.0</f>
        <v>0</v>
      </c>
      <c r="D237">
        <f>11.0</f>
        <v>0</v>
      </c>
      <c r="E237">
        <f>E201*-9.781</f>
        <v>0</v>
      </c>
      <c r="F237">
        <f>F201*-3.8710000000000004</f>
        <v>0</v>
      </c>
      <c r="G237">
        <f>G201*1.055</f>
        <v>0</v>
      </c>
      <c r="H237">
        <f>H201*0.0</f>
        <v>0</v>
      </c>
      <c r="I237">
        <f>I201*-5.084</f>
        <v>0</v>
      </c>
      <c r="J237">
        <f>J201*-43.74</f>
        <v>0</v>
      </c>
      <c r="K237">
        <f>K201*32.805</f>
        <v>0</v>
      </c>
      <c r="L237">
        <f>L201*57.556999999999995</f>
        <v>0</v>
      </c>
      <c r="M237">
        <f>M201*-43.402</f>
        <v>0</v>
      </c>
      <c r="N237">
        <f>E237+F237+G237+H237+I237+J237+K237+L237</f>
        <v>0</v>
      </c>
    </row>
    <row r="238" spans="3:14">
      <c r="C238">
        <f>32.0</f>
        <v>0</v>
      </c>
      <c r="D238">
        <f>12.0</f>
        <v>0</v>
      </c>
      <c r="E238">
        <f>E201*-5.596</f>
        <v>0</v>
      </c>
      <c r="F238">
        <f>F201*-14.722000000000001</f>
        <v>0</v>
      </c>
      <c r="G238">
        <f>G201*-1.943</f>
        <v>0</v>
      </c>
      <c r="H238">
        <f>H201*0.0</f>
        <v>0</v>
      </c>
      <c r="I238">
        <f>I201*-4.934</f>
        <v>0</v>
      </c>
      <c r="J238">
        <f>J201*-33.593</f>
        <v>0</v>
      </c>
      <c r="K238">
        <f>K201*25.195</f>
        <v>0</v>
      </c>
      <c r="L238">
        <f>L201*23.753</f>
        <v>0</v>
      </c>
      <c r="M238">
        <f>M201*-42.62</f>
        <v>0</v>
      </c>
      <c r="N238">
        <f>E238+F238+G238+H238+I238+J238+K238+L238</f>
        <v>0</v>
      </c>
    </row>
    <row r="239" spans="3:14">
      <c r="C239">
        <f>33.0</f>
        <v>0</v>
      </c>
      <c r="D239">
        <f>13.0</f>
        <v>0</v>
      </c>
      <c r="E239">
        <f>E201*-1.839</f>
        <v>0</v>
      </c>
      <c r="F239">
        <f>F201*-23.814</f>
        <v>0</v>
      </c>
      <c r="G239">
        <f>G201*-3.573</f>
        <v>0</v>
      </c>
      <c r="H239">
        <f>H201*0.0</f>
        <v>0</v>
      </c>
      <c r="I239">
        <f>I201*-4.124</f>
        <v>0</v>
      </c>
      <c r="J239">
        <f>J201*16.461</f>
        <v>0</v>
      </c>
      <c r="K239">
        <f>K201*-12.345999999999998</f>
        <v>0</v>
      </c>
      <c r="L239">
        <f>L201*23.197</f>
        <v>0</v>
      </c>
      <c r="M239">
        <f>M201*-60.278999999999996</f>
        <v>0</v>
      </c>
      <c r="N239">
        <f>E239+F239+G239+H239+I239+J239+K239+L239</f>
        <v>0</v>
      </c>
    </row>
    <row r="240" spans="3:14">
      <c r="C240">
        <f>34.0</f>
        <v>0</v>
      </c>
      <c r="D240">
        <f>14.0</f>
        <v>0</v>
      </c>
      <c r="E240">
        <f>E201*3.863</f>
        <v>0</v>
      </c>
      <c r="F240">
        <f>F201*-30.737</f>
        <v>0</v>
      </c>
      <c r="G240">
        <f>G201*-4.931</f>
        <v>0</v>
      </c>
      <c r="H240">
        <f>H201*0.0</f>
        <v>0</v>
      </c>
      <c r="I240">
        <f>I201*-2.051</f>
        <v>0</v>
      </c>
      <c r="J240">
        <f>J201*38.778</f>
        <v>0</v>
      </c>
      <c r="K240">
        <f>K201*-29.084</f>
        <v>0</v>
      </c>
      <c r="L240">
        <f>L201*37.900999999999996</f>
        <v>0</v>
      </c>
      <c r="M240">
        <f>M201*-86.963</f>
        <v>0</v>
      </c>
      <c r="N240">
        <f>E240+F240+G240+H240+I240+J240+K240+L240</f>
        <v>0</v>
      </c>
    </row>
    <row r="241" spans="3:14">
      <c r="C241">
        <f>35.0</f>
        <v>0</v>
      </c>
      <c r="D241">
        <f>15.0</f>
        <v>0</v>
      </c>
      <c r="E241">
        <f>E201*-15.329</f>
        <v>0</v>
      </c>
      <c r="F241">
        <f>F201*-33.419000000000004</f>
        <v>0</v>
      </c>
      <c r="G241">
        <f>G201*-5.4510000000000005</f>
        <v>0</v>
      </c>
      <c r="H241">
        <f>H201*0.0</f>
        <v>0</v>
      </c>
      <c r="I241">
        <f>I201*-13.299000000000001</f>
        <v>0</v>
      </c>
      <c r="J241">
        <f>J201*-77.593</f>
        <v>0</v>
      </c>
      <c r="K241">
        <f>K201*58.193999999999996</f>
        <v>0</v>
      </c>
      <c r="L241">
        <f>L201*67.116</f>
        <v>0</v>
      </c>
      <c r="M241">
        <f>M201*-108.689</f>
        <v>0</v>
      </c>
      <c r="N241">
        <f>E241+F241+G241+H241+I241+J241+K241+L241</f>
        <v>0</v>
      </c>
    </row>
    <row r="242" spans="3:14">
      <c r="C242">
        <f>35.91</f>
        <v>0</v>
      </c>
      <c r="D242">
        <f>15.91</f>
        <v>0</v>
      </c>
      <c r="E242">
        <f>E201*-13.285</f>
        <v>0</v>
      </c>
      <c r="F242">
        <f>F201*-33.599000000000004</f>
        <v>0</v>
      </c>
      <c r="G242">
        <f>G201*-4.111000000000001</f>
        <v>0</v>
      </c>
      <c r="H242">
        <f>H201*0.0</f>
        <v>0</v>
      </c>
      <c r="I242">
        <f>I201*-10.193999999999999</f>
        <v>0</v>
      </c>
      <c r="J242">
        <f>J201*-68.45100000000001</f>
        <v>0</v>
      </c>
      <c r="K242">
        <f>K201*51.338</f>
        <v>0</v>
      </c>
      <c r="L242">
        <f>L201*41.916000000000004</f>
        <v>0</v>
      </c>
      <c r="M242">
        <f>M201*-72.393</f>
        <v>0</v>
      </c>
      <c r="N242">
        <f>E242+F242+G242+H242+I242+J242+K242+L242</f>
        <v>0</v>
      </c>
    </row>
    <row r="243" spans="3:14">
      <c r="C243">
        <f>36.82</f>
        <v>0</v>
      </c>
      <c r="D243">
        <f>16.82</f>
        <v>0</v>
      </c>
      <c r="E243">
        <f>E201*-8.915</f>
        <v>0</v>
      </c>
      <c r="F243">
        <f>F201*-30.546999999999997</f>
        <v>0</v>
      </c>
      <c r="G243">
        <f>G201*-3.955</f>
        <v>0</v>
      </c>
      <c r="H243">
        <f>H201*0.0</f>
        <v>0</v>
      </c>
      <c r="I243">
        <f>I201*-4.141</f>
        <v>0</v>
      </c>
      <c r="J243">
        <f>J201*-26.732</f>
        <v>0</v>
      </c>
      <c r="K243">
        <f>K201*20.049</f>
        <v>0</v>
      </c>
      <c r="L243">
        <f>L201*25.968000000000004</f>
        <v>0</v>
      </c>
      <c r="M243">
        <f>M201*-65.523</f>
        <v>0</v>
      </c>
      <c r="N243">
        <f>E243+F243+G243+H243+I243+J243+K243+L243</f>
        <v>0</v>
      </c>
    </row>
    <row r="244" spans="3:14">
      <c r="C244">
        <f>37.73</f>
        <v>0</v>
      </c>
      <c r="D244">
        <f>17.73</f>
        <v>0</v>
      </c>
      <c r="E244">
        <f>E201*-4.247</f>
        <v>0</v>
      </c>
      <c r="F244">
        <f>F201*-21.086</f>
        <v>0</v>
      </c>
      <c r="G244">
        <f>G201*-2.95</f>
        <v>0</v>
      </c>
      <c r="H244">
        <f>H201*0.0</f>
        <v>0</v>
      </c>
      <c r="I244">
        <f>I201*9.203</f>
        <v>0</v>
      </c>
      <c r="J244">
        <f>J201*92.742</f>
        <v>0</v>
      </c>
      <c r="K244">
        <f>K201*-69.557</f>
        <v>0</v>
      </c>
      <c r="L244">
        <f>L201*31.413</f>
        <v>0</v>
      </c>
      <c r="M244">
        <f>M201*-59.99</f>
        <v>0</v>
      </c>
      <c r="N244">
        <f>E244+F244+G244+H244+I244+J244+K244+L244</f>
        <v>0</v>
      </c>
    </row>
    <row r="245" spans="3:14">
      <c r="C245">
        <f>38.64</f>
        <v>0</v>
      </c>
      <c r="D245">
        <f>18.64</f>
        <v>0</v>
      </c>
      <c r="E245">
        <f>E201*4.031000000000001</f>
        <v>0</v>
      </c>
      <c r="F245">
        <f>F201*15.286</f>
        <v>0</v>
      </c>
      <c r="G245">
        <f>G201*1.585</f>
        <v>0</v>
      </c>
      <c r="H245">
        <f>H201*0.0</f>
        <v>0</v>
      </c>
      <c r="I245">
        <f>I201*30.91</f>
        <v>0</v>
      </c>
      <c r="J245">
        <f>J201*195.84900000000002</f>
        <v>0</v>
      </c>
      <c r="K245">
        <f>K201*-146.887</f>
        <v>0</v>
      </c>
      <c r="L245">
        <f>L201*53.355</f>
        <v>0</v>
      </c>
      <c r="M245">
        <f>M201*-43.233000000000004</f>
        <v>0</v>
      </c>
      <c r="N245">
        <f>E245+F245+G245+H245+I245+J245+K245+L245</f>
        <v>0</v>
      </c>
    </row>
    <row r="246" spans="3:14">
      <c r="C246">
        <f>39.55</f>
        <v>0</v>
      </c>
      <c r="D246">
        <f>19.55</f>
        <v>0</v>
      </c>
      <c r="E246">
        <f>E201*6.65</f>
        <v>0</v>
      </c>
      <c r="F246">
        <f>F201*33.336999999999996</f>
        <v>0</v>
      </c>
      <c r="G246">
        <f>G201*3.912</f>
        <v>0</v>
      </c>
      <c r="H246">
        <f>H201*0.0</f>
        <v>0</v>
      </c>
      <c r="I246">
        <f>I201*46.702</f>
        <v>0</v>
      </c>
      <c r="J246">
        <f>J201*244.641</f>
        <v>0</v>
      </c>
      <c r="K246">
        <f>K201*-183.481</f>
        <v>0</v>
      </c>
      <c r="L246">
        <f>L201*75.964</f>
        <v>0</v>
      </c>
      <c r="M246">
        <f>M201*-35.2</f>
        <v>0</v>
      </c>
      <c r="N246">
        <f>E246+F246+G246+H246+I246+J246+K246+L246</f>
        <v>0</v>
      </c>
    </row>
    <row r="247" spans="3:14">
      <c r="C247">
        <f>40.0</f>
        <v>0</v>
      </c>
      <c r="D247">
        <f>20.0</f>
        <v>0</v>
      </c>
      <c r="E247">
        <f>E201*-0.9890000000000001</f>
        <v>0</v>
      </c>
      <c r="F247">
        <f>F201*-11.755999999999998</f>
        <v>0</v>
      </c>
      <c r="G247">
        <f>G201*-1.5390000000000001</f>
        <v>0</v>
      </c>
      <c r="H247">
        <f>H201*0.0</f>
        <v>0</v>
      </c>
      <c r="I247">
        <f>I201*-12.252</f>
        <v>0</v>
      </c>
      <c r="J247">
        <f>J201*-22.374000000000002</f>
        <v>0</v>
      </c>
      <c r="K247">
        <f>K201*16.781</f>
        <v>0</v>
      </c>
      <c r="L247">
        <f>L201*17.893</f>
        <v>0</v>
      </c>
      <c r="M247">
        <f>M201*-34.188</f>
        <v>0</v>
      </c>
      <c r="N247">
        <f>E247+F247+G247+H247+I247+J247+K247+L247</f>
        <v>0</v>
      </c>
    </row>
    <row r="248" spans="3:14">
      <c r="C248">
        <f>40.0</f>
        <v>0</v>
      </c>
      <c r="D248">
        <f>0.0</f>
        <v>0</v>
      </c>
      <c r="E248">
        <f>E201*0.965</f>
        <v>0</v>
      </c>
      <c r="F248">
        <f>F201*9.417</f>
        <v>0</v>
      </c>
      <c r="G248">
        <f>G201*1.186</f>
        <v>0</v>
      </c>
      <c r="H248">
        <f>H201*0.0</f>
        <v>0</v>
      </c>
      <c r="I248">
        <f>I201*28.14</f>
        <v>0</v>
      </c>
      <c r="J248">
        <f>J201*15.585</f>
        <v>0</v>
      </c>
      <c r="K248">
        <f>K201*-11.689</f>
        <v>0</v>
      </c>
      <c r="L248">
        <f>L201*25.627</f>
        <v>0</v>
      </c>
      <c r="M248">
        <f>M201*-13.335</f>
        <v>0</v>
      </c>
      <c r="N248">
        <f>E248+F248+G248+H248+I248+J248+K248+L248</f>
        <v>0</v>
      </c>
    </row>
    <row r="249" spans="3:14">
      <c r="C249">
        <f>40.45</f>
        <v>0</v>
      </c>
      <c r="D249">
        <f>0.45</f>
        <v>0</v>
      </c>
      <c r="E249">
        <f>E201*-6.222</f>
        <v>0</v>
      </c>
      <c r="F249">
        <f>F201*-43.656000000000006</f>
        <v>0</v>
      </c>
      <c r="G249">
        <f>G201*-5.496</f>
        <v>0</v>
      </c>
      <c r="H249">
        <f>H201*0.0</f>
        <v>0</v>
      </c>
      <c r="I249">
        <f>I201*28.14</f>
        <v>0</v>
      </c>
      <c r="J249">
        <f>J201*-277.532</f>
        <v>0</v>
      </c>
      <c r="K249">
        <f>K201*208.149</f>
        <v>0</v>
      </c>
      <c r="L249">
        <f>L201*27.274</f>
        <v>0</v>
      </c>
      <c r="M249">
        <f>M201*-72.03</f>
        <v>0</v>
      </c>
      <c r="N249">
        <f>E249+F249+G249+H249+I249+J249+K249+L249</f>
        <v>0</v>
      </c>
    </row>
    <row r="250" spans="3:14">
      <c r="C250">
        <f>41.36</f>
        <v>0</v>
      </c>
      <c r="D250">
        <f>1.36</f>
        <v>0</v>
      </c>
      <c r="E250">
        <f>E201*-3.782</f>
        <v>0</v>
      </c>
      <c r="F250">
        <f>F201*-30.197</f>
        <v>0</v>
      </c>
      <c r="G250">
        <f>G201*-3.852</f>
        <v>0</v>
      </c>
      <c r="H250">
        <f>H201*0.0</f>
        <v>0</v>
      </c>
      <c r="I250">
        <f>I201*26.209</f>
        <v>0</v>
      </c>
      <c r="J250">
        <f>J201*-237.93400000000003</f>
        <v>0</v>
      </c>
      <c r="K250">
        <f>K201*178.451</f>
        <v>0</v>
      </c>
      <c r="L250">
        <f>L201*19.17</f>
        <v>0</v>
      </c>
      <c r="M250">
        <f>M201*-45.501999999999995</f>
        <v>0</v>
      </c>
      <c r="N250">
        <f>E250+F250+G250+H250+I250+J250+K250+L250</f>
        <v>0</v>
      </c>
    </row>
    <row r="251" spans="3:14">
      <c r="C251">
        <f>42.27</f>
        <v>0</v>
      </c>
      <c r="D251">
        <f>2.27</f>
        <v>0</v>
      </c>
      <c r="E251">
        <f>E201*3.049</f>
        <v>0</v>
      </c>
      <c r="F251">
        <f>F201*-9.626</f>
        <v>0</v>
      </c>
      <c r="G251">
        <f>G201*-1.3980000000000001</f>
        <v>0</v>
      </c>
      <c r="H251">
        <f>H201*0.0</f>
        <v>0</v>
      </c>
      <c r="I251">
        <f>I201*50.02</f>
        <v>0</v>
      </c>
      <c r="J251">
        <f>J201*-142.644</f>
        <v>0</v>
      </c>
      <c r="K251">
        <f>K201*106.98299999999999</f>
        <v>0</v>
      </c>
      <c r="L251">
        <f>L201*24.796</f>
        <v>0</v>
      </c>
      <c r="M251">
        <f>M201*-28.148000000000003</f>
        <v>0</v>
      </c>
      <c r="N251">
        <f>E251+F251+G251+H251+I251+J251+K251+L251</f>
        <v>0</v>
      </c>
    </row>
    <row r="252" spans="3:14">
      <c r="C252">
        <f>43.18</f>
        <v>0</v>
      </c>
      <c r="D252">
        <f>3.18</f>
        <v>0</v>
      </c>
      <c r="E252">
        <f>E201*6.296</f>
        <v>0</v>
      </c>
      <c r="F252">
        <f>F201*3.2689999999999997</f>
        <v>0</v>
      </c>
      <c r="G252">
        <f>G201*-0.337</f>
        <v>0</v>
      </c>
      <c r="H252">
        <f>H201*0.0</f>
        <v>0</v>
      </c>
      <c r="I252">
        <f>I201*58.843</f>
        <v>0</v>
      </c>
      <c r="J252">
        <f>J201*-53.784</f>
        <v>0</v>
      </c>
      <c r="K252">
        <f>K201*40.338</f>
        <v>0</v>
      </c>
      <c r="L252">
        <f>L201*27.323</f>
        <v>0</v>
      </c>
      <c r="M252">
        <f>M201*-33.803000000000004</f>
        <v>0</v>
      </c>
      <c r="N252">
        <f>E252+F252+G252+H252+I252+J252+K252+L252</f>
        <v>0</v>
      </c>
    </row>
    <row r="253" spans="3:14">
      <c r="C253">
        <f>44.09</f>
        <v>0</v>
      </c>
      <c r="D253">
        <f>4.09</f>
        <v>0</v>
      </c>
      <c r="E253">
        <f>E201*8.597000000000001</f>
        <v>0</v>
      </c>
      <c r="F253">
        <f>F201*7.712999999999999</f>
        <v>0</v>
      </c>
      <c r="G253">
        <f>G201*0.37799999999999995</f>
        <v>0</v>
      </c>
      <c r="H253">
        <f>H201*0.0</f>
        <v>0</v>
      </c>
      <c r="I253">
        <f>I201*69.819</f>
        <v>0</v>
      </c>
      <c r="J253">
        <f>J201*49.035</f>
        <v>0</v>
      </c>
      <c r="K253">
        <f>K201*-36.775999999999996</f>
        <v>0</v>
      </c>
      <c r="L253">
        <f>L201*39.939</f>
        <v>0</v>
      </c>
      <c r="M253">
        <f>M201*-53.208</f>
        <v>0</v>
      </c>
      <c r="N253">
        <f>E253+F253+G253+H253+I253+J253+K253+L253</f>
        <v>0</v>
      </c>
    </row>
    <row r="254" spans="3:14">
      <c r="C254">
        <f>45.0</f>
        <v>0</v>
      </c>
      <c r="D254">
        <f>5.0</f>
        <v>0</v>
      </c>
      <c r="E254">
        <f>E201*9.346</f>
        <v>0</v>
      </c>
      <c r="F254">
        <f>F201*9.601</f>
        <v>0</v>
      </c>
      <c r="G254">
        <f>G201*0.545</f>
        <v>0</v>
      </c>
      <c r="H254">
        <f>H201*0.0</f>
        <v>0</v>
      </c>
      <c r="I254">
        <f>I201*77.945</f>
        <v>0</v>
      </c>
      <c r="J254">
        <f>J201*-148.32399999999998</f>
        <v>0</v>
      </c>
      <c r="K254">
        <f>K201*111.243</f>
        <v>0</v>
      </c>
      <c r="L254">
        <f>L201*68.054</f>
        <v>0</v>
      </c>
      <c r="M254">
        <f>M201*-69.34</f>
        <v>0</v>
      </c>
      <c r="N254">
        <f>E254+F254+G254+H254+I254+J254+K254+L254</f>
        <v>0</v>
      </c>
    </row>
    <row r="255" spans="3:14">
      <c r="C255">
        <f>46.0</f>
        <v>0</v>
      </c>
      <c r="D255">
        <f>6.0</f>
        <v>0</v>
      </c>
      <c r="E255">
        <f>E201*-4.632</f>
        <v>0</v>
      </c>
      <c r="F255">
        <f>F201*2.224</f>
        <v>0</v>
      </c>
      <c r="G255">
        <f>G201*0.589</f>
        <v>0</v>
      </c>
      <c r="H255">
        <f>H201*0.0</f>
        <v>0</v>
      </c>
      <c r="I255">
        <f>I201*-55.976000000000006</f>
        <v>0</v>
      </c>
      <c r="J255">
        <f>J201*-115.71799999999999</f>
        <v>0</v>
      </c>
      <c r="K255">
        <f>K201*86.788</f>
        <v>0</v>
      </c>
      <c r="L255">
        <f>L201*49.855</f>
        <v>0</v>
      </c>
      <c r="M255">
        <f>M201*-32.666</f>
        <v>0</v>
      </c>
      <c r="N255">
        <f>E255+F255+G255+H255+I255+J255+K255+L255</f>
        <v>0</v>
      </c>
    </row>
    <row r="256" spans="3:14">
      <c r="C256">
        <f>47.0</f>
        <v>0</v>
      </c>
      <c r="D256">
        <f>7.0</f>
        <v>0</v>
      </c>
      <c r="E256">
        <f>E201*-3.202</f>
        <v>0</v>
      </c>
      <c r="F256">
        <f>F201*2.2230000000000003</f>
        <v>0</v>
      </c>
      <c r="G256">
        <f>G201*0.526</f>
        <v>0</v>
      </c>
      <c r="H256">
        <f>H201*0.0</f>
        <v>0</v>
      </c>
      <c r="I256">
        <f>I201*-51.167</f>
        <v>0</v>
      </c>
      <c r="J256">
        <f>J201*-29.969</f>
        <v>0</v>
      </c>
      <c r="K256">
        <f>K201*22.476</f>
        <v>0</v>
      </c>
      <c r="L256">
        <f>L201*30.58</f>
        <v>0</v>
      </c>
      <c r="M256">
        <f>M201*-29.096999999999998</f>
        <v>0</v>
      </c>
      <c r="N256">
        <f>E256+F256+G256+H256+I256+J256+K256+L256</f>
        <v>0</v>
      </c>
    </row>
    <row r="257" spans="3:14">
      <c r="C257">
        <f>48.0</f>
        <v>0</v>
      </c>
      <c r="D257">
        <f>8.0</f>
        <v>0</v>
      </c>
      <c r="E257">
        <f>E201*-1.382</f>
        <v>0</v>
      </c>
      <c r="F257">
        <f>F201*1.66</f>
        <v>0</v>
      </c>
      <c r="G257">
        <f>G201*0.32</f>
        <v>0</v>
      </c>
      <c r="H257">
        <f>H201*0.0</f>
        <v>0</v>
      </c>
      <c r="I257">
        <f>I201*-51.325</f>
        <v>0</v>
      </c>
      <c r="J257">
        <f>J201*154.983</f>
        <v>0</v>
      </c>
      <c r="K257">
        <f>K201*-116.23700000000001</f>
        <v>0</v>
      </c>
      <c r="L257">
        <f>L201*29.535</f>
        <v>0</v>
      </c>
      <c r="M257">
        <f>M201*-30.825</f>
        <v>0</v>
      </c>
      <c r="N257">
        <f>E257+F257+G257+H257+I257+J257+K257+L257</f>
        <v>0</v>
      </c>
    </row>
    <row r="258" spans="3:14">
      <c r="C258">
        <f>49.0</f>
        <v>0</v>
      </c>
      <c r="D258">
        <f>9.0</f>
        <v>0</v>
      </c>
      <c r="E258">
        <f>E201*0.294</f>
        <v>0</v>
      </c>
      <c r="F258">
        <f>F201*1.4280000000000002</f>
        <v>0</v>
      </c>
      <c r="G258">
        <f>G201*0.147</f>
        <v>0</v>
      </c>
      <c r="H258">
        <f>H201*0.0</f>
        <v>0</v>
      </c>
      <c r="I258">
        <f>I201*-44.18</f>
        <v>0</v>
      </c>
      <c r="J258">
        <f>J201*304.057</f>
        <v>0</v>
      </c>
      <c r="K258">
        <f>K201*-228.043</f>
        <v>0</v>
      </c>
      <c r="L258">
        <f>L201*35.126</f>
        <v>0</v>
      </c>
      <c r="M258">
        <f>M201*-38.921</f>
        <v>0</v>
      </c>
      <c r="N258">
        <f>E258+F258+G258+H258+I258+J258+K258+L258</f>
        <v>0</v>
      </c>
    </row>
    <row r="259" spans="3:14">
      <c r="C259">
        <f>50.0</f>
        <v>0</v>
      </c>
      <c r="D259">
        <f>10.0</f>
        <v>0</v>
      </c>
      <c r="E259">
        <f>E201*-1.4080000000000001</f>
        <v>0</v>
      </c>
      <c r="F259">
        <f>F201*2.135</f>
        <v>0</v>
      </c>
      <c r="G259">
        <f>G201*0.23399999999999999</f>
        <v>0</v>
      </c>
      <c r="H259">
        <f>H201*0.0</f>
        <v>0</v>
      </c>
      <c r="I259">
        <f>I201*-16.436</f>
        <v>0</v>
      </c>
      <c r="J259">
        <f>J201*386.80400000000003</f>
        <v>0</v>
      </c>
      <c r="K259">
        <f>K201*-290.103</f>
        <v>0</v>
      </c>
      <c r="L259">
        <f>L201*48.635</f>
        <v>0</v>
      </c>
      <c r="M259">
        <f>M201*-40.917</f>
        <v>0</v>
      </c>
      <c r="N259">
        <f>E259+F259+G259+H259+I259+J259+K259+L259</f>
        <v>0</v>
      </c>
    </row>
    <row r="266" spans="3:14">
      <c r="C266" t="s">
        <v>0</v>
      </c>
      <c r="D266" t="s">
        <v>1</v>
      </c>
      <c r="E266" t="s">
        <v>2</v>
      </c>
      <c r="F266" t="s">
        <v>3</v>
      </c>
      <c r="G266" t="s">
        <v>4</v>
      </c>
      <c r="H266" t="s">
        <v>5</v>
      </c>
      <c r="I266" t="s">
        <v>6</v>
      </c>
      <c r="J266" t="s">
        <v>7</v>
      </c>
      <c r="K266" t="s">
        <v>8</v>
      </c>
      <c r="L266" t="s">
        <v>9</v>
      </c>
      <c r="M266" t="s">
        <v>10</v>
      </c>
      <c r="N266" t="s">
        <v>11</v>
      </c>
    </row>
    <row r="267" spans="3:14">
      <c r="C267">
        <f>0.0</f>
        <v>0</v>
      </c>
      <c r="D267">
        <f>0.0</f>
        <v>0</v>
      </c>
      <c r="E267">
        <f>E265*22.498</f>
        <v>0</v>
      </c>
      <c r="F267">
        <f>F265*-48.223</f>
        <v>0</v>
      </c>
      <c r="G267">
        <f>G265*-8.831</f>
        <v>0</v>
      </c>
      <c r="H267">
        <f>H265*0.0</f>
        <v>0</v>
      </c>
      <c r="I267">
        <f>I265*0.06</f>
        <v>0</v>
      </c>
      <c r="J267">
        <f>J265*-122.413</f>
        <v>0</v>
      </c>
      <c r="K267">
        <f>K265*91.81</f>
        <v>0</v>
      </c>
      <c r="L267">
        <f>L265*164.467</f>
        <v>0</v>
      </c>
      <c r="M267">
        <f>M265*-252.771</f>
        <v>0</v>
      </c>
      <c r="N267">
        <f>E267+F267+G267+H267+I267+J267+K267+L267</f>
        <v>0</v>
      </c>
    </row>
    <row r="268" spans="3:14">
      <c r="C268">
        <f>1.0</f>
        <v>0</v>
      </c>
      <c r="D268">
        <f>1.0</f>
        <v>0</v>
      </c>
      <c r="E268">
        <f>E265*21.354</f>
        <v>0</v>
      </c>
      <c r="F268">
        <f>F265*-86.42399999999999</f>
        <v>0</v>
      </c>
      <c r="G268">
        <f>G265*-14.117</f>
        <v>0</v>
      </c>
      <c r="H268">
        <f>H265*0.0</f>
        <v>0</v>
      </c>
      <c r="I268">
        <f>I265*0.057999999999999996</f>
        <v>0</v>
      </c>
      <c r="J268">
        <f>J265*52.07899999999999</f>
        <v>0</v>
      </c>
      <c r="K268">
        <f>K265*-39.059</f>
        <v>0</v>
      </c>
      <c r="L268">
        <f>L265*160.907</f>
        <v>0</v>
      </c>
      <c r="M268">
        <f>M265*-282.871</f>
        <v>0</v>
      </c>
      <c r="N268">
        <f>E268+F268+G268+H268+I268+J268+K268+L268</f>
        <v>0</v>
      </c>
    </row>
    <row r="269" spans="3:14">
      <c r="C269">
        <f>2.0</f>
        <v>0</v>
      </c>
      <c r="D269">
        <f>2.0</f>
        <v>0</v>
      </c>
      <c r="E269">
        <f>E265*13.798</f>
        <v>0</v>
      </c>
      <c r="F269">
        <f>F265*-134.822</f>
        <v>0</v>
      </c>
      <c r="G269">
        <f>G265*-20.766</f>
        <v>0</v>
      </c>
      <c r="H269">
        <f>H265*0.0</f>
        <v>0</v>
      </c>
      <c r="I269">
        <f>I265*0.054000000000000006</f>
        <v>0</v>
      </c>
      <c r="J269">
        <f>J265*199.217</f>
        <v>0</v>
      </c>
      <c r="K269">
        <f>K265*-149.41299999999998</f>
        <v>0</v>
      </c>
      <c r="L269">
        <f>L265*127.509</f>
        <v>0</v>
      </c>
      <c r="M269">
        <f>M265*-323.472</f>
        <v>0</v>
      </c>
      <c r="N269">
        <f>E269+F269+G269+H269+I269+J269+K269+L269</f>
        <v>0</v>
      </c>
    </row>
    <row r="270" spans="3:14">
      <c r="C270">
        <f>3.0</f>
        <v>0</v>
      </c>
      <c r="D270">
        <f>3.0</f>
        <v>0</v>
      </c>
      <c r="E270">
        <f>E265*-4.572</f>
        <v>0</v>
      </c>
      <c r="F270">
        <f>F265*-193.016</f>
        <v>0</v>
      </c>
      <c r="G270">
        <f>G265*-28.633000000000003</f>
        <v>0</v>
      </c>
      <c r="H270">
        <f>H265*0.0</f>
        <v>0</v>
      </c>
      <c r="I270">
        <f>I265*0.05</f>
        <v>0</v>
      </c>
      <c r="J270">
        <f>J265*237.792</f>
        <v>0</v>
      </c>
      <c r="K270">
        <f>K265*-178.34400000000002</f>
        <v>0</v>
      </c>
      <c r="L270">
        <f>L265*99.435</f>
        <v>0</v>
      </c>
      <c r="M270">
        <f>M265*-371.39099999999996</f>
        <v>0</v>
      </c>
      <c r="N270">
        <f>E270+F270+G270+H270+I270+J270+K270+L270</f>
        <v>0</v>
      </c>
    </row>
    <row r="271" spans="3:14">
      <c r="C271">
        <f>4.0</f>
        <v>0</v>
      </c>
      <c r="D271">
        <f>4.0</f>
        <v>0</v>
      </c>
      <c r="E271">
        <f>E265*-18.219</f>
        <v>0</v>
      </c>
      <c r="F271">
        <f>F265*-249.51</f>
        <v>0</v>
      </c>
      <c r="G271">
        <f>G265*-36.089</f>
        <v>0</v>
      </c>
      <c r="H271">
        <f>H265*0.0</f>
        <v>0</v>
      </c>
      <c r="I271">
        <f>I265*0.048</f>
        <v>0</v>
      </c>
      <c r="J271">
        <f>J265*229.19099999999997</f>
        <v>0</v>
      </c>
      <c r="K271">
        <f>K265*-171.893</f>
        <v>0</v>
      </c>
      <c r="L271">
        <f>L265*71.873</f>
        <v>0</v>
      </c>
      <c r="M271">
        <f>M265*-410.22</f>
        <v>0</v>
      </c>
      <c r="N271">
        <f>E271+F271+G271+H271+I271+J271+K271+L271</f>
        <v>0</v>
      </c>
    </row>
    <row r="272" spans="3:14">
      <c r="C272">
        <f>5.0</f>
        <v>0</v>
      </c>
      <c r="D272">
        <f>5.0</f>
        <v>0</v>
      </c>
      <c r="E272">
        <f>E265*-26.109</f>
        <v>0</v>
      </c>
      <c r="F272">
        <f>F265*-283.84</f>
        <v>0</v>
      </c>
      <c r="G272">
        <f>G265*-40.717</f>
        <v>0</v>
      </c>
      <c r="H272">
        <f>H265*0.0</f>
        <v>0</v>
      </c>
      <c r="I272">
        <f>I265*0.045</f>
        <v>0</v>
      </c>
      <c r="J272">
        <f>J265*210.833</f>
        <v>0</v>
      </c>
      <c r="K272">
        <f>K265*-158.125</f>
        <v>0</v>
      </c>
      <c r="L272">
        <f>L265*48.794</f>
        <v>0</v>
      </c>
      <c r="M272">
        <f>M265*-437.149</f>
        <v>0</v>
      </c>
      <c r="N272">
        <f>E272+F272+G272+H272+I272+J272+K272+L272</f>
        <v>0</v>
      </c>
    </row>
    <row r="273" spans="3:14">
      <c r="C273">
        <f>6.0</f>
        <v>0</v>
      </c>
      <c r="D273">
        <f>6.0</f>
        <v>0</v>
      </c>
      <c r="E273">
        <f>E265*-30.228</f>
        <v>0</v>
      </c>
      <c r="F273">
        <f>F265*-317.721</f>
        <v>0</v>
      </c>
      <c r="G273">
        <f>G265*-45.573</f>
        <v>0</v>
      </c>
      <c r="H273">
        <f>H265*0.0</f>
        <v>0</v>
      </c>
      <c r="I273">
        <f>I265*0.042</f>
        <v>0</v>
      </c>
      <c r="J273">
        <f>J265*266.908</f>
        <v>0</v>
      </c>
      <c r="K273">
        <f>K265*-200.18099999999998</f>
        <v>0</v>
      </c>
      <c r="L273">
        <f>L265*38.884</f>
        <v>0</v>
      </c>
      <c r="M273">
        <f>M265*-477.163</f>
        <v>0</v>
      </c>
      <c r="N273">
        <f>E273+F273+G273+H273+I273+J273+K273+L273</f>
        <v>0</v>
      </c>
    </row>
    <row r="274" spans="3:14">
      <c r="C274">
        <f>7.0</f>
        <v>0</v>
      </c>
      <c r="D274">
        <f>7.0</f>
        <v>0</v>
      </c>
      <c r="E274">
        <f>E265*-33.383</f>
        <v>0</v>
      </c>
      <c r="F274">
        <f>F265*-348.51199999999994</f>
        <v>0</v>
      </c>
      <c r="G274">
        <f>G265*-50.034</f>
        <v>0</v>
      </c>
      <c r="H274">
        <f>H265*0.0</f>
        <v>0</v>
      </c>
      <c r="I274">
        <f>I265*0.04</f>
        <v>0</v>
      </c>
      <c r="J274">
        <f>J265*316.795</f>
        <v>0</v>
      </c>
      <c r="K274">
        <f>K265*-237.59599999999998</f>
        <v>0</v>
      </c>
      <c r="L274">
        <f>L265*32.842</f>
        <v>0</v>
      </c>
      <c r="M274">
        <f>M265*-512.067</f>
        <v>0</v>
      </c>
      <c r="N274">
        <f>E274+F274+G274+H274+I274+J274+K274+L274</f>
        <v>0</v>
      </c>
    </row>
    <row r="275" spans="3:14">
      <c r="C275">
        <f>8.0</f>
        <v>0</v>
      </c>
      <c r="D275">
        <f>8.0</f>
        <v>0</v>
      </c>
      <c r="E275">
        <f>E265*-37.838</f>
        <v>0</v>
      </c>
      <c r="F275">
        <f>F265*-358.92</f>
        <v>0</v>
      </c>
      <c r="G275">
        <f>G265*-51.271</f>
        <v>0</v>
      </c>
      <c r="H275">
        <f>H265*0.0</f>
        <v>0</v>
      </c>
      <c r="I275">
        <f>I265*0.038</f>
        <v>0</v>
      </c>
      <c r="J275">
        <f>J265*324.611</f>
        <v>0</v>
      </c>
      <c r="K275">
        <f>K265*-243.458</f>
        <v>0</v>
      </c>
      <c r="L275">
        <f>L265*30.319000000000003</f>
        <v>0</v>
      </c>
      <c r="M275">
        <f>M265*-516.322</f>
        <v>0</v>
      </c>
      <c r="N275">
        <f>E275+F275+G275+H275+I275+J275+K275+L275</f>
        <v>0</v>
      </c>
    </row>
    <row r="276" spans="3:14">
      <c r="C276">
        <f>9.0</f>
        <v>0</v>
      </c>
      <c r="D276">
        <f>9.0</f>
        <v>0</v>
      </c>
      <c r="E276">
        <f>E265*-44.123000000000005</f>
        <v>0</v>
      </c>
      <c r="F276">
        <f>F265*-361.32599999999996</f>
        <v>0</v>
      </c>
      <c r="G276">
        <f>G265*-51.18600000000001</f>
        <v>0</v>
      </c>
      <c r="H276">
        <f>H265*0.0</f>
        <v>0</v>
      </c>
      <c r="I276">
        <f>I265*0.037000000000000005</f>
        <v>0</v>
      </c>
      <c r="J276">
        <f>J265*309.745</f>
        <v>0</v>
      </c>
      <c r="K276">
        <f>K265*-232.30900000000003</f>
        <v>0</v>
      </c>
      <c r="L276">
        <f>L265*24.881999999999998</f>
        <v>0</v>
      </c>
      <c r="M276">
        <f>M265*-511.079</f>
        <v>0</v>
      </c>
      <c r="N276">
        <f>E276+F276+G276+H276+I276+J276+K276+L276</f>
        <v>0</v>
      </c>
    </row>
    <row r="277" spans="3:14">
      <c r="C277">
        <f>10.0</f>
        <v>0</v>
      </c>
      <c r="D277">
        <f>10.0</f>
        <v>0</v>
      </c>
      <c r="E277">
        <f>E265*-45.753</f>
        <v>0</v>
      </c>
      <c r="F277">
        <f>F265*-359.35900000000004</f>
        <v>0</v>
      </c>
      <c r="G277">
        <f>G265*-50.788999999999994</f>
        <v>0</v>
      </c>
      <c r="H277">
        <f>H265*0.0</f>
        <v>0</v>
      </c>
      <c r="I277">
        <f>I265*0.036000000000000004</f>
        <v>0</v>
      </c>
      <c r="J277">
        <f>J265*291.06</f>
        <v>0</v>
      </c>
      <c r="K277">
        <f>K265*-218.295</f>
        <v>0</v>
      </c>
      <c r="L277">
        <f>L265*25.795</f>
        <v>0</v>
      </c>
      <c r="M277">
        <f>M265*-505.94199999999995</f>
        <v>0</v>
      </c>
      <c r="N277">
        <f>E277+F277+G277+H277+I277+J277+K277+L277</f>
        <v>0</v>
      </c>
    </row>
    <row r="278" spans="3:14">
      <c r="C278">
        <f>11.0</f>
        <v>0</v>
      </c>
      <c r="D278">
        <f>11.0</f>
        <v>0</v>
      </c>
      <c r="E278">
        <f>E265*-44.199</f>
        <v>0</v>
      </c>
      <c r="F278">
        <f>F265*-352.592</f>
        <v>0</v>
      </c>
      <c r="G278">
        <f>G265*-49.918</f>
        <v>0</v>
      </c>
      <c r="H278">
        <f>H265*0.0</f>
        <v>0</v>
      </c>
      <c r="I278">
        <f>I265*0.035</f>
        <v>0</v>
      </c>
      <c r="J278">
        <f>J265*323.947</f>
        <v>0</v>
      </c>
      <c r="K278">
        <f>K265*-242.96</f>
        <v>0</v>
      </c>
      <c r="L278">
        <f>L265*27.826</f>
        <v>0</v>
      </c>
      <c r="M278">
        <f>M265*-497.406</f>
        <v>0</v>
      </c>
      <c r="N278">
        <f>E278+F278+G278+H278+I278+J278+K278+L278</f>
        <v>0</v>
      </c>
    </row>
    <row r="279" spans="3:14">
      <c r="C279">
        <f>12.0</f>
        <v>0</v>
      </c>
      <c r="D279">
        <f>12.0</f>
        <v>0</v>
      </c>
      <c r="E279">
        <f>E265*-38.315</f>
        <v>0</v>
      </c>
      <c r="F279">
        <f>F265*-339.241</f>
        <v>0</v>
      </c>
      <c r="G279">
        <f>G265*-48.396</f>
        <v>0</v>
      </c>
      <c r="H279">
        <f>H265*0.0</f>
        <v>0</v>
      </c>
      <c r="I279">
        <f>I265*0.034</f>
        <v>0</v>
      </c>
      <c r="J279">
        <f>J265*354.228</f>
        <v>0</v>
      </c>
      <c r="K279">
        <f>K265*-265.671</f>
        <v>0</v>
      </c>
      <c r="L279">
        <f>L265*31.639</f>
        <v>0</v>
      </c>
      <c r="M279">
        <f>M265*-485.781</f>
        <v>0</v>
      </c>
      <c r="N279">
        <f>E279+F279+G279+H279+I279+J279+K279+L279</f>
        <v>0</v>
      </c>
    </row>
    <row r="280" spans="3:14">
      <c r="C280">
        <f>13.0</f>
        <v>0</v>
      </c>
      <c r="D280">
        <f>13.0</f>
        <v>0</v>
      </c>
      <c r="E280">
        <f>E265*-34.798</f>
        <v>0</v>
      </c>
      <c r="F280">
        <f>F265*-319.006</f>
        <v>0</v>
      </c>
      <c r="G280">
        <f>G265*-45.674</f>
        <v>0</v>
      </c>
      <c r="H280">
        <f>H265*0.0</f>
        <v>0</v>
      </c>
      <c r="I280">
        <f>I265*0.035</f>
        <v>0</v>
      </c>
      <c r="J280">
        <f>J265*356.689</f>
        <v>0</v>
      </c>
      <c r="K280">
        <f>K265*-267.517</f>
        <v>0</v>
      </c>
      <c r="L280">
        <f>L265*33.873000000000005</f>
        <v>0</v>
      </c>
      <c r="M280">
        <f>M265*-464.515</f>
        <v>0</v>
      </c>
      <c r="N280">
        <f>E280+F280+G280+H280+I280+J280+K280+L280</f>
        <v>0</v>
      </c>
    </row>
    <row r="281" spans="3:14">
      <c r="C281">
        <f>14.0</f>
        <v>0</v>
      </c>
      <c r="D281">
        <f>14.0</f>
        <v>0</v>
      </c>
      <c r="E281">
        <f>E265*-33.351</f>
        <v>0</v>
      </c>
      <c r="F281">
        <f>F265*-279.865</f>
        <v>0</v>
      </c>
      <c r="G281">
        <f>G265*-39.868</f>
        <v>0</v>
      </c>
      <c r="H281">
        <f>H265*0.0</f>
        <v>0</v>
      </c>
      <c r="I281">
        <f>I265*0.035</f>
        <v>0</v>
      </c>
      <c r="J281">
        <f>J265*334.60400000000004</f>
        <v>0</v>
      </c>
      <c r="K281">
        <f>K265*-250.953</f>
        <v>0</v>
      </c>
      <c r="L281">
        <f>L265*34.585</f>
        <v>0</v>
      </c>
      <c r="M281">
        <f>M265*-408.485</f>
        <v>0</v>
      </c>
      <c r="N281">
        <f>E281+F281+G281+H281+I281+J281+K281+L281</f>
        <v>0</v>
      </c>
    </row>
    <row r="282" spans="3:14">
      <c r="C282">
        <f>15.0</f>
        <v>0</v>
      </c>
      <c r="D282">
        <f>15.0</f>
        <v>0</v>
      </c>
      <c r="E282">
        <f>E265*-31.57</f>
        <v>0</v>
      </c>
      <c r="F282">
        <f>F265*-239.583</f>
        <v>0</v>
      </c>
      <c r="G282">
        <f>G265*-33.91</f>
        <v>0</v>
      </c>
      <c r="H282">
        <f>H265*0.0</f>
        <v>0</v>
      </c>
      <c r="I282">
        <f>I265*0.034</f>
        <v>0</v>
      </c>
      <c r="J282">
        <f>J265*316.474</f>
        <v>0</v>
      </c>
      <c r="K282">
        <f>K265*-237.355</f>
        <v>0</v>
      </c>
      <c r="L282">
        <f>L265*37.107</f>
        <v>0</v>
      </c>
      <c r="M282">
        <f>M265*-345.85</f>
        <v>0</v>
      </c>
      <c r="N282">
        <f>E282+F282+G282+H282+I282+J282+K282+L282</f>
        <v>0</v>
      </c>
    </row>
    <row r="283" spans="3:14">
      <c r="C283">
        <f>15.91</f>
        <v>0</v>
      </c>
      <c r="D283">
        <f>15.91</f>
        <v>0</v>
      </c>
      <c r="E283">
        <f>E265*-26.023000000000003</f>
        <v>0</v>
      </c>
      <c r="F283">
        <f>F265*-198.081</f>
        <v>0</v>
      </c>
      <c r="G283">
        <f>G265*-28.101</f>
        <v>0</v>
      </c>
      <c r="H283">
        <f>H265*0.0</f>
        <v>0</v>
      </c>
      <c r="I283">
        <f>I265*0.033</f>
        <v>0</v>
      </c>
      <c r="J283">
        <f>J265*347.89599999999996</f>
        <v>0</v>
      </c>
      <c r="K283">
        <f>K265*-260.922</f>
        <v>0</v>
      </c>
      <c r="L283">
        <f>L265*39.161</f>
        <v>0</v>
      </c>
      <c r="M283">
        <f>M265*-289.88</f>
        <v>0</v>
      </c>
      <c r="N283">
        <f>E283+F283+G283+H283+I283+J283+K283+L283</f>
        <v>0</v>
      </c>
    </row>
    <row r="284" spans="3:14">
      <c r="C284">
        <f>16.82</f>
        <v>0</v>
      </c>
      <c r="D284">
        <f>16.82</f>
        <v>0</v>
      </c>
      <c r="E284">
        <f>E265*-14.866</f>
        <v>0</v>
      </c>
      <c r="F284">
        <f>F265*-136.52</f>
        <v>0</v>
      </c>
      <c r="G284">
        <f>G265*-19.765</f>
        <v>0</v>
      </c>
      <c r="H284">
        <f>H265*0.0</f>
        <v>0</v>
      </c>
      <c r="I284">
        <f>I265*0.03</f>
        <v>0</v>
      </c>
      <c r="J284">
        <f>J265*374.61400000000003</f>
        <v>0</v>
      </c>
      <c r="K284">
        <f>K265*-280.961</f>
        <v>0</v>
      </c>
      <c r="L284">
        <f>L265*39.434</f>
        <v>0</v>
      </c>
      <c r="M284">
        <f>M265*-213.47099999999998</f>
        <v>0</v>
      </c>
      <c r="N284">
        <f>E284+F284+G284+H284+I284+J284+K284+L284</f>
        <v>0</v>
      </c>
    </row>
    <row r="285" spans="3:14">
      <c r="C285">
        <f>17.73</f>
        <v>0</v>
      </c>
      <c r="D285">
        <f>17.73</f>
        <v>0</v>
      </c>
      <c r="E285">
        <f>E265*-7.232</f>
        <v>0</v>
      </c>
      <c r="F285">
        <f>F265*-89.16799999999999</f>
        <v>0</v>
      </c>
      <c r="G285">
        <f>G265*-13.207</f>
        <v>0</v>
      </c>
      <c r="H285">
        <f>H265*0.0</f>
        <v>0</v>
      </c>
      <c r="I285">
        <f>I265*0.025</f>
        <v>0</v>
      </c>
      <c r="J285">
        <f>J265*367.851</f>
        <v>0</v>
      </c>
      <c r="K285">
        <f>K265*-275.888</f>
        <v>0</v>
      </c>
      <c r="L285">
        <f>L265*35.741</f>
        <v>0</v>
      </c>
      <c r="M285">
        <f>M265*-148.083</f>
        <v>0</v>
      </c>
      <c r="N285">
        <f>E285+F285+G285+H285+I285+J285+K285+L285</f>
        <v>0</v>
      </c>
    </row>
    <row r="286" spans="3:14">
      <c r="C286">
        <f>18.64</f>
        <v>0</v>
      </c>
      <c r="D286">
        <f>18.64</f>
        <v>0</v>
      </c>
      <c r="E286">
        <f>E265*-3.534</f>
        <v>0</v>
      </c>
      <c r="F286">
        <f>F265*-57.0</f>
        <v>0</v>
      </c>
      <c r="G286">
        <f>G265*-8.561</f>
        <v>0</v>
      </c>
      <c r="H286">
        <f>H265*0.0</f>
        <v>0</v>
      </c>
      <c r="I286">
        <f>I265*0.015</f>
        <v>0</v>
      </c>
      <c r="J286">
        <f>J265*311.242</f>
        <v>0</v>
      </c>
      <c r="K286">
        <f>K265*-233.43099999999998</f>
        <v>0</v>
      </c>
      <c r="L286">
        <f>L265*24.121</f>
        <v>0</v>
      </c>
      <c r="M286">
        <f>M265*-97.98299999999999</f>
        <v>0</v>
      </c>
      <c r="N286">
        <f>E286+F286+G286+H286+I286+J286+K286+L286</f>
        <v>0</v>
      </c>
    </row>
    <row r="287" spans="3:14">
      <c r="C287">
        <f>19.55</f>
        <v>0</v>
      </c>
      <c r="D287">
        <f>19.55</f>
        <v>0</v>
      </c>
      <c r="E287">
        <f>E265*-1.182</f>
        <v>0</v>
      </c>
      <c r="F287">
        <f>F265*-14.273</f>
        <v>0</v>
      </c>
      <c r="G287">
        <f>G265*-2.11</f>
        <v>0</v>
      </c>
      <c r="H287">
        <f>H265*0.0</f>
        <v>0</v>
      </c>
      <c r="I287">
        <f>I265*0.003657</f>
        <v>0</v>
      </c>
      <c r="J287">
        <f>J265*234.291</f>
        <v>0</v>
      </c>
      <c r="K287">
        <f>K265*-175.718</f>
        <v>0</v>
      </c>
      <c r="L287">
        <f>L265*12.929</f>
        <v>0</v>
      </c>
      <c r="M287">
        <f>M265*-28.233</f>
        <v>0</v>
      </c>
      <c r="N287">
        <f>E287+F287+G287+H287+I287+J287+K287+L287</f>
        <v>0</v>
      </c>
    </row>
    <row r="288" spans="3:14">
      <c r="C288">
        <f>20.0</f>
        <v>0</v>
      </c>
      <c r="D288">
        <f>20.0</f>
        <v>0</v>
      </c>
      <c r="E288">
        <f>E265*-1.182</f>
        <v>0</v>
      </c>
      <c r="F288">
        <f>F265*-14.273</f>
        <v>0</v>
      </c>
      <c r="G288">
        <f>G265*-2.11</f>
        <v>0</v>
      </c>
      <c r="H288">
        <f>H265*0.0</f>
        <v>0</v>
      </c>
      <c r="I288">
        <f>I265*0.0006652</f>
        <v>0</v>
      </c>
      <c r="J288">
        <f>J265*204.11700000000002</f>
        <v>0</v>
      </c>
      <c r="K288">
        <f>K265*-153.088</f>
        <v>0</v>
      </c>
      <c r="L288">
        <f>L265*8.908999999999999</f>
        <v>0</v>
      </c>
      <c r="M288">
        <f>M265*-24.055</f>
        <v>0</v>
      </c>
      <c r="N288">
        <f>E288+F288+G288+H288+I288+J288+K288+L288</f>
        <v>0</v>
      </c>
    </row>
    <row r="289" spans="3:14">
      <c r="C289">
        <f>20.0</f>
        <v>0</v>
      </c>
      <c r="D289">
        <f>0.0</f>
        <v>0</v>
      </c>
      <c r="E289">
        <f>E265*-1.3880000000000001</f>
        <v>0</v>
      </c>
      <c r="F289">
        <f>F265*-11.755</f>
        <v>0</v>
      </c>
      <c r="G289">
        <f>G265*-1.733</f>
        <v>0</v>
      </c>
      <c r="H289">
        <f>H265*0.0</f>
        <v>0</v>
      </c>
      <c r="I289">
        <f>I265*-0.222</f>
        <v>0</v>
      </c>
      <c r="J289">
        <f>J265*208.264</f>
        <v>0</v>
      </c>
      <c r="K289">
        <f>K265*-156.19799999999998</f>
        <v>0</v>
      </c>
      <c r="L289">
        <f>L265*4.595</f>
        <v>0</v>
      </c>
      <c r="M289">
        <f>M265*-23.872</f>
        <v>0</v>
      </c>
      <c r="N289">
        <f>E289+F289+G289+H289+I289+J289+K289+L289</f>
        <v>0</v>
      </c>
    </row>
    <row r="290" spans="3:14">
      <c r="C290">
        <f>20.45</f>
        <v>0</v>
      </c>
      <c r="D290">
        <f>0.45</f>
        <v>0</v>
      </c>
      <c r="E290">
        <f>E265*2.195</f>
        <v>0</v>
      </c>
      <c r="F290">
        <f>F265*-30.834</f>
        <v>0</v>
      </c>
      <c r="G290">
        <f>G265*-4.7410000000000005</f>
        <v>0</v>
      </c>
      <c r="H290">
        <f>H265*0.0</f>
        <v>0</v>
      </c>
      <c r="I290">
        <f>I265*1.882</f>
        <v>0</v>
      </c>
      <c r="J290">
        <f>J265*208.264</f>
        <v>0</v>
      </c>
      <c r="K290">
        <f>K265*-156.19799999999998</f>
        <v>0</v>
      </c>
      <c r="L290">
        <f>L265*57.033</f>
        <v>0</v>
      </c>
      <c r="M290">
        <f>M265*-98.561</f>
        <v>0</v>
      </c>
      <c r="N290">
        <f>E290+F290+G290+H290+I290+J290+K290+L290</f>
        <v>0</v>
      </c>
    </row>
    <row r="291" spans="3:14">
      <c r="C291">
        <f>21.36</f>
        <v>0</v>
      </c>
      <c r="D291">
        <f>1.36</f>
        <v>0</v>
      </c>
      <c r="E291">
        <f>E265*2.892</f>
        <v>0</v>
      </c>
      <c r="F291">
        <f>F265*-70.525</f>
        <v>0</v>
      </c>
      <c r="G291">
        <f>G265*-10.64</f>
        <v>0</v>
      </c>
      <c r="H291">
        <f>H265*0.0</f>
        <v>0</v>
      </c>
      <c r="I291">
        <f>I265*1.864</f>
        <v>0</v>
      </c>
      <c r="J291">
        <f>J265*277.45599999999996</f>
        <v>0</v>
      </c>
      <c r="K291">
        <f>K265*-208.092</f>
        <v>0</v>
      </c>
      <c r="L291">
        <f>L265*53.123000000000005</f>
        <v>0</v>
      </c>
      <c r="M291">
        <f>M265*-136.043</f>
        <v>0</v>
      </c>
      <c r="N291">
        <f>E291+F291+G291+H291+I291+J291+K291+L291</f>
        <v>0</v>
      </c>
    </row>
    <row r="292" spans="3:14">
      <c r="C292">
        <f>22.27</f>
        <v>0</v>
      </c>
      <c r="D292">
        <f>2.27</f>
        <v>0</v>
      </c>
      <c r="E292">
        <f>E265*-4.899</f>
        <v>0</v>
      </c>
      <c r="F292">
        <f>F265*-98.95700000000001</f>
        <v>0</v>
      </c>
      <c r="G292">
        <f>G265*-14.749</f>
        <v>0</v>
      </c>
      <c r="H292">
        <f>H265*0.0</f>
        <v>0</v>
      </c>
      <c r="I292">
        <f>I265*1.944</f>
        <v>0</v>
      </c>
      <c r="J292">
        <f>J265*336.038</f>
        <v>0</v>
      </c>
      <c r="K292">
        <f>K265*-252.028</f>
        <v>0</v>
      </c>
      <c r="L292">
        <f>L265*32.21</f>
        <v>0</v>
      </c>
      <c r="M292">
        <f>M265*-166.31099999999998</f>
        <v>0</v>
      </c>
      <c r="N292">
        <f>E292+F292+G292+H292+I292+J292+K292+L292</f>
        <v>0</v>
      </c>
    </row>
    <row r="293" spans="3:14">
      <c r="C293">
        <f>23.18</f>
        <v>0</v>
      </c>
      <c r="D293">
        <f>3.18</f>
        <v>0</v>
      </c>
      <c r="E293">
        <f>E265*-12.414000000000001</f>
        <v>0</v>
      </c>
      <c r="F293">
        <f>F265*-142.07299999999998</f>
        <v>0</v>
      </c>
      <c r="G293">
        <f>G265*-20.701999999999998</f>
        <v>0</v>
      </c>
      <c r="H293">
        <f>H265*0.0</f>
        <v>0</v>
      </c>
      <c r="I293">
        <f>I265*2.3409999999999997</f>
        <v>0</v>
      </c>
      <c r="J293">
        <f>J265*343.705</f>
        <v>0</v>
      </c>
      <c r="K293">
        <f>K265*-257.779</f>
        <v>0</v>
      </c>
      <c r="L293">
        <f>L265*29.678</f>
        <v>0</v>
      </c>
      <c r="M293">
        <f>M265*-219.852</f>
        <v>0</v>
      </c>
      <c r="N293">
        <f>E293+F293+G293+H293+I293+J293+K293+L293</f>
        <v>0</v>
      </c>
    </row>
    <row r="294" spans="3:14">
      <c r="C294">
        <f>24.09</f>
        <v>0</v>
      </c>
      <c r="D294">
        <f>4.09</f>
        <v>0</v>
      </c>
      <c r="E294">
        <f>E265*-23.359</f>
        <v>0</v>
      </c>
      <c r="F294">
        <f>F265*-198.895</f>
        <v>0</v>
      </c>
      <c r="G294">
        <f>G265*-28.363000000000003</f>
        <v>0</v>
      </c>
      <c r="H294">
        <f>H265*0.0</f>
        <v>0</v>
      </c>
      <c r="I294">
        <f>I265*2.8760000000000003</f>
        <v>0</v>
      </c>
      <c r="J294">
        <f>J265*318.32599999999996</f>
        <v>0</v>
      </c>
      <c r="K294">
        <f>K265*-238.745</f>
        <v>0</v>
      </c>
      <c r="L294">
        <f>L265*25.551</f>
        <v>0</v>
      </c>
      <c r="M294">
        <f>M265*-283.687</f>
        <v>0</v>
      </c>
      <c r="N294">
        <f>E294+F294+G294+H294+I294+J294+K294+L294</f>
        <v>0</v>
      </c>
    </row>
    <row r="295" spans="3:14">
      <c r="C295">
        <f>25.0</f>
        <v>0</v>
      </c>
      <c r="D295">
        <f>5.0</f>
        <v>0</v>
      </c>
      <c r="E295">
        <f>E265*-28.78</f>
        <v>0</v>
      </c>
      <c r="F295">
        <f>F265*-235.588</f>
        <v>0</v>
      </c>
      <c r="G295">
        <f>G265*-33.488</f>
        <v>0</v>
      </c>
      <c r="H295">
        <f>H265*0.0</f>
        <v>0</v>
      </c>
      <c r="I295">
        <f>I265*3.4819999999999998</f>
        <v>0</v>
      </c>
      <c r="J295">
        <f>J265*288.351</f>
        <v>0</v>
      </c>
      <c r="K295">
        <f>K265*-216.263</f>
        <v>0</v>
      </c>
      <c r="L295">
        <f>L265*22.394000000000002</f>
        <v>0</v>
      </c>
      <c r="M295">
        <f>M265*-329.33</f>
        <v>0</v>
      </c>
      <c r="N295">
        <f>E295+F295+G295+H295+I295+J295+K295+L295</f>
        <v>0</v>
      </c>
    </row>
    <row r="296" spans="3:14">
      <c r="C296">
        <f>26.0</f>
        <v>0</v>
      </c>
      <c r="D296">
        <f>6.0</f>
        <v>0</v>
      </c>
      <c r="E296">
        <f>E265*-30.503</f>
        <v>0</v>
      </c>
      <c r="F296">
        <f>F265*-270.168</f>
        <v>0</v>
      </c>
      <c r="G296">
        <f>G265*-38.626999999999995</f>
        <v>0</v>
      </c>
      <c r="H296">
        <f>H265*0.0</f>
        <v>0</v>
      </c>
      <c r="I296">
        <f>I265*4.082</f>
        <v>0</v>
      </c>
      <c r="J296">
        <f>J265*310.55400000000003</f>
        <v>0</v>
      </c>
      <c r="K296">
        <f>K265*-232.916</f>
        <v>0</v>
      </c>
      <c r="L296">
        <f>L265*20.714000000000002</f>
        <v>0</v>
      </c>
      <c r="M296">
        <f>M265*-383.38199999999995</f>
        <v>0</v>
      </c>
      <c r="N296">
        <f>E296+F296+G296+H296+I296+J296+K296+L296</f>
        <v>0</v>
      </c>
    </row>
    <row r="297" spans="3:14">
      <c r="C297">
        <f>27.0</f>
        <v>0</v>
      </c>
      <c r="D297">
        <f>7.0</f>
        <v>0</v>
      </c>
      <c r="E297">
        <f>E265*-31.881999999999998</f>
        <v>0</v>
      </c>
      <c r="F297">
        <f>F265*-303.155</f>
        <v>0</v>
      </c>
      <c r="G297">
        <f>G265*-43.547</f>
        <v>0</v>
      </c>
      <c r="H297">
        <f>H265*0.0</f>
        <v>0</v>
      </c>
      <c r="I297">
        <f>I265*4.662</f>
        <v>0</v>
      </c>
      <c r="J297">
        <f>J265*336.505</f>
        <v>0</v>
      </c>
      <c r="K297">
        <f>K265*-252.37900000000002</f>
        <v>0</v>
      </c>
      <c r="L297">
        <f>L265*21.035</f>
        <v>0</v>
      </c>
      <c r="M297">
        <f>M265*-429.496</f>
        <v>0</v>
      </c>
      <c r="N297">
        <f>E297+F297+G297+H297+I297+J297+K297+L297</f>
        <v>0</v>
      </c>
    </row>
    <row r="298" spans="3:14">
      <c r="C298">
        <f>28.0</f>
        <v>0</v>
      </c>
      <c r="D298">
        <f>8.0</f>
        <v>0</v>
      </c>
      <c r="E298">
        <f>E265*-35.466</f>
        <v>0</v>
      </c>
      <c r="F298">
        <f>F265*-317.897</f>
        <v>0</v>
      </c>
      <c r="G298">
        <f>G265*-45.475</f>
        <v>0</v>
      </c>
      <c r="H298">
        <f>H265*0.0</f>
        <v>0</v>
      </c>
      <c r="I298">
        <f>I265*5.266</f>
        <v>0</v>
      </c>
      <c r="J298">
        <f>J265*336.156</f>
        <v>0</v>
      </c>
      <c r="K298">
        <f>K265*-252.11700000000002</f>
        <v>0</v>
      </c>
      <c r="L298">
        <f>L265*20.500999999999998</f>
        <v>0</v>
      </c>
      <c r="M298">
        <f>M265*-442.95300000000003</f>
        <v>0</v>
      </c>
      <c r="N298">
        <f>E298+F298+G298+H298+I298+J298+K298+L298</f>
        <v>0</v>
      </c>
    </row>
    <row r="299" spans="3:14">
      <c r="C299">
        <f>29.0</f>
        <v>0</v>
      </c>
      <c r="D299">
        <f>9.0</f>
        <v>0</v>
      </c>
      <c r="E299">
        <f>E265*-41.585</f>
        <v>0</v>
      </c>
      <c r="F299">
        <f>F265*-325.846</f>
        <v>0</v>
      </c>
      <c r="G299">
        <f>G265*-46.205</f>
        <v>0</v>
      </c>
      <c r="H299">
        <f>H265*0.0</f>
        <v>0</v>
      </c>
      <c r="I299">
        <f>I265*5.687</f>
        <v>0</v>
      </c>
      <c r="J299">
        <f>J265*311.522</f>
        <v>0</v>
      </c>
      <c r="K299">
        <f>K265*-233.641</f>
        <v>0</v>
      </c>
      <c r="L299">
        <f>L265*20.317999999999998</f>
        <v>0</v>
      </c>
      <c r="M299">
        <f>M265*-444.67199999999997</f>
        <v>0</v>
      </c>
      <c r="N299">
        <f>E299+F299+G299+H299+I299+J299+K299+L299</f>
        <v>0</v>
      </c>
    </row>
    <row r="300" spans="3:14">
      <c r="C300">
        <f>30.0</f>
        <v>0</v>
      </c>
      <c r="D300">
        <f>10.0</f>
        <v>0</v>
      </c>
      <c r="E300">
        <f>E265*-43.248999999999995</f>
        <v>0</v>
      </c>
      <c r="F300">
        <f>F265*-326.474</f>
        <v>0</v>
      </c>
      <c r="G300">
        <f>G265*-46.181999999999995</f>
        <v>0</v>
      </c>
      <c r="H300">
        <f>H265*0.0</f>
        <v>0</v>
      </c>
      <c r="I300">
        <f>I265*6.127000000000001</f>
        <v>0</v>
      </c>
      <c r="J300">
        <f>J265*286.578</f>
        <v>0</v>
      </c>
      <c r="K300">
        <f>K265*-214.933</f>
        <v>0</v>
      </c>
      <c r="L300">
        <f>L265*22.51</f>
        <v>0</v>
      </c>
      <c r="M300">
        <f>M265*-442.941</f>
        <v>0</v>
      </c>
      <c r="N300">
        <f>E300+F300+G300+H300+I300+J300+K300+L300</f>
        <v>0</v>
      </c>
    </row>
    <row r="301" spans="3:14">
      <c r="C301">
        <f>31.0</f>
        <v>0</v>
      </c>
      <c r="D301">
        <f>11.0</f>
        <v>0</v>
      </c>
      <c r="E301">
        <f>E265*-41.836999999999996</f>
        <v>0</v>
      </c>
      <c r="F301">
        <f>F265*-326.144</f>
        <v>0</v>
      </c>
      <c r="G301">
        <f>G265*-46.238</f>
        <v>0</v>
      </c>
      <c r="H301">
        <f>H265*0.0</f>
        <v>0</v>
      </c>
      <c r="I301">
        <f>I265*6.393</f>
        <v>0</v>
      </c>
      <c r="J301">
        <f>J265*315.122</f>
        <v>0</v>
      </c>
      <c r="K301">
        <f>K265*-236.342</f>
        <v>0</v>
      </c>
      <c r="L301">
        <f>L265*24.495</f>
        <v>0</v>
      </c>
      <c r="M301">
        <f>M265*-443.815</f>
        <v>0</v>
      </c>
      <c r="N301">
        <f>E301+F301+G301+H301+I301+J301+K301+L301</f>
        <v>0</v>
      </c>
    </row>
    <row r="302" spans="3:14">
      <c r="C302">
        <f>32.0</f>
        <v>0</v>
      </c>
      <c r="D302">
        <f>12.0</f>
        <v>0</v>
      </c>
      <c r="E302">
        <f>E265*-36.071999999999996</f>
        <v>0</v>
      </c>
      <c r="F302">
        <f>F265*-318.361</f>
        <v>0</v>
      </c>
      <c r="G302">
        <f>G265*-45.519</f>
        <v>0</v>
      </c>
      <c r="H302">
        <f>H265*0.0</f>
        <v>0</v>
      </c>
      <c r="I302">
        <f>I265*6.497999999999999</f>
        <v>0</v>
      </c>
      <c r="J302">
        <f>J265*343.153</f>
        <v>0</v>
      </c>
      <c r="K302">
        <f>K265*-257.365</f>
        <v>0</v>
      </c>
      <c r="L302">
        <f>L265*26.399</f>
        <v>0</v>
      </c>
      <c r="M302">
        <f>M265*-440.19699999999995</f>
        <v>0</v>
      </c>
      <c r="N302">
        <f>E302+F302+G302+H302+I302+J302+K302+L302</f>
        <v>0</v>
      </c>
    </row>
    <row r="303" spans="3:14">
      <c r="C303">
        <f>33.0</f>
        <v>0</v>
      </c>
      <c r="D303">
        <f>13.0</f>
        <v>0</v>
      </c>
      <c r="E303">
        <f>E265*-32.852</f>
        <v>0</v>
      </c>
      <c r="F303">
        <f>F265*-303.181</f>
        <v>0</v>
      </c>
      <c r="G303">
        <f>G265*-43.512</f>
        <v>0</v>
      </c>
      <c r="H303">
        <f>H265*0.0</f>
        <v>0</v>
      </c>
      <c r="I303">
        <f>I265*6.138</f>
        <v>0</v>
      </c>
      <c r="J303">
        <f>J265*345.485</f>
        <v>0</v>
      </c>
      <c r="K303">
        <f>K265*-259.11400000000003</f>
        <v>0</v>
      </c>
      <c r="L303">
        <f>L265*28.083000000000002</f>
        <v>0</v>
      </c>
      <c r="M303">
        <f>M265*-424.93</f>
        <v>0</v>
      </c>
      <c r="N303">
        <f>E303+F303+G303+H303+I303+J303+K303+L303</f>
        <v>0</v>
      </c>
    </row>
    <row r="304" spans="3:14">
      <c r="C304">
        <f>34.0</f>
        <v>0</v>
      </c>
      <c r="D304">
        <f>14.0</f>
        <v>0</v>
      </c>
      <c r="E304">
        <f>E265*-31.815</f>
        <v>0</v>
      </c>
      <c r="F304">
        <f>F265*-268.622</f>
        <v>0</v>
      </c>
      <c r="G304">
        <f>G265*-38.348</f>
        <v>0</v>
      </c>
      <c r="H304">
        <f>H265*0.0</f>
        <v>0</v>
      </c>
      <c r="I304">
        <f>I265*5.237</f>
        <v>0</v>
      </c>
      <c r="J304">
        <f>J265*324.118</f>
        <v>0</v>
      </c>
      <c r="K304">
        <f>K265*-243.088</f>
        <v>0</v>
      </c>
      <c r="L304">
        <f>L265*28.912</f>
        <v>0</v>
      </c>
      <c r="M304">
        <f>M265*-375.68300000000005</f>
        <v>0</v>
      </c>
      <c r="N304">
        <f>E304+F304+G304+H304+I304+J304+K304+L304</f>
        <v>0</v>
      </c>
    </row>
    <row r="305" spans="3:14">
      <c r="C305">
        <f>35.0</f>
        <v>0</v>
      </c>
      <c r="D305">
        <f>15.0</f>
        <v>0</v>
      </c>
      <c r="E305">
        <f>E265*-30.447</f>
        <v>0</v>
      </c>
      <c r="F305">
        <f>F265*-232.081</f>
        <v>0</v>
      </c>
      <c r="G305">
        <f>G265*-32.907</f>
        <v>0</v>
      </c>
      <c r="H305">
        <f>H265*0.0</f>
        <v>0</v>
      </c>
      <c r="I305">
        <f>I265*4.3469999999999995</f>
        <v>0</v>
      </c>
      <c r="J305">
        <f>J265*309.041</f>
        <v>0</v>
      </c>
      <c r="K305">
        <f>K265*-231.78099999999998</f>
        <v>0</v>
      </c>
      <c r="L305">
        <f>L265*31.024</f>
        <v>0</v>
      </c>
      <c r="M305">
        <f>M265*-320.186</f>
        <v>0</v>
      </c>
      <c r="N305">
        <f>E305+F305+G305+H305+I305+J305+K305+L305</f>
        <v>0</v>
      </c>
    </row>
    <row r="306" spans="3:14">
      <c r="C306">
        <f>35.91</f>
        <v>0</v>
      </c>
      <c r="D306">
        <f>15.91</f>
        <v>0</v>
      </c>
      <c r="E306">
        <f>E265*-25.406</f>
        <v>0</v>
      </c>
      <c r="F306">
        <f>F265*-194.86599999999999</f>
        <v>0</v>
      </c>
      <c r="G306">
        <f>G265*-27.691</f>
        <v>0</v>
      </c>
      <c r="H306">
        <f>H265*0.0</f>
        <v>0</v>
      </c>
      <c r="I306">
        <f>I265*5.041</f>
        <v>0</v>
      </c>
      <c r="J306">
        <f>J265*342.161</f>
        <v>0</v>
      </c>
      <c r="K306">
        <f>K265*-256.621</f>
        <v>0</v>
      </c>
      <c r="L306">
        <f>L265*32.288000000000004</f>
        <v>0</v>
      </c>
      <c r="M306">
        <f>M265*-272.189</f>
        <v>0</v>
      </c>
      <c r="N306">
        <f>E306+F306+G306+H306+I306+J306+K306+L306</f>
        <v>0</v>
      </c>
    </row>
    <row r="307" spans="3:14">
      <c r="C307">
        <f>36.82</f>
        <v>0</v>
      </c>
      <c r="D307">
        <f>16.82</f>
        <v>0</v>
      </c>
      <c r="E307">
        <f>E265*-14.757</f>
        <v>0</v>
      </c>
      <c r="F307">
        <f>F265*-137.87</f>
        <v>0</v>
      </c>
      <c r="G307">
        <f>G265*-19.993</f>
        <v>0</v>
      </c>
      <c r="H307">
        <f>H265*0.0</f>
        <v>0</v>
      </c>
      <c r="I307">
        <f>I265*5.5489999999999995</f>
        <v>0</v>
      </c>
      <c r="J307">
        <f>J265*370.759</f>
        <v>0</v>
      </c>
      <c r="K307">
        <f>K265*-278.069</f>
        <v>0</v>
      </c>
      <c r="L307">
        <f>L265*32.515</f>
        <v>0</v>
      </c>
      <c r="M307">
        <f>M265*-201.08900000000003</f>
        <v>0</v>
      </c>
      <c r="N307">
        <f>E307+F307+G307+H307+I307+J307+K307+L307</f>
        <v>0</v>
      </c>
    </row>
    <row r="308" spans="3:14">
      <c r="C308">
        <f>37.73</f>
        <v>0</v>
      </c>
      <c r="D308">
        <f>17.73</f>
        <v>0</v>
      </c>
      <c r="E308">
        <f>E265*-7.422999999999999</f>
        <v>0</v>
      </c>
      <c r="F308">
        <f>F265*-92.75299999999999</f>
        <v>0</v>
      </c>
      <c r="G308">
        <f>G265*-13.739</f>
        <v>0</v>
      </c>
      <c r="H308">
        <f>H265*0.0</f>
        <v>0</v>
      </c>
      <c r="I308">
        <f>I265*5.29</f>
        <v>0</v>
      </c>
      <c r="J308">
        <f>J265*364.9</f>
        <v>0</v>
      </c>
      <c r="K308">
        <f>K265*-273.675</f>
        <v>0</v>
      </c>
      <c r="L308">
        <f>L265*29.425</f>
        <v>0</v>
      </c>
      <c r="M308">
        <f>M265*-140.29399999999998</f>
        <v>0</v>
      </c>
      <c r="N308">
        <f>E308+F308+G308+H308+I308+J308+K308+L308</f>
        <v>0</v>
      </c>
    </row>
    <row r="309" spans="3:14">
      <c r="C309">
        <f>38.64</f>
        <v>0</v>
      </c>
      <c r="D309">
        <f>18.64</f>
        <v>0</v>
      </c>
      <c r="E309">
        <f>E265*-3.733</f>
        <v>0</v>
      </c>
      <c r="F309">
        <f>F265*-59.831</f>
        <v>0</v>
      </c>
      <c r="G309">
        <f>G265*-8.974</f>
        <v>0</v>
      </c>
      <c r="H309">
        <f>H265*0.0</f>
        <v>0</v>
      </c>
      <c r="I309">
        <f>I265*3.616</f>
        <v>0</v>
      </c>
      <c r="J309">
        <f>J265*309.871</f>
        <v>0</v>
      </c>
      <c r="K309">
        <f>K265*-232.40400000000002</f>
        <v>0</v>
      </c>
      <c r="L309">
        <f>L265*20.109</f>
        <v>0</v>
      </c>
      <c r="M309">
        <f>M265*-94.454</f>
        <v>0</v>
      </c>
      <c r="N309">
        <f>E309+F309+G309+H309+I309+J309+K309+L309</f>
        <v>0</v>
      </c>
    </row>
    <row r="310" spans="3:14">
      <c r="C310">
        <f>39.55</f>
        <v>0</v>
      </c>
      <c r="D310">
        <f>19.55</f>
        <v>0</v>
      </c>
      <c r="E310">
        <f>E265*-1.203</f>
        <v>0</v>
      </c>
      <c r="F310">
        <f>F265*-14.517999999999999</f>
        <v>0</v>
      </c>
      <c r="G310">
        <f>G265*-2.256</f>
        <v>0</v>
      </c>
      <c r="H310">
        <f>H265*0.0</f>
        <v>0</v>
      </c>
      <c r="I310">
        <f>I265*1.4040000000000001</f>
        <v>0</v>
      </c>
      <c r="J310">
        <f>J265*233.94099999999997</f>
        <v>0</v>
      </c>
      <c r="K310">
        <f>K265*-175.456</f>
        <v>0</v>
      </c>
      <c r="L310">
        <f>L265*11.619000000000002</f>
        <v>0</v>
      </c>
      <c r="M310">
        <f>M265*-27.624000000000002</f>
        <v>0</v>
      </c>
      <c r="N310">
        <f>E310+F310+G310+H310+I310+J310+K310+L310</f>
        <v>0</v>
      </c>
    </row>
    <row r="311" spans="3:14">
      <c r="C311">
        <f>40.0</f>
        <v>0</v>
      </c>
      <c r="D311">
        <f>20.0</f>
        <v>0</v>
      </c>
      <c r="E311">
        <f>E265*-1.203</f>
        <v>0</v>
      </c>
      <c r="F311">
        <f>F265*-14.469000000000001</f>
        <v>0</v>
      </c>
      <c r="G311">
        <f>G265*-2.138</f>
        <v>0</v>
      </c>
      <c r="H311">
        <f>H265*0.0</f>
        <v>0</v>
      </c>
      <c r="I311">
        <f>I265*0.565</f>
        <v>0</v>
      </c>
      <c r="J311">
        <f>J265*204.123</f>
        <v>0</v>
      </c>
      <c r="K311">
        <f>K265*-153.092</f>
        <v>0</v>
      </c>
      <c r="L311">
        <f>L265*8.445</f>
        <v>0</v>
      </c>
      <c r="M311">
        <f>M265*-23.854</f>
        <v>0</v>
      </c>
      <c r="N311">
        <f>E311+F311+G311+H311+I311+J311+K311+L311</f>
        <v>0</v>
      </c>
    </row>
    <row r="312" spans="3:14">
      <c r="C312">
        <f>40.0</f>
        <v>0</v>
      </c>
      <c r="D312">
        <f>0.0</f>
        <v>0</v>
      </c>
      <c r="E312">
        <f>E265*-0.308</f>
        <v>0</v>
      </c>
      <c r="F312">
        <f>F265*-4.717</f>
        <v>0</v>
      </c>
      <c r="G312">
        <f>G265*-0.758</f>
        <v>0</v>
      </c>
      <c r="H312">
        <f>H265*0.0</f>
        <v>0</v>
      </c>
      <c r="I312">
        <f>I265*-5.619</f>
        <v>0</v>
      </c>
      <c r="J312">
        <f>J265*194.088</f>
        <v>0</v>
      </c>
      <c r="K312">
        <f>K265*-145.566</f>
        <v>0</v>
      </c>
      <c r="L312">
        <f>L265*4.205</f>
        <v>0</v>
      </c>
      <c r="M312">
        <f>M265*-18.333</f>
        <v>0</v>
      </c>
      <c r="N312">
        <f>E312+F312+G312+H312+I312+J312+K312+L312</f>
        <v>0</v>
      </c>
    </row>
    <row r="313" spans="3:14">
      <c r="C313">
        <f>40.45</f>
        <v>0</v>
      </c>
      <c r="D313">
        <f>0.45</f>
        <v>0</v>
      </c>
      <c r="E313">
        <f>E265*1.3659999999999999</f>
        <v>0</v>
      </c>
      <c r="F313">
        <f>F265*-23.256</f>
        <v>0</v>
      </c>
      <c r="G313">
        <f>G265*-3.572</f>
        <v>0</v>
      </c>
      <c r="H313">
        <f>H265*0.0</f>
        <v>0</v>
      </c>
      <c r="I313">
        <f>I265*33.093</f>
        <v>0</v>
      </c>
      <c r="J313">
        <f>J265*213.044</f>
        <v>0</v>
      </c>
      <c r="K313">
        <f>K265*-159.783</f>
        <v>0</v>
      </c>
      <c r="L313">
        <f>L265*38.071</f>
        <v>0</v>
      </c>
      <c r="M313">
        <f>M265*-74.11399999999999</f>
        <v>0</v>
      </c>
      <c r="N313">
        <f>E313+F313+G313+H313+I313+J313+K313+L313</f>
        <v>0</v>
      </c>
    </row>
    <row r="314" spans="3:14">
      <c r="C314">
        <f>41.36</f>
        <v>0</v>
      </c>
      <c r="D314">
        <f>1.36</f>
        <v>0</v>
      </c>
      <c r="E314">
        <f>E265*1.915</f>
        <v>0</v>
      </c>
      <c r="F314">
        <f>F265*-31.265</f>
        <v>0</v>
      </c>
      <c r="G314">
        <f>G265*-4.913</f>
        <v>0</v>
      </c>
      <c r="H314">
        <f>H265*0.0</f>
        <v>0</v>
      </c>
      <c r="I314">
        <f>I265*30.885</f>
        <v>0</v>
      </c>
      <c r="J314">
        <f>J265*308.72900000000004</f>
        <v>0</v>
      </c>
      <c r="K314">
        <f>K265*-231.547</f>
        <v>0</v>
      </c>
      <c r="L314">
        <f>L265*35.02</f>
        <v>0</v>
      </c>
      <c r="M314">
        <f>M265*-92.23</f>
        <v>0</v>
      </c>
      <c r="N314">
        <f>E314+F314+G314+H314+I314+J314+K314+L314</f>
        <v>0</v>
      </c>
    </row>
    <row r="315" spans="3:14">
      <c r="C315">
        <f>42.27</f>
        <v>0</v>
      </c>
      <c r="D315">
        <f>2.27</f>
        <v>0</v>
      </c>
      <c r="E315">
        <f>E265*0.8690000000000001</f>
        <v>0</v>
      </c>
      <c r="F315">
        <f>F265*-33.66</f>
        <v>0</v>
      </c>
      <c r="G315">
        <f>G265*-5.2620000000000005</f>
        <v>0</v>
      </c>
      <c r="H315">
        <f>H265*0.0</f>
        <v>0</v>
      </c>
      <c r="I315">
        <f>I265*18.579</f>
        <v>0</v>
      </c>
      <c r="J315">
        <f>J265*395.42800000000005</f>
        <v>0</v>
      </c>
      <c r="K315">
        <f>K265*-296.57099999999997</f>
        <v>0</v>
      </c>
      <c r="L315">
        <f>L265*24.798000000000002</f>
        <v>0</v>
      </c>
      <c r="M315">
        <f>M265*-96.125</f>
        <v>0</v>
      </c>
      <c r="N315">
        <f>E315+F315+G315+H315+I315+J315+K315+L315</f>
        <v>0</v>
      </c>
    </row>
    <row r="316" spans="3:14">
      <c r="C316">
        <f>43.18</f>
        <v>0</v>
      </c>
      <c r="D316">
        <f>3.18</f>
        <v>0</v>
      </c>
      <c r="E316">
        <f>E265*-4.905</f>
        <v>0</v>
      </c>
      <c r="F316">
        <f>F265*-43.326</f>
        <v>0</v>
      </c>
      <c r="G316">
        <f>G265*-6.388</f>
        <v>0</v>
      </c>
      <c r="H316">
        <f>H265*0.0</f>
        <v>0</v>
      </c>
      <c r="I316">
        <f>I265*-8.091000000000001</f>
        <v>0</v>
      </c>
      <c r="J316">
        <f>J265*412.996</f>
        <v>0</v>
      </c>
      <c r="K316">
        <f>K265*-309.747</f>
        <v>0</v>
      </c>
      <c r="L316">
        <f>L265*23.816999999999997</f>
        <v>0</v>
      </c>
      <c r="M316">
        <f>M265*-110.34100000000001</f>
        <v>0</v>
      </c>
      <c r="N316">
        <f>E316+F316+G316+H316+I316+J316+K316+L316</f>
        <v>0</v>
      </c>
    </row>
    <row r="317" spans="3:14">
      <c r="C317">
        <f>44.09</f>
        <v>0</v>
      </c>
      <c r="D317">
        <f>4.09</f>
        <v>0</v>
      </c>
      <c r="E317">
        <f>E265*-9.99</f>
        <v>0</v>
      </c>
      <c r="F317">
        <f>F265*-51.003</f>
        <v>0</v>
      </c>
      <c r="G317">
        <f>G265*-7.087000000000001</f>
        <v>0</v>
      </c>
      <c r="H317">
        <f>H265*0.0</f>
        <v>0</v>
      </c>
      <c r="I317">
        <f>I265*-29.021</f>
        <v>0</v>
      </c>
      <c r="J317">
        <f>J265*401.471</f>
        <v>0</v>
      </c>
      <c r="K317">
        <f>K265*-301.103</f>
        <v>0</v>
      </c>
      <c r="L317">
        <f>L265*19.505</f>
        <v>0</v>
      </c>
      <c r="M317">
        <f>M265*-112.97200000000001</f>
        <v>0</v>
      </c>
      <c r="N317">
        <f>E317+F317+G317+H317+I317+J317+K317+L317</f>
        <v>0</v>
      </c>
    </row>
    <row r="318" spans="3:14">
      <c r="C318">
        <f>45.0</f>
        <v>0</v>
      </c>
      <c r="D318">
        <f>5.0</f>
        <v>0</v>
      </c>
      <c r="E318">
        <f>E265*-12.044</f>
        <v>0</v>
      </c>
      <c r="F318">
        <f>F265*-55.152</f>
        <v>0</v>
      </c>
      <c r="G318">
        <f>G265*-7.513999999999999</f>
        <v>0</v>
      </c>
      <c r="H318">
        <f>H265*0.0</f>
        <v>0</v>
      </c>
      <c r="I318">
        <f>I265*-36.668</f>
        <v>0</v>
      </c>
      <c r="J318">
        <f>J265*396.444</f>
        <v>0</v>
      </c>
      <c r="K318">
        <f>K265*-297.33299999999997</f>
        <v>0</v>
      </c>
      <c r="L318">
        <f>L265*17.01</f>
        <v>0</v>
      </c>
      <c r="M318">
        <f>M265*-116.24</f>
        <v>0</v>
      </c>
      <c r="N318">
        <f>E318+F318+G318+H318+I318+J318+K318+L318</f>
        <v>0</v>
      </c>
    </row>
    <row r="319" spans="3:14">
      <c r="C319">
        <f>46.0</f>
        <v>0</v>
      </c>
      <c r="D319">
        <f>6.0</f>
        <v>0</v>
      </c>
      <c r="E319">
        <f>E265*-11.392999999999999</f>
        <v>0</v>
      </c>
      <c r="F319">
        <f>F265*-55.604</f>
        <v>0</v>
      </c>
      <c r="G319">
        <f>G265*-7.624</f>
        <v>0</v>
      </c>
      <c r="H319">
        <f>H265*0.0</f>
        <v>0</v>
      </c>
      <c r="I319">
        <f>I265*-35.708</f>
        <v>0</v>
      </c>
      <c r="J319">
        <f>J265*450.904</f>
        <v>0</v>
      </c>
      <c r="K319">
        <f>K265*-338.17800000000005</f>
        <v>0</v>
      </c>
      <c r="L319">
        <f>L265*11.892999999999999</f>
        <v>0</v>
      </c>
      <c r="M319">
        <f>M265*-116.35799999999999</f>
        <v>0</v>
      </c>
      <c r="N319">
        <f>E319+F319+G319+H319+I319+J319+K319+L319</f>
        <v>0</v>
      </c>
    </row>
    <row r="320" spans="3:14">
      <c r="C320">
        <f>47.0</f>
        <v>0</v>
      </c>
      <c r="D320">
        <f>7.0</f>
        <v>0</v>
      </c>
      <c r="E320">
        <f>E265*-7.659</f>
        <v>0</v>
      </c>
      <c r="F320">
        <f>F265*-52.166000000000004</f>
        <v>0</v>
      </c>
      <c r="G320">
        <f>G265*-7.416</f>
        <v>0</v>
      </c>
      <c r="H320">
        <f>H265*0.0</f>
        <v>0</v>
      </c>
      <c r="I320">
        <f>I265*-23.331999999999997</f>
        <v>0</v>
      </c>
      <c r="J320">
        <f>J265*482.825</f>
        <v>0</v>
      </c>
      <c r="K320">
        <f>K265*-362.119</f>
        <v>0</v>
      </c>
      <c r="L320">
        <f>L265*10.796</f>
        <v>0</v>
      </c>
      <c r="M320">
        <f>M265*-111.59</f>
        <v>0</v>
      </c>
      <c r="N320">
        <f>E320+F320+G320+H320+I320+J320+K320+L320</f>
        <v>0</v>
      </c>
    </row>
    <row r="321" spans="3:14">
      <c r="C321">
        <f>48.0</f>
        <v>0</v>
      </c>
      <c r="D321">
        <f>8.0</f>
        <v>0</v>
      </c>
      <c r="E321">
        <f>E265*-4.244</f>
        <v>0</v>
      </c>
      <c r="F321">
        <f>F265*-43.677</f>
        <v>0</v>
      </c>
      <c r="G321">
        <f>G265*-6.403</f>
        <v>0</v>
      </c>
      <c r="H321">
        <f>H265*0.0</f>
        <v>0</v>
      </c>
      <c r="I321">
        <f>I265*-13.825</f>
        <v>0</v>
      </c>
      <c r="J321">
        <f>J265*462.67199999999997</f>
        <v>0</v>
      </c>
      <c r="K321">
        <f>K265*-347.004</f>
        <v>0</v>
      </c>
      <c r="L321">
        <f>L265*9.152999999999999</f>
        <v>0</v>
      </c>
      <c r="M321">
        <f>M265*-97.76100000000001</f>
        <v>0</v>
      </c>
      <c r="N321">
        <f>E321+F321+G321+H321+I321+J321+K321+L321</f>
        <v>0</v>
      </c>
    </row>
    <row r="322" spans="3:14">
      <c r="C322">
        <f>49.0</f>
        <v>0</v>
      </c>
      <c r="D322">
        <f>9.0</f>
        <v>0</v>
      </c>
      <c r="E322">
        <f>E265*-1.71</f>
        <v>0</v>
      </c>
      <c r="F322">
        <f>F265*-30.369</f>
        <v>0</v>
      </c>
      <c r="G322">
        <f>G265*-4.535</f>
        <v>0</v>
      </c>
      <c r="H322">
        <f>H265*0.0</f>
        <v>0</v>
      </c>
      <c r="I322">
        <f>I265*-7.024</f>
        <v>0</v>
      </c>
      <c r="J322">
        <f>J265*328.155</f>
        <v>0</v>
      </c>
      <c r="K322">
        <f>K265*-246.11599999999999</f>
        <v>0</v>
      </c>
      <c r="L322">
        <f>L265*5.337999999999999</f>
        <v>0</v>
      </c>
      <c r="M322">
        <f>M265*-70.32300000000001</f>
        <v>0</v>
      </c>
      <c r="N322">
        <f>E322+F322+G322+H322+I322+J322+K322+L322</f>
        <v>0</v>
      </c>
    </row>
    <row r="323" spans="3:14">
      <c r="C323">
        <f>50.0</f>
        <v>0</v>
      </c>
      <c r="D323">
        <f>10.0</f>
        <v>0</v>
      </c>
      <c r="E323">
        <f>E265*0.04</f>
        <v>0</v>
      </c>
      <c r="F323">
        <f>F265*-16.691</f>
        <v>0</v>
      </c>
      <c r="G323">
        <f>G265*-2.574</f>
        <v>0</v>
      </c>
      <c r="H323">
        <f>H265*0.0</f>
        <v>0</v>
      </c>
      <c r="I323">
        <f>I265*-0.797</f>
        <v>0</v>
      </c>
      <c r="J323">
        <f>J265*176.262</f>
        <v>0</v>
      </c>
      <c r="K323">
        <f>K265*-132.197</f>
        <v>0</v>
      </c>
      <c r="L323">
        <f>L265*0.815</f>
        <v>0</v>
      </c>
      <c r="M323">
        <f>M265*-39.655</f>
        <v>0</v>
      </c>
      <c r="N323">
        <f>E323+F323+G323+H323+I323+J323+K323+L323</f>
        <v>0</v>
      </c>
    </row>
    <row r="330" spans="3:14">
      <c r="C330" t="s">
        <v>0</v>
      </c>
      <c r="D330" t="s">
        <v>1</v>
      </c>
      <c r="E330" t="s">
        <v>2</v>
      </c>
      <c r="F330" t="s">
        <v>3</v>
      </c>
      <c r="G330" t="s">
        <v>4</v>
      </c>
      <c r="H330" t="s">
        <v>5</v>
      </c>
      <c r="I330" t="s">
        <v>6</v>
      </c>
      <c r="J330" t="s">
        <v>7</v>
      </c>
      <c r="K330" t="s">
        <v>8</v>
      </c>
      <c r="L330" t="s">
        <v>9</v>
      </c>
      <c r="M330" t="s">
        <v>10</v>
      </c>
      <c r="N330" t="s">
        <v>11</v>
      </c>
    </row>
    <row r="331" spans="3:14">
      <c r="C331">
        <f>0.0</f>
        <v>0</v>
      </c>
      <c r="D331">
        <f>0.0</f>
        <v>0</v>
      </c>
      <c r="E331">
        <f>E329*3.3371</f>
        <v>0</v>
      </c>
      <c r="F331">
        <f>F329*1.79</f>
        <v>0</v>
      </c>
      <c r="G331">
        <f>G329*0.0292</f>
        <v>0</v>
      </c>
      <c r="H331">
        <f>H329*0.0</f>
        <v>0</v>
      </c>
      <c r="I331">
        <f>I329*-0.0309</f>
        <v>0</v>
      </c>
      <c r="J331">
        <f>J329*-51.5315</f>
        <v>0</v>
      </c>
      <c r="K331">
        <f>K329*38.6486</f>
        <v>0</v>
      </c>
      <c r="L331">
        <f>L329*120.4678</f>
        <v>0</v>
      </c>
      <c r="M331">
        <f>M329*-134.1462</f>
        <v>0</v>
      </c>
      <c r="N331">
        <f>E331+F331+G331+H331+I331+J331+K331+L331</f>
        <v>0</v>
      </c>
    </row>
    <row r="332" spans="3:14">
      <c r="C332">
        <f>1.0</f>
        <v>0</v>
      </c>
      <c r="D332">
        <f>1.0</f>
        <v>0</v>
      </c>
      <c r="E332">
        <f>E329*3.8718</f>
        <v>0</v>
      </c>
      <c r="F332">
        <f>F329*2.3753</f>
        <v>0</v>
      </c>
      <c r="G332">
        <f>G329*0.1275</f>
        <v>0</v>
      </c>
      <c r="H332">
        <f>H329*0.0</f>
        <v>0</v>
      </c>
      <c r="I332">
        <f>I329*-0.034</f>
        <v>0</v>
      </c>
      <c r="J332">
        <f>J329*-54.2878</f>
        <v>0</v>
      </c>
      <c r="K332">
        <f>K329*40.7158</f>
        <v>0</v>
      </c>
      <c r="L332">
        <f>L329*124.1802</f>
        <v>0</v>
      </c>
      <c r="M332">
        <f>M329*-124.0169</f>
        <v>0</v>
      </c>
      <c r="N332">
        <f>E332+F332+G332+H332+I332+J332+K332+L332</f>
        <v>0</v>
      </c>
    </row>
    <row r="333" spans="3:14">
      <c r="C333">
        <f>2.0</f>
        <v>0</v>
      </c>
      <c r="D333">
        <f>2.0</f>
        <v>0</v>
      </c>
      <c r="E333">
        <f>E329*4.8221</f>
        <v>0</v>
      </c>
      <c r="F333">
        <f>F329*2.457</f>
        <v>0</v>
      </c>
      <c r="G333">
        <f>G329*0.0689</f>
        <v>0</v>
      </c>
      <c r="H333">
        <f>H329*0.0</f>
        <v>0</v>
      </c>
      <c r="I333">
        <f>I329*-0.04</f>
        <v>0</v>
      </c>
      <c r="J333">
        <f>J329*-59.0757</f>
        <v>0</v>
      </c>
      <c r="K333">
        <f>K329*44.3068</f>
        <v>0</v>
      </c>
      <c r="L333">
        <f>L329*131.7736</f>
        <v>0</v>
      </c>
      <c r="M333">
        <f>M329*-127.5067</f>
        <v>0</v>
      </c>
      <c r="N333">
        <f>E333+F333+G333+H333+I333+J333+K333+L333</f>
        <v>0</v>
      </c>
    </row>
    <row r="334" spans="3:14">
      <c r="C334">
        <f>3.0</f>
        <v>0</v>
      </c>
      <c r="D334">
        <f>3.0</f>
        <v>0</v>
      </c>
      <c r="E334">
        <f>E329*5.2095</f>
        <v>0</v>
      </c>
      <c r="F334">
        <f>F329*2.6206</f>
        <v>0</v>
      </c>
      <c r="G334">
        <f>G329*0.0628</f>
        <v>0</v>
      </c>
      <c r="H334">
        <f>H329*0.0</f>
        <v>0</v>
      </c>
      <c r="I334">
        <f>I329*-0.0458</f>
        <v>0</v>
      </c>
      <c r="J334">
        <f>J329*-54.5981</f>
        <v>0</v>
      </c>
      <c r="K334">
        <f>K329*40.9486</f>
        <v>0</v>
      </c>
      <c r="L334">
        <f>L329*136.3573</f>
        <v>0</v>
      </c>
      <c r="M334">
        <f>M329*-126.7155</f>
        <v>0</v>
      </c>
      <c r="N334">
        <f>E334+F334+G334+H334+I334+J334+K334+L334</f>
        <v>0</v>
      </c>
    </row>
    <row r="335" spans="3:14">
      <c r="C335">
        <f>4.0</f>
        <v>0</v>
      </c>
      <c r="D335">
        <f>4.0</f>
        <v>0</v>
      </c>
      <c r="E335">
        <f>E329*4.8906</f>
        <v>0</v>
      </c>
      <c r="F335">
        <f>F329*2.7629</f>
        <v>0</v>
      </c>
      <c r="G335">
        <f>G329*0.1109</f>
        <v>0</v>
      </c>
      <c r="H335">
        <f>H329*0.0</f>
        <v>0</v>
      </c>
      <c r="I335">
        <f>I329*-0.0515</f>
        <v>0</v>
      </c>
      <c r="J335">
        <f>J329*-47.6193</f>
        <v>0</v>
      </c>
      <c r="K335">
        <f>K329*35.7145</f>
        <v>0</v>
      </c>
      <c r="L335">
        <f>L329*140.9542</f>
        <v>0</v>
      </c>
      <c r="M335">
        <f>M329*-125.1859</f>
        <v>0</v>
      </c>
      <c r="N335">
        <f>E335+F335+G335+H335+I335+J335+K335+L335</f>
        <v>0</v>
      </c>
    </row>
    <row r="336" spans="3:14">
      <c r="C336">
        <f>5.0</f>
        <v>0</v>
      </c>
      <c r="D336">
        <f>5.0</f>
        <v>0</v>
      </c>
      <c r="E336">
        <f>E329*4.1001</f>
        <v>0</v>
      </c>
      <c r="F336">
        <f>F329*2.7108</f>
        <v>0</v>
      </c>
      <c r="G336">
        <f>G329*0.1424</f>
        <v>0</v>
      </c>
      <c r="H336">
        <f>H329*0.0</f>
        <v>0</v>
      </c>
      <c r="I336">
        <f>I329*-0.055999999999999994</f>
        <v>0</v>
      </c>
      <c r="J336">
        <f>J329*-45.0827</f>
        <v>0</v>
      </c>
      <c r="K336">
        <f>K329*33.812</f>
        <v>0</v>
      </c>
      <c r="L336">
        <f>L329*140.8178</f>
        <v>0</v>
      </c>
      <c r="M336">
        <f>M329*-124.2806</f>
        <v>0</v>
      </c>
      <c r="N336">
        <f>E336+F336+G336+H336+I336+J336+K336+L336</f>
        <v>0</v>
      </c>
    </row>
    <row r="337" spans="3:14">
      <c r="C337">
        <f>6.0</f>
        <v>0</v>
      </c>
      <c r="D337">
        <f>6.0</f>
        <v>0</v>
      </c>
      <c r="E337">
        <f>E329*2.5742</f>
        <v>0</v>
      </c>
      <c r="F337">
        <f>F329*0.6688</f>
        <v>0</v>
      </c>
      <c r="G337">
        <f>G329*-0.0855</f>
        <v>0</v>
      </c>
      <c r="H337">
        <f>H329*0.0</f>
        <v>0</v>
      </c>
      <c r="I337">
        <f>I329*-0.0579</f>
        <v>0</v>
      </c>
      <c r="J337">
        <f>J329*-36.3949</f>
        <v>0</v>
      </c>
      <c r="K337">
        <f>K329*27.2962</f>
        <v>0</v>
      </c>
      <c r="L337">
        <f>L329*132.7878</f>
        <v>0</v>
      </c>
      <c r="M337">
        <f>M329*-117.4191</f>
        <v>0</v>
      </c>
      <c r="N337">
        <f>E337+F337+G337+H337+I337+J337+K337+L337</f>
        <v>0</v>
      </c>
    </row>
    <row r="338" spans="3:14">
      <c r="C338">
        <f>7.0</f>
        <v>0</v>
      </c>
      <c r="D338">
        <f>7.0</f>
        <v>0</v>
      </c>
      <c r="E338">
        <f>E329*1.9568</f>
        <v>0</v>
      </c>
      <c r="F338">
        <f>F329*0.6192</f>
        <v>0</v>
      </c>
      <c r="G338">
        <f>G329*-0.039</f>
        <v>0</v>
      </c>
      <c r="H338">
        <f>H329*0.0</f>
        <v>0</v>
      </c>
      <c r="I338">
        <f>I329*-0.0595</f>
        <v>0</v>
      </c>
      <c r="J338">
        <f>J329*-28.491999999999997</f>
        <v>0</v>
      </c>
      <c r="K338">
        <f>K329*21.369</f>
        <v>0</v>
      </c>
      <c r="L338">
        <f>L329*124.0548</f>
        <v>0</v>
      </c>
      <c r="M338">
        <f>M329*-106.1133</f>
        <v>0</v>
      </c>
      <c r="N338">
        <f>E338+F338+G338+H338+I338+J338+K338+L338</f>
        <v>0</v>
      </c>
    </row>
    <row r="339" spans="3:14">
      <c r="C339">
        <f>8.0</f>
        <v>0</v>
      </c>
      <c r="D339">
        <f>8.0</f>
        <v>0</v>
      </c>
      <c r="E339">
        <f>E329*1.655</f>
        <v>0</v>
      </c>
      <c r="F339">
        <f>F329*0.6916</f>
        <v>0</v>
      </c>
      <c r="G339">
        <f>G329*0.0083</f>
        <v>0</v>
      </c>
      <c r="H339">
        <f>H329*0.0</f>
        <v>0</v>
      </c>
      <c r="I339">
        <f>I329*-0.0625</f>
        <v>0</v>
      </c>
      <c r="J339">
        <f>J329*-16.2708</f>
        <v>0</v>
      </c>
      <c r="K339">
        <f>K329*12.2031</f>
        <v>0</v>
      </c>
      <c r="L339">
        <f>L329*115.925</f>
        <v>0</v>
      </c>
      <c r="M339">
        <f>M329*-97.5967</f>
        <v>0</v>
      </c>
      <c r="N339">
        <f>E339+F339+G339+H339+I339+J339+K339+L339</f>
        <v>0</v>
      </c>
    </row>
    <row r="340" spans="3:14">
      <c r="C340">
        <f>9.0</f>
        <v>0</v>
      </c>
      <c r="D340">
        <f>9.0</f>
        <v>0</v>
      </c>
      <c r="E340">
        <f>E329*1.1425</f>
        <v>0</v>
      </c>
      <c r="F340">
        <f>F329*0.7977</f>
        <v>0</v>
      </c>
      <c r="G340">
        <f>G329*0.0639</f>
        <v>0</v>
      </c>
      <c r="H340">
        <f>H329*0.0</f>
        <v>0</v>
      </c>
      <c r="I340">
        <f>I329*-0.0666</f>
        <v>0</v>
      </c>
      <c r="J340">
        <f>J329*-6.3872</f>
        <v>0</v>
      </c>
      <c r="K340">
        <f>K329*4.7904</f>
        <v>0</v>
      </c>
      <c r="L340">
        <f>L329*110.2947</f>
        <v>0</v>
      </c>
      <c r="M340">
        <f>M329*-91.3431</f>
        <v>0</v>
      </c>
      <c r="N340">
        <f>E340+F340+G340+H340+I340+J340+K340+L340</f>
        <v>0</v>
      </c>
    </row>
    <row r="341" spans="3:14">
      <c r="C341">
        <f>10.0</f>
        <v>0</v>
      </c>
      <c r="D341">
        <f>10.0</f>
        <v>0</v>
      </c>
      <c r="E341">
        <f>E329*0.4757</f>
        <v>0</v>
      </c>
      <c r="F341">
        <f>F329*-1.9899</f>
        <v>0</v>
      </c>
      <c r="G341">
        <f>G329*-0.3356</f>
        <v>0</v>
      </c>
      <c r="H341">
        <f>H329*0.0</f>
        <v>0</v>
      </c>
      <c r="I341">
        <f>I329*-0.0699</f>
        <v>0</v>
      </c>
      <c r="J341">
        <f>J329*-6.8665</f>
        <v>0</v>
      </c>
      <c r="K341">
        <f>K329*5.1499</f>
        <v>0</v>
      </c>
      <c r="L341">
        <f>L329*103.9679</f>
        <v>0</v>
      </c>
      <c r="M341">
        <f>M329*-89.5156</f>
        <v>0</v>
      </c>
      <c r="N341">
        <f>E341+F341+G341+H341+I341+J341+K341+L341</f>
        <v>0</v>
      </c>
    </row>
    <row r="342" spans="3:14">
      <c r="C342">
        <f>11.0</f>
        <v>0</v>
      </c>
      <c r="D342">
        <f>11.0</f>
        <v>0</v>
      </c>
      <c r="E342">
        <f>E329*-0.3293</f>
        <v>0</v>
      </c>
      <c r="F342">
        <f>F329*-2.0035</f>
        <v>0</v>
      </c>
      <c r="G342">
        <f>G329*-0.29600000000000004</f>
        <v>0</v>
      </c>
      <c r="H342">
        <f>H329*0.0</f>
        <v>0</v>
      </c>
      <c r="I342">
        <f>I329*-0.07</f>
        <v>0</v>
      </c>
      <c r="J342">
        <f>J329*-8.5452</f>
        <v>0</v>
      </c>
      <c r="K342">
        <f>K329*6.4089</f>
        <v>0</v>
      </c>
      <c r="L342">
        <f>L329*87.1375</f>
        <v>0</v>
      </c>
      <c r="M342">
        <f>M329*-93.4784</f>
        <v>0</v>
      </c>
      <c r="N342">
        <f>E342+F342+G342+H342+I342+J342+K342+L342</f>
        <v>0</v>
      </c>
    </row>
    <row r="343" spans="3:14">
      <c r="C343">
        <f>12.0</f>
        <v>0</v>
      </c>
      <c r="D343">
        <f>12.0</f>
        <v>0</v>
      </c>
      <c r="E343">
        <f>E329*-0.7755</f>
        <v>0</v>
      </c>
      <c r="F343">
        <f>F329*-1.4194</f>
        <v>0</v>
      </c>
      <c r="G343">
        <f>G329*-0.1825</f>
        <v>0</v>
      </c>
      <c r="H343">
        <f>H329*0.0</f>
        <v>0</v>
      </c>
      <c r="I343">
        <f>I329*-0.0702</f>
        <v>0</v>
      </c>
      <c r="J343">
        <f>J329*3.7555</f>
        <v>0</v>
      </c>
      <c r="K343">
        <f>K329*-2.8166</f>
        <v>0</v>
      </c>
      <c r="L343">
        <f>L329*90.1329</f>
        <v>0</v>
      </c>
      <c r="M343">
        <f>M329*-92.6436</f>
        <v>0</v>
      </c>
      <c r="N343">
        <f>E343+F343+G343+H343+I343+J343+K343+L343</f>
        <v>0</v>
      </c>
    </row>
    <row r="344" spans="3:14">
      <c r="C344">
        <f>13.0</f>
        <v>0</v>
      </c>
      <c r="D344">
        <f>13.0</f>
        <v>0</v>
      </c>
      <c r="E344">
        <f>E329*-0.9262</f>
        <v>0</v>
      </c>
      <c r="F344">
        <f>F329*-0.4924</f>
        <v>0</v>
      </c>
      <c r="G344">
        <f>G329*0.045</f>
        <v>0</v>
      </c>
      <c r="H344">
        <f>H329*0.0</f>
        <v>0</v>
      </c>
      <c r="I344">
        <f>I329*-0.0725</f>
        <v>0</v>
      </c>
      <c r="J344">
        <f>J329*14.8008</f>
        <v>0</v>
      </c>
      <c r="K344">
        <f>K329*-11.1006</f>
        <v>0</v>
      </c>
      <c r="L344">
        <f>L329*89.3992</f>
        <v>0</v>
      </c>
      <c r="M344">
        <f>M329*-100.9425</f>
        <v>0</v>
      </c>
      <c r="N344">
        <f>E344+F344+G344+H344+I344+J344+K344+L344</f>
        <v>0</v>
      </c>
    </row>
    <row r="345" spans="3:14">
      <c r="C345">
        <f>14.0</f>
        <v>0</v>
      </c>
      <c r="D345">
        <f>14.0</f>
        <v>0</v>
      </c>
      <c r="E345">
        <f>E329*-1.2892</f>
        <v>0</v>
      </c>
      <c r="F345">
        <f>F329*1.3381</f>
        <v>0</v>
      </c>
      <c r="G345">
        <f>G329*0.2584</f>
        <v>0</v>
      </c>
      <c r="H345">
        <f>H329*0.0</f>
        <v>0</v>
      </c>
      <c r="I345">
        <f>I329*-0.0765</f>
        <v>0</v>
      </c>
      <c r="J345">
        <f>J329*21.6284</f>
        <v>0</v>
      </c>
      <c r="K345">
        <f>K329*-16.2213</f>
        <v>0</v>
      </c>
      <c r="L345">
        <f>L329*99.6507</f>
        <v>0</v>
      </c>
      <c r="M345">
        <f>M329*-112.3236</f>
        <v>0</v>
      </c>
      <c r="N345">
        <f>E345+F345+G345+H345+I345+J345+K345+L345</f>
        <v>0</v>
      </c>
    </row>
    <row r="346" spans="3:14">
      <c r="C346">
        <f>15.0</f>
        <v>0</v>
      </c>
      <c r="D346">
        <f>15.0</f>
        <v>0</v>
      </c>
      <c r="E346">
        <f>E329*-1.9963</f>
        <v>0</v>
      </c>
      <c r="F346">
        <f>F329*3.5431</f>
        <v>0</v>
      </c>
      <c r="G346">
        <f>G329*0.5674</f>
        <v>0</v>
      </c>
      <c r="H346">
        <f>H329*0.0</f>
        <v>0</v>
      </c>
      <c r="I346">
        <f>I329*-0.0831</f>
        <v>0</v>
      </c>
      <c r="J346">
        <f>J329*22.778000000000002</f>
        <v>0</v>
      </c>
      <c r="K346">
        <f>K329*-17.0835</f>
        <v>0</v>
      </c>
      <c r="L346">
        <f>L329*110.3321</f>
        <v>0</v>
      </c>
      <c r="M346">
        <f>M329*-124.1516</f>
        <v>0</v>
      </c>
      <c r="N346">
        <f>E346+F346+G346+H346+I346+J346+K346+L346</f>
        <v>0</v>
      </c>
    </row>
    <row r="347" spans="3:14">
      <c r="C347">
        <f>15.91</f>
        <v>0</v>
      </c>
      <c r="D347">
        <f>15.91</f>
        <v>0</v>
      </c>
      <c r="E347">
        <f>E329*-2.4462</f>
        <v>0</v>
      </c>
      <c r="F347">
        <f>F329*5.3266</f>
        <v>0</v>
      </c>
      <c r="G347">
        <f>G329*0.8459</f>
        <v>0</v>
      </c>
      <c r="H347">
        <f>H329*0.0</f>
        <v>0</v>
      </c>
      <c r="I347">
        <f>I329*-0.0832</f>
        <v>0</v>
      </c>
      <c r="J347">
        <f>J329*24.903000000000002</f>
        <v>0</v>
      </c>
      <c r="K347">
        <f>K329*-18.6772</f>
        <v>0</v>
      </c>
      <c r="L347">
        <f>L329*116.8331</f>
        <v>0</v>
      </c>
      <c r="M347">
        <f>M329*-126.06200000000001</f>
        <v>0</v>
      </c>
      <c r="N347">
        <f>E347+F347+G347+H347+I347+J347+K347+L347</f>
        <v>0</v>
      </c>
    </row>
    <row r="348" spans="3:14">
      <c r="C348">
        <f>16.82</f>
        <v>0</v>
      </c>
      <c r="D348">
        <f>16.82</f>
        <v>0</v>
      </c>
      <c r="E348">
        <f>E329*-2.7288</f>
        <v>0</v>
      </c>
      <c r="F348">
        <f>F329*7.4702</f>
        <v>0</v>
      </c>
      <c r="G348">
        <f>G329*1.1775</f>
        <v>0</v>
      </c>
      <c r="H348">
        <f>H329*0.0</f>
        <v>0</v>
      </c>
      <c r="I348">
        <f>I329*-0.0828</f>
        <v>0</v>
      </c>
      <c r="J348">
        <f>J329*33.8576</f>
        <v>0</v>
      </c>
      <c r="K348">
        <f>K329*-25.3932</f>
        <v>0</v>
      </c>
      <c r="L348">
        <f>L329*126.6876</f>
        <v>0</v>
      </c>
      <c r="M348">
        <f>M329*-127.5843</f>
        <v>0</v>
      </c>
      <c r="N348">
        <f>E348+F348+G348+H348+I348+J348+K348+L348</f>
        <v>0</v>
      </c>
    </row>
    <row r="349" spans="3:14">
      <c r="C349">
        <f>17.73</f>
        <v>0</v>
      </c>
      <c r="D349">
        <f>17.73</f>
        <v>0</v>
      </c>
      <c r="E349">
        <f>E329*-2.6211</f>
        <v>0</v>
      </c>
      <c r="F349">
        <f>F329*9.7393</f>
        <v>0</v>
      </c>
      <c r="G349">
        <f>G329*1.5029</f>
        <v>0</v>
      </c>
      <c r="H349">
        <f>H329*0.0</f>
        <v>0</v>
      </c>
      <c r="I349">
        <f>I329*-0.0842</f>
        <v>0</v>
      </c>
      <c r="J349">
        <f>J329*45.7307</f>
        <v>0</v>
      </c>
      <c r="K349">
        <f>K329*-34.298</f>
        <v>0</v>
      </c>
      <c r="L349">
        <f>L329*141.7796</f>
        <v>0</v>
      </c>
      <c r="M349">
        <f>M329*-131.56799999999998</f>
        <v>0</v>
      </c>
      <c r="N349">
        <f>E349+F349+G349+H349+I349+J349+K349+L349</f>
        <v>0</v>
      </c>
    </row>
    <row r="350" spans="3:14">
      <c r="C350">
        <f>18.64</f>
        <v>0</v>
      </c>
      <c r="D350">
        <f>18.64</f>
        <v>0</v>
      </c>
      <c r="E350">
        <f>E329*-2.3728</f>
        <v>0</v>
      </c>
      <c r="F350">
        <f>F329*11.0305</f>
        <v>0</v>
      </c>
      <c r="G350">
        <f>G329*1.6763</f>
        <v>0</v>
      </c>
      <c r="H350">
        <f>H329*0.0</f>
        <v>0</v>
      </c>
      <c r="I350">
        <f>I329*-0.0856</f>
        <v>0</v>
      </c>
      <c r="J350">
        <f>J329*50.9748</f>
        <v>0</v>
      </c>
      <c r="K350">
        <f>K329*-38.2311</f>
        <v>0</v>
      </c>
      <c r="L350">
        <f>L329*157.1925</f>
        <v>0</v>
      </c>
      <c r="M350">
        <f>M329*-134.9416</f>
        <v>0</v>
      </c>
      <c r="N350">
        <f>E350+F350+G350+H350+I350+J350+K350+L350</f>
        <v>0</v>
      </c>
    </row>
    <row r="351" spans="3:14">
      <c r="C351">
        <f>19.55</f>
        <v>0</v>
      </c>
      <c r="D351">
        <f>19.55</f>
        <v>0</v>
      </c>
      <c r="E351">
        <f>E329*-2.0006</f>
        <v>0</v>
      </c>
      <c r="F351">
        <f>F329*13.4329</f>
        <v>0</v>
      </c>
      <c r="G351">
        <f>G329*1.9951</f>
        <v>0</v>
      </c>
      <c r="H351">
        <f>H329*0.0</f>
        <v>0</v>
      </c>
      <c r="I351">
        <f>I329*-0.0828</f>
        <v>0</v>
      </c>
      <c r="J351">
        <f>J329*45.0715</f>
        <v>0</v>
      </c>
      <c r="K351">
        <f>K329*-33.8036</f>
        <v>0</v>
      </c>
      <c r="L351">
        <f>L329*172.4272</f>
        <v>0</v>
      </c>
      <c r="M351">
        <f>M329*-150.4712</f>
        <v>0</v>
      </c>
      <c r="N351">
        <f>E351+F351+G351+H351+I351+J351+K351+L351</f>
        <v>0</v>
      </c>
    </row>
    <row r="352" spans="3:14">
      <c r="C352">
        <f>20.0</f>
        <v>0</v>
      </c>
      <c r="D352">
        <f>20.0</f>
        <v>0</v>
      </c>
      <c r="E352">
        <f>E329*-1.5381</f>
        <v>0</v>
      </c>
      <c r="F352">
        <f>F329*13.4329</f>
        <v>0</v>
      </c>
      <c r="G352">
        <f>G329*1.9951</f>
        <v>0</v>
      </c>
      <c r="H352">
        <f>H329*0.0</f>
        <v>0</v>
      </c>
      <c r="I352">
        <f>I329*-0.0828</f>
        <v>0</v>
      </c>
      <c r="J352">
        <f>J329*45.0715</f>
        <v>0</v>
      </c>
      <c r="K352">
        <f>K329*-33.8036</f>
        <v>0</v>
      </c>
      <c r="L352">
        <f>L329*172.4272</f>
        <v>0</v>
      </c>
      <c r="M352">
        <f>M329*-150.4712</f>
        <v>0</v>
      </c>
      <c r="N352">
        <f>E352+F352+G352+H352+I352+J352+K352+L352</f>
        <v>0</v>
      </c>
    </row>
    <row r="353" spans="3:14">
      <c r="C353">
        <f>20.0</f>
        <v>0</v>
      </c>
      <c r="D353">
        <f>0.0</f>
        <v>0</v>
      </c>
      <c r="E353">
        <f>E329*1.1469</f>
        <v>0</v>
      </c>
      <c r="F353">
        <f>F329*-13.4027</f>
        <v>0</v>
      </c>
      <c r="G353">
        <f>G329*-1.9653</f>
        <v>0</v>
      </c>
      <c r="H353">
        <f>H329*0.0</f>
        <v>0</v>
      </c>
      <c r="I353">
        <f>I329*-1.9355</f>
        <v>0</v>
      </c>
      <c r="J353">
        <f>J329*-40.1101</f>
        <v>0</v>
      </c>
      <c r="K353">
        <f>K329*30.0826</f>
        <v>0</v>
      </c>
      <c r="L353">
        <f>L329*110.78299999999999</f>
        <v>0</v>
      </c>
      <c r="M353">
        <f>M329*-124.5894</f>
        <v>0</v>
      </c>
      <c r="N353">
        <f>E353+F353+G353+H353+I353+J353+K353+L353</f>
        <v>0</v>
      </c>
    </row>
    <row r="354" spans="3:14">
      <c r="C354">
        <f>20.45</f>
        <v>0</v>
      </c>
      <c r="D354">
        <f>0.45</f>
        <v>0</v>
      </c>
      <c r="E354">
        <f>E329*1.5686</f>
        <v>0</v>
      </c>
      <c r="F354">
        <f>F329*-13.4027</f>
        <v>0</v>
      </c>
      <c r="G354">
        <f>G329*-1.9653</f>
        <v>0</v>
      </c>
      <c r="H354">
        <f>H329*0.0</f>
        <v>0</v>
      </c>
      <c r="I354">
        <f>I329*-2.102</f>
        <v>0</v>
      </c>
      <c r="J354">
        <f>J329*-40.1101</f>
        <v>0</v>
      </c>
      <c r="K354">
        <f>K329*30.0826</f>
        <v>0</v>
      </c>
      <c r="L354">
        <f>L329*146.3769</f>
        <v>0</v>
      </c>
      <c r="M354">
        <f>M329*-181.6904</f>
        <v>0</v>
      </c>
      <c r="N354">
        <f>E354+F354+G354+H354+I354+J354+K354+L354</f>
        <v>0</v>
      </c>
    </row>
    <row r="355" spans="3:14">
      <c r="C355">
        <f>21.36</f>
        <v>0</v>
      </c>
      <c r="D355">
        <f>1.36</f>
        <v>0</v>
      </c>
      <c r="E355">
        <f>E329*2.0105</f>
        <v>0</v>
      </c>
      <c r="F355">
        <f>F329*-11.7149</f>
        <v>0</v>
      </c>
      <c r="G355">
        <f>G329*-1.7784</f>
        <v>0</v>
      </c>
      <c r="H355">
        <f>H329*0.0</f>
        <v>0</v>
      </c>
      <c r="I355">
        <f>I329*-2.3161</f>
        <v>0</v>
      </c>
      <c r="J355">
        <f>J329*-46.0119</f>
        <v>0</v>
      </c>
      <c r="K355">
        <f>K329*34.5089</f>
        <v>0</v>
      </c>
      <c r="L355">
        <f>L329*154.9717</f>
        <v>0</v>
      </c>
      <c r="M355">
        <f>M329*-178.77700000000002</f>
        <v>0</v>
      </c>
      <c r="N355">
        <f>E355+F355+G355+H355+I355+J355+K355+L355</f>
        <v>0</v>
      </c>
    </row>
    <row r="356" spans="3:14">
      <c r="C356">
        <f>22.27</f>
        <v>0</v>
      </c>
      <c r="D356">
        <f>2.27</f>
        <v>0</v>
      </c>
      <c r="E356">
        <f>E329*2.359</f>
        <v>0</v>
      </c>
      <c r="F356">
        <f>F329*-11.2931</f>
        <v>0</v>
      </c>
      <c r="G356">
        <f>G329*-1.7052</f>
        <v>0</v>
      </c>
      <c r="H356">
        <f>H329*0.0</f>
        <v>0</v>
      </c>
      <c r="I356">
        <f>I329*-2.4331</f>
        <v>0</v>
      </c>
      <c r="J356">
        <f>J329*-42.5629</f>
        <v>0</v>
      </c>
      <c r="K356">
        <f>K329*31.9222</f>
        <v>0</v>
      </c>
      <c r="L356">
        <f>L329*154.3047</f>
        <v>0</v>
      </c>
      <c r="M356">
        <f>M329*-165.0974</f>
        <v>0</v>
      </c>
      <c r="N356">
        <f>E356+F356+G356+H356+I356+J356+K356+L356</f>
        <v>0</v>
      </c>
    </row>
    <row r="357" spans="3:14">
      <c r="C357">
        <f>23.18</f>
        <v>0</v>
      </c>
      <c r="D357">
        <f>3.18</f>
        <v>0</v>
      </c>
      <c r="E357">
        <f>E329*2.544</f>
        <v>0</v>
      </c>
      <c r="F357">
        <f>F329*-9.6877</f>
        <v>0</v>
      </c>
      <c r="G357">
        <f>G329*-1.4809</f>
        <v>0</v>
      </c>
      <c r="H357">
        <f>H329*0.0</f>
        <v>0</v>
      </c>
      <c r="I357">
        <f>I329*-2.5683</f>
        <v>0</v>
      </c>
      <c r="J357">
        <f>J329*-32.1638</f>
        <v>0</v>
      </c>
      <c r="K357">
        <f>K329*24.1229</f>
        <v>0</v>
      </c>
      <c r="L357">
        <f>L329*152.6806</f>
        <v>0</v>
      </c>
      <c r="M357">
        <f>M329*-153.2157</f>
        <v>0</v>
      </c>
      <c r="N357">
        <f>E357+F357+G357+H357+I357+J357+K357+L357</f>
        <v>0</v>
      </c>
    </row>
    <row r="358" spans="3:14">
      <c r="C358">
        <f>24.09</f>
        <v>0</v>
      </c>
      <c r="D358">
        <f>4.09</f>
        <v>0</v>
      </c>
      <c r="E358">
        <f>E329*2.3175</f>
        <v>0</v>
      </c>
      <c r="F358">
        <f>F329*-7.9432</f>
        <v>0</v>
      </c>
      <c r="G358">
        <f>G329*-1.2111</f>
        <v>0</v>
      </c>
      <c r="H358">
        <f>H329*0.0</f>
        <v>0</v>
      </c>
      <c r="I358">
        <f>I329*-2.7236</f>
        <v>0</v>
      </c>
      <c r="J358">
        <f>J329*-24.261999999999997</f>
        <v>0</v>
      </c>
      <c r="K358">
        <f>K329*18.1965</f>
        <v>0</v>
      </c>
      <c r="L358">
        <f>L329*151.9705</f>
        <v>0</v>
      </c>
      <c r="M358">
        <f>M329*-143.1147</f>
        <v>0</v>
      </c>
      <c r="N358">
        <f>E358+F358+G358+H358+I358+J358+K358+L358</f>
        <v>0</v>
      </c>
    </row>
    <row r="359" spans="3:14">
      <c r="C359">
        <f>25.0</f>
        <v>0</v>
      </c>
      <c r="D359">
        <f>5.0</f>
        <v>0</v>
      </c>
      <c r="E359">
        <f>E329*1.8904</f>
        <v>0</v>
      </c>
      <c r="F359">
        <f>F329*-6.3336</f>
        <v>0</v>
      </c>
      <c r="G359">
        <f>G329*-0.9609</f>
        <v>0</v>
      </c>
      <c r="H359">
        <f>H329*0.0</f>
        <v>0</v>
      </c>
      <c r="I359">
        <f>I329*-2.8867</f>
        <v>0</v>
      </c>
      <c r="J359">
        <f>J329*-22.8567</f>
        <v>0</v>
      </c>
      <c r="K359">
        <f>K329*17.1425</f>
        <v>0</v>
      </c>
      <c r="L359">
        <f>L329*149.90200000000002</f>
        <v>0</v>
      </c>
      <c r="M359">
        <f>M329*-135.0904</f>
        <v>0</v>
      </c>
      <c r="N359">
        <f>E359+F359+G359+H359+I359+J359+K359+L359</f>
        <v>0</v>
      </c>
    </row>
    <row r="360" spans="3:14">
      <c r="C360">
        <f>26.0</f>
        <v>0</v>
      </c>
      <c r="D360">
        <f>6.0</f>
        <v>0</v>
      </c>
      <c r="E360">
        <f>E329*1.2452</f>
        <v>0</v>
      </c>
      <c r="F360">
        <f>F329*-3.8523</f>
        <v>0</v>
      </c>
      <c r="G360">
        <f>G329*-0.614</f>
        <v>0</v>
      </c>
      <c r="H360">
        <f>H329*0.0</f>
        <v>0</v>
      </c>
      <c r="I360">
        <f>I329*-2.8742</f>
        <v>0</v>
      </c>
      <c r="J360">
        <f>J329*-21.9355</f>
        <v>0</v>
      </c>
      <c r="K360">
        <f>K329*16.4516</f>
        <v>0</v>
      </c>
      <c r="L360">
        <f>L329*135.6646</f>
        <v>0</v>
      </c>
      <c r="M360">
        <f>M329*-123.3472</f>
        <v>0</v>
      </c>
      <c r="N360">
        <f>E360+F360+G360+H360+I360+J360+K360+L360</f>
        <v>0</v>
      </c>
    </row>
    <row r="361" spans="3:14">
      <c r="C361">
        <f>27.0</f>
        <v>0</v>
      </c>
      <c r="D361">
        <f>7.0</f>
        <v>0</v>
      </c>
      <c r="E361">
        <f>E329*0.9645</f>
        <v>0</v>
      </c>
      <c r="F361">
        <f>F329*-2.431</f>
        <v>0</v>
      </c>
      <c r="G361">
        <f>G329*-0.3892</f>
        <v>0</v>
      </c>
      <c r="H361">
        <f>H329*0.0</f>
        <v>0</v>
      </c>
      <c r="I361">
        <f>I329*-2.8229</f>
        <v>0</v>
      </c>
      <c r="J361">
        <f>J329*-16.0335</f>
        <v>0</v>
      </c>
      <c r="K361">
        <f>K329*12.0251</f>
        <v>0</v>
      </c>
      <c r="L361">
        <f>L329*122.0706</f>
        <v>0</v>
      </c>
      <c r="M361">
        <f>M329*-106.3622</f>
        <v>0</v>
      </c>
      <c r="N361">
        <f>E361+F361+G361+H361+I361+J361+K361+L361</f>
        <v>0</v>
      </c>
    </row>
    <row r="362" spans="3:14">
      <c r="C362">
        <f>28.0</f>
        <v>0</v>
      </c>
      <c r="D362">
        <f>8.0</f>
        <v>0</v>
      </c>
      <c r="E362">
        <f>E329*0.909</f>
        <v>0</v>
      </c>
      <c r="F362">
        <f>F329*-1.1971</f>
        <v>0</v>
      </c>
      <c r="G362">
        <f>G329*-0.1984</f>
        <v>0</v>
      </c>
      <c r="H362">
        <f>H329*0.0</f>
        <v>0</v>
      </c>
      <c r="I362">
        <f>I329*-2.7775</f>
        <v>0</v>
      </c>
      <c r="J362">
        <f>J329*-6.0871</f>
        <v>0</v>
      </c>
      <c r="K362">
        <f>K329*4.5654</f>
        <v>0</v>
      </c>
      <c r="L362">
        <f>L329*111.5209</f>
        <v>0</v>
      </c>
      <c r="M362">
        <f>M329*-95.7852</f>
        <v>0</v>
      </c>
      <c r="N362">
        <f>E362+F362+G362+H362+I362+J362+K362+L362</f>
        <v>0</v>
      </c>
    </row>
    <row r="363" spans="3:14">
      <c r="C363">
        <f>29.0</f>
        <v>0</v>
      </c>
      <c r="D363">
        <f>9.0</f>
        <v>0</v>
      </c>
      <c r="E363">
        <f>E329*0.5653</f>
        <v>0</v>
      </c>
      <c r="F363">
        <f>F329*0.3073</f>
        <v>0</v>
      </c>
      <c r="G363">
        <f>G329*0.0317</f>
        <v>0</v>
      </c>
      <c r="H363">
        <f>H329*0.0</f>
        <v>0</v>
      </c>
      <c r="I363">
        <f>I329*-2.7547</f>
        <v>0</v>
      </c>
      <c r="J363">
        <f>J329*4.17</f>
        <v>0</v>
      </c>
      <c r="K363">
        <f>K329*-3.1275</f>
        <v>0</v>
      </c>
      <c r="L363">
        <f>L329*103.4751</f>
        <v>0</v>
      </c>
      <c r="M363">
        <f>M329*-90.6793</f>
        <v>0</v>
      </c>
      <c r="N363">
        <f>E363+F363+G363+H363+I363+J363+K363+L363</f>
        <v>0</v>
      </c>
    </row>
    <row r="364" spans="3:14">
      <c r="C364">
        <f>30.0</f>
        <v>0</v>
      </c>
      <c r="D364">
        <f>10.0</f>
        <v>0</v>
      </c>
      <c r="E364">
        <f>E329*0.2478</f>
        <v>0</v>
      </c>
      <c r="F364">
        <f>F329*-1.6759</f>
        <v>0</v>
      </c>
      <c r="G364">
        <f>G329*-0.2715</f>
        <v>0</v>
      </c>
      <c r="H364">
        <f>H329*0.0</f>
        <v>0</v>
      </c>
      <c r="I364">
        <f>I329*-2.6735</f>
        <v>0</v>
      </c>
      <c r="J364">
        <f>J329*-3.5866</f>
        <v>0</v>
      </c>
      <c r="K364">
        <f>K329*2.6899</f>
        <v>0</v>
      </c>
      <c r="L364">
        <f>L329*98.4356</f>
        <v>0</v>
      </c>
      <c r="M364">
        <f>M329*-97.9184</f>
        <v>0</v>
      </c>
      <c r="N364">
        <f>E364+F364+G364+H364+I364+J364+K364+L364</f>
        <v>0</v>
      </c>
    </row>
    <row r="365" spans="3:14">
      <c r="C365">
        <f>31.0</f>
        <v>0</v>
      </c>
      <c r="D365">
        <f>11.0</f>
        <v>0</v>
      </c>
      <c r="E365">
        <f>E329*-0.4705</f>
        <v>0</v>
      </c>
      <c r="F365">
        <f>F329*-1.4783</f>
        <v>0</v>
      </c>
      <c r="G365">
        <f>G329*-0.2072</f>
        <v>0</v>
      </c>
      <c r="H365">
        <f>H329*0.0</f>
        <v>0</v>
      </c>
      <c r="I365">
        <f>I329*-2.3337</f>
        <v>0</v>
      </c>
      <c r="J365">
        <f>J329*-6.101</f>
        <v>0</v>
      </c>
      <c r="K365">
        <f>K329*4.5758</f>
        <v>0</v>
      </c>
      <c r="L365">
        <f>L329*89.4707</f>
        <v>0</v>
      </c>
      <c r="M365">
        <f>M329*-102.9259</f>
        <v>0</v>
      </c>
      <c r="N365">
        <f>E365+F365+G365+H365+I365+J365+K365+L365</f>
        <v>0</v>
      </c>
    </row>
    <row r="366" spans="3:14">
      <c r="C366">
        <f>32.0</f>
        <v>0</v>
      </c>
      <c r="D366">
        <f>12.0</f>
        <v>0</v>
      </c>
      <c r="E366">
        <f>E329*-0.8218</f>
        <v>0</v>
      </c>
      <c r="F366">
        <f>F329*-0.6421</f>
        <v>0</v>
      </c>
      <c r="G366">
        <f>G329*-0.0671</f>
        <v>0</v>
      </c>
      <c r="H366">
        <f>H329*0.0</f>
        <v>0</v>
      </c>
      <c r="I366">
        <f>I329*-1.8461</f>
        <v>0</v>
      </c>
      <c r="J366">
        <f>J329*4.1139</f>
        <v>0</v>
      </c>
      <c r="K366">
        <f>K329*-3.0854</f>
        <v>0</v>
      </c>
      <c r="L366">
        <f>L329*94.0838</f>
        <v>0</v>
      </c>
      <c r="M366">
        <f>M329*-108.9823</f>
        <v>0</v>
      </c>
      <c r="N366">
        <f>E366+F366+G366+H366+I366+J366+K366+L366</f>
        <v>0</v>
      </c>
    </row>
    <row r="367" spans="3:14">
      <c r="C367">
        <f>33.0</f>
        <v>0</v>
      </c>
      <c r="D367">
        <f>13.0</f>
        <v>0</v>
      </c>
      <c r="E367">
        <f>E329*-0.8927</f>
        <v>0</v>
      </c>
      <c r="F367">
        <f>F329*0.8851</f>
        <v>0</v>
      </c>
      <c r="G367">
        <f>G329*0.1601</f>
        <v>0</v>
      </c>
      <c r="H367">
        <f>H329*0.0</f>
        <v>0</v>
      </c>
      <c r="I367">
        <f>I329*-1.2488</f>
        <v>0</v>
      </c>
      <c r="J367">
        <f>J329*14.0643</f>
        <v>0</v>
      </c>
      <c r="K367">
        <f>K329*-10.5482</f>
        <v>0</v>
      </c>
      <c r="L367">
        <f>L329*103.5481</f>
        <v>0</v>
      </c>
      <c r="M367">
        <f>M329*-119.8832</f>
        <v>0</v>
      </c>
      <c r="N367">
        <f>E367+F367+G367+H367+I367+J367+K367+L367</f>
        <v>0</v>
      </c>
    </row>
    <row r="368" spans="3:14">
      <c r="C368">
        <f>34.0</f>
        <v>0</v>
      </c>
      <c r="D368">
        <f>14.0</f>
        <v>0</v>
      </c>
      <c r="E368">
        <f>E329*-1.1977</f>
        <v>0</v>
      </c>
      <c r="F368">
        <f>F329*2.0838</f>
        <v>0</v>
      </c>
      <c r="G368">
        <f>G329*0.3534</f>
        <v>0</v>
      </c>
      <c r="H368">
        <f>H329*0.0</f>
        <v>0</v>
      </c>
      <c r="I368">
        <f>I329*-0.6144</f>
        <v>0</v>
      </c>
      <c r="J368">
        <f>J329*20.0285</f>
        <v>0</v>
      </c>
      <c r="K368">
        <f>K329*-15.0214</f>
        <v>0</v>
      </c>
      <c r="L368">
        <f>L329*120.7989</f>
        <v>0</v>
      </c>
      <c r="M368">
        <f>M329*-134.30200000000002</f>
        <v>0</v>
      </c>
      <c r="N368">
        <f>E368+F368+G368+H368+I368+J368+K368+L368</f>
        <v>0</v>
      </c>
    </row>
    <row r="369" spans="3:14">
      <c r="C369">
        <f>35.0</f>
        <v>0</v>
      </c>
      <c r="D369">
        <f>15.0</f>
        <v>0</v>
      </c>
      <c r="E369">
        <f>E329*-1.8788</f>
        <v>0</v>
      </c>
      <c r="F369">
        <f>F329*3.4127</f>
        <v>0</v>
      </c>
      <c r="G369">
        <f>G329*0.5332</f>
        <v>0</v>
      </c>
      <c r="H369">
        <f>H329*0.0</f>
        <v>0</v>
      </c>
      <c r="I369">
        <f>I329*2.8887</f>
        <v>0</v>
      </c>
      <c r="J369">
        <f>J329*20.3916</f>
        <v>0</v>
      </c>
      <c r="K369">
        <f>K329*-15.2937</f>
        <v>0</v>
      </c>
      <c r="L369">
        <f>L329*132.2718</f>
        <v>0</v>
      </c>
      <c r="M369">
        <f>M329*-148.2269</f>
        <v>0</v>
      </c>
      <c r="N369">
        <f>E369+F369+G369+H369+I369+J369+K369+L369</f>
        <v>0</v>
      </c>
    </row>
    <row r="370" spans="3:14">
      <c r="C370">
        <f>35.91</f>
        <v>0</v>
      </c>
      <c r="D370">
        <f>15.91</f>
        <v>0</v>
      </c>
      <c r="E370">
        <f>E329*-2.3676</f>
        <v>0</v>
      </c>
      <c r="F370">
        <f>F329*4.8812</f>
        <v>0</v>
      </c>
      <c r="G370">
        <f>G329*0.7649</f>
        <v>0</v>
      </c>
      <c r="H370">
        <f>H329*0.0</f>
        <v>0</v>
      </c>
      <c r="I370">
        <f>I329*3.967</f>
        <v>0</v>
      </c>
      <c r="J370">
        <f>J329*22.1781</f>
        <v>0</v>
      </c>
      <c r="K370">
        <f>K329*-16.6336</f>
        <v>0</v>
      </c>
      <c r="L370">
        <f>L329*140.0761</f>
        <v>0</v>
      </c>
      <c r="M370">
        <f>M329*-150.3219</f>
        <v>0</v>
      </c>
      <c r="N370">
        <f>E370+F370+G370+H370+I370+J370+K370+L370</f>
        <v>0</v>
      </c>
    </row>
    <row r="371" spans="3:14">
      <c r="C371">
        <f>36.82</f>
        <v>0</v>
      </c>
      <c r="D371">
        <f>16.82</f>
        <v>0</v>
      </c>
      <c r="E371">
        <f>E329*-2.6643</f>
        <v>0</v>
      </c>
      <c r="F371">
        <f>F329*6.6844</f>
        <v>0</v>
      </c>
      <c r="G371">
        <f>G329*1.0467</f>
        <v>0</v>
      </c>
      <c r="H371">
        <f>H329*0.0</f>
        <v>0</v>
      </c>
      <c r="I371">
        <f>I329*4.8924</f>
        <v>0</v>
      </c>
      <c r="J371">
        <f>J329*30.9038</f>
        <v>0</v>
      </c>
      <c r="K371">
        <f>K329*-23.1779</f>
        <v>0</v>
      </c>
      <c r="L371">
        <f>L329*151.0</f>
        <v>0</v>
      </c>
      <c r="M371">
        <f>M329*-151.543</f>
        <v>0</v>
      </c>
      <c r="N371">
        <f>E371+F371+G371+H371+I371+J371+K371+L371</f>
        <v>0</v>
      </c>
    </row>
    <row r="372" spans="3:14">
      <c r="C372">
        <f>37.73</f>
        <v>0</v>
      </c>
      <c r="D372">
        <f>17.73</f>
        <v>0</v>
      </c>
      <c r="E372">
        <f>E329*-2.5797</f>
        <v>0</v>
      </c>
      <c r="F372">
        <f>F329*8.594</f>
        <v>0</v>
      </c>
      <c r="G372">
        <f>G329*1.3202</f>
        <v>0</v>
      </c>
      <c r="H372">
        <f>H329*0.0</f>
        <v>0</v>
      </c>
      <c r="I372">
        <f>I329*5.5048</f>
        <v>0</v>
      </c>
      <c r="J372">
        <f>J329*42.6446</f>
        <v>0</v>
      </c>
      <c r="K372">
        <f>K329*-31.9834</f>
        <v>0</v>
      </c>
      <c r="L372">
        <f>L329*166.90099999999998</f>
        <v>0</v>
      </c>
      <c r="M372">
        <f>M329*-154.0177</f>
        <v>0</v>
      </c>
      <c r="N372">
        <f>E372+F372+G372+H372+I372+J372+K372+L372</f>
        <v>0</v>
      </c>
    </row>
    <row r="373" spans="3:14">
      <c r="C373">
        <f>38.64</f>
        <v>0</v>
      </c>
      <c r="D373">
        <f>18.64</f>
        <v>0</v>
      </c>
      <c r="E373">
        <f>E329*-2.3545</f>
        <v>0</v>
      </c>
      <c r="F373">
        <f>F329*9.7135</f>
        <v>0</v>
      </c>
      <c r="G373">
        <f>G329*1.4699</f>
        <v>0</v>
      </c>
      <c r="H373">
        <f>H329*0.0</f>
        <v>0</v>
      </c>
      <c r="I373">
        <f>I329*5.4245</f>
        <v>0</v>
      </c>
      <c r="J373">
        <f>J329*47.9874</f>
        <v>0</v>
      </c>
      <c r="K373">
        <f>K329*-35.9906</f>
        <v>0</v>
      </c>
      <c r="L373">
        <f>L329*181.81400000000002</f>
        <v>0</v>
      </c>
      <c r="M373">
        <f>M329*-157.3171</f>
        <v>0</v>
      </c>
      <c r="N373">
        <f>E373+F373+G373+H373+I373+J373+K373+L373</f>
        <v>0</v>
      </c>
    </row>
    <row r="374" spans="3:14">
      <c r="C374">
        <f>39.55</f>
        <v>0</v>
      </c>
      <c r="D374">
        <f>19.55</f>
        <v>0</v>
      </c>
      <c r="E374">
        <f>E329*-1.9922</f>
        <v>0</v>
      </c>
      <c r="F374">
        <f>F329*11.5298</f>
        <v>0</v>
      </c>
      <c r="G374">
        <f>G329*1.7085</f>
        <v>0</v>
      </c>
      <c r="H374">
        <f>H329*0.0</f>
        <v>0</v>
      </c>
      <c r="I374">
        <f>I329*7.3442</f>
        <v>0</v>
      </c>
      <c r="J374">
        <f>J329*42.6043</f>
        <v>0</v>
      </c>
      <c r="K374">
        <f>K329*-31.9532</f>
        <v>0</v>
      </c>
      <c r="L374">
        <f>L329*194.6023</f>
        <v>0</v>
      </c>
      <c r="M374">
        <f>M329*-174.007</f>
        <v>0</v>
      </c>
      <c r="N374">
        <f>E374+F374+G374+H374+I374+J374+K374+L374</f>
        <v>0</v>
      </c>
    </row>
    <row r="375" spans="3:14">
      <c r="C375">
        <f>40.0</f>
        <v>0</v>
      </c>
      <c r="D375">
        <f>20.0</f>
        <v>0</v>
      </c>
      <c r="E375">
        <f>E329*-1.6104</f>
        <v>0</v>
      </c>
      <c r="F375">
        <f>F329*11.5298</f>
        <v>0</v>
      </c>
      <c r="G375">
        <f>G329*1.7085</f>
        <v>0</v>
      </c>
      <c r="H375">
        <f>H329*0.0</f>
        <v>0</v>
      </c>
      <c r="I375">
        <f>I329*7.3442</f>
        <v>0</v>
      </c>
      <c r="J375">
        <f>J329*42.6043</f>
        <v>0</v>
      </c>
      <c r="K375">
        <f>K329*-31.9532</f>
        <v>0</v>
      </c>
      <c r="L375">
        <f>L329*194.6023</f>
        <v>0</v>
      </c>
      <c r="M375">
        <f>M329*-174.007</f>
        <v>0</v>
      </c>
      <c r="N375">
        <f>E375+F375+G375+H375+I375+J375+K375+L375</f>
        <v>0</v>
      </c>
    </row>
    <row r="376" spans="3:14">
      <c r="C376">
        <f>40.0</f>
        <v>0</v>
      </c>
      <c r="D376">
        <f>0.0</f>
        <v>0</v>
      </c>
      <c r="E376">
        <f>E329*0.8019</f>
        <v>0</v>
      </c>
      <c r="F376">
        <f>F329*-10.8193</f>
        <v>0</v>
      </c>
      <c r="G376">
        <f>G329*-1.5633</f>
        <v>0</v>
      </c>
      <c r="H376">
        <f>H329*0.0</f>
        <v>0</v>
      </c>
      <c r="I376">
        <f>I329*-39.7855</f>
        <v>0</v>
      </c>
      <c r="J376">
        <f>J329*-32.1283</f>
        <v>0</v>
      </c>
      <c r="K376">
        <f>K329*24.0962</f>
        <v>0</v>
      </c>
      <c r="L376">
        <f>L329*30.7836</f>
        <v>0</v>
      </c>
      <c r="M376">
        <f>M329*-46.0664</f>
        <v>0</v>
      </c>
      <c r="N376">
        <f>E376+F376+G376+H376+I376+J376+K376+L376</f>
        <v>0</v>
      </c>
    </row>
    <row r="377" spans="3:14">
      <c r="C377">
        <f>40.45</f>
        <v>0</v>
      </c>
      <c r="D377">
        <f>0.45</f>
        <v>0</v>
      </c>
      <c r="E377">
        <f>E329*1.0249</f>
        <v>0</v>
      </c>
      <c r="F377">
        <f>F329*-10.8193</f>
        <v>0</v>
      </c>
      <c r="G377">
        <f>G329*-1.5633</f>
        <v>0</v>
      </c>
      <c r="H377">
        <f>H329*0.0</f>
        <v>0</v>
      </c>
      <c r="I377">
        <f>I329*-39.7855</f>
        <v>0</v>
      </c>
      <c r="J377">
        <f>J329*-32.1283</f>
        <v>0</v>
      </c>
      <c r="K377">
        <f>K329*24.0962</f>
        <v>0</v>
      </c>
      <c r="L377">
        <f>L329*83.3723</f>
        <v>0</v>
      </c>
      <c r="M377">
        <f>M329*-98.5589</f>
        <v>0</v>
      </c>
      <c r="N377">
        <f>E377+F377+G377+H377+I377+J377+K377+L377</f>
        <v>0</v>
      </c>
    </row>
    <row r="378" spans="3:14">
      <c r="C378">
        <f>41.36</f>
        <v>0</v>
      </c>
      <c r="D378">
        <f>1.36</f>
        <v>0</v>
      </c>
      <c r="E378">
        <f>E329*1.3722</f>
        <v>0</v>
      </c>
      <c r="F378">
        <f>F329*-10.6596</f>
        <v>0</v>
      </c>
      <c r="G378">
        <f>G329*-1.5922</f>
        <v>0</v>
      </c>
      <c r="H378">
        <f>H329*0.0</f>
        <v>0</v>
      </c>
      <c r="I378">
        <f>I329*-34.5905</f>
        <v>0</v>
      </c>
      <c r="J378">
        <f>J329*-38.3039</f>
        <v>0</v>
      </c>
      <c r="K378">
        <f>K329*28.7279</f>
        <v>0</v>
      </c>
      <c r="L378">
        <f>L329*84.5674</f>
        <v>0</v>
      </c>
      <c r="M378">
        <f>M329*-95.3652</f>
        <v>0</v>
      </c>
      <c r="N378">
        <f>E378+F378+G378+H378+I378+J378+K378+L378</f>
        <v>0</v>
      </c>
    </row>
    <row r="379" spans="3:14">
      <c r="C379">
        <f>42.27</f>
        <v>0</v>
      </c>
      <c r="D379">
        <f>2.27</f>
        <v>0</v>
      </c>
      <c r="E379">
        <f>E329*1.4453</f>
        <v>0</v>
      </c>
      <c r="F379">
        <f>F329*-10.594000000000001</f>
        <v>0</v>
      </c>
      <c r="G379">
        <f>G329*-1.5659</f>
        <v>0</v>
      </c>
      <c r="H379">
        <f>H329*0.0</f>
        <v>0</v>
      </c>
      <c r="I379">
        <f>I329*-29.1885</f>
        <v>0</v>
      </c>
      <c r="J379">
        <f>J329*-34.1651</f>
        <v>0</v>
      </c>
      <c r="K379">
        <f>K329*25.6238</f>
        <v>0</v>
      </c>
      <c r="L379">
        <f>L329*81.6044</f>
        <v>0</v>
      </c>
      <c r="M379">
        <f>M329*-89.677</f>
        <v>0</v>
      </c>
      <c r="N379">
        <f>E379+F379+G379+H379+I379+J379+K379+L379</f>
        <v>0</v>
      </c>
    </row>
    <row r="380" spans="3:14">
      <c r="C380">
        <f>43.18</f>
        <v>0</v>
      </c>
      <c r="D380">
        <f>3.18</f>
        <v>0</v>
      </c>
      <c r="E380">
        <f>E329*1.2689</f>
        <v>0</v>
      </c>
      <c r="F380">
        <f>F329*-9.7042</f>
        <v>0</v>
      </c>
      <c r="G380">
        <f>G329*-1.4281</f>
        <v>0</v>
      </c>
      <c r="H380">
        <f>H329*0.0</f>
        <v>0</v>
      </c>
      <c r="I380">
        <f>I329*-23.0367</f>
        <v>0</v>
      </c>
      <c r="J380">
        <f>J329*-21.4738</f>
        <v>0</v>
      </c>
      <c r="K380">
        <f>K329*16.1054</f>
        <v>0</v>
      </c>
      <c r="L380">
        <f>L329*77.7942</f>
        <v>0</v>
      </c>
      <c r="M380">
        <f>M329*-80.9791</f>
        <v>0</v>
      </c>
      <c r="N380">
        <f>E380+F380+G380+H380+I380+J380+K380+L380</f>
        <v>0</v>
      </c>
    </row>
    <row r="381" spans="3:14">
      <c r="C381">
        <f>44.09</f>
        <v>0</v>
      </c>
      <c r="D381">
        <f>4.09</f>
        <v>0</v>
      </c>
      <c r="E381">
        <f>E329*0.7697</f>
        <v>0</v>
      </c>
      <c r="F381">
        <f>F329*-8.3447</f>
        <v>0</v>
      </c>
      <c r="G381">
        <f>G329*-1.1915</f>
        <v>0</v>
      </c>
      <c r="H381">
        <f>H329*0.0</f>
        <v>0</v>
      </c>
      <c r="I381">
        <f>I329*-17.2317</f>
        <v>0</v>
      </c>
      <c r="J381">
        <f>J329*-10.3183</f>
        <v>0</v>
      </c>
      <c r="K381">
        <f>K329*7.7387</f>
        <v>0</v>
      </c>
      <c r="L381">
        <f>L329*76.6773</f>
        <v>0</v>
      </c>
      <c r="M381">
        <f>M329*-74.5259</f>
        <v>0</v>
      </c>
      <c r="N381">
        <f>E381+F381+G381+H381+I381+J381+K381+L381</f>
        <v>0</v>
      </c>
    </row>
    <row r="382" spans="3:14">
      <c r="C382">
        <f>45.0</f>
        <v>0</v>
      </c>
      <c r="D382">
        <f>5.0</f>
        <v>0</v>
      </c>
      <c r="E382">
        <f>E329*-0.965</f>
        <v>0</v>
      </c>
      <c r="F382">
        <f>F329*-6.5697</f>
        <v>0</v>
      </c>
      <c r="G382">
        <f>G329*-0.8861</f>
        <v>0</v>
      </c>
      <c r="H382">
        <f>H329*0.0</f>
        <v>0</v>
      </c>
      <c r="I382">
        <f>I329*-9.783999999999999</f>
        <v>0</v>
      </c>
      <c r="J382">
        <f>J329*11.9964</f>
        <v>0</v>
      </c>
      <c r="K382">
        <f>K329*-8.9973</f>
        <v>0</v>
      </c>
      <c r="L382">
        <f>L329*76.0505</f>
        <v>0</v>
      </c>
      <c r="M382">
        <f>M329*-82.2789</f>
        <v>0</v>
      </c>
      <c r="N382">
        <f>E382+F382+G382+H382+I382+J382+K382+L382</f>
        <v>0</v>
      </c>
    </row>
    <row r="383" spans="3:14">
      <c r="C383">
        <f>46.0</f>
        <v>0</v>
      </c>
      <c r="D383">
        <f>6.0</f>
        <v>0</v>
      </c>
      <c r="E383">
        <f>E329*-2.1489</f>
        <v>0</v>
      </c>
      <c r="F383">
        <f>F329*-2.7881</f>
        <v>0</v>
      </c>
      <c r="G383">
        <f>G329*-0.26899999999999996</f>
        <v>0</v>
      </c>
      <c r="H383">
        <f>H329*0.0</f>
        <v>0</v>
      </c>
      <c r="I383">
        <f>I329*15.5338</f>
        <v>0</v>
      </c>
      <c r="J383">
        <f>J329*21.0356</f>
        <v>0</v>
      </c>
      <c r="K383">
        <f>K329*-15.7767</f>
        <v>0</v>
      </c>
      <c r="L383">
        <f>L329*69.4229</f>
        <v>0</v>
      </c>
      <c r="M383">
        <f>M329*-79.5384</f>
        <v>0</v>
      </c>
      <c r="N383">
        <f>E383+F383+G383+H383+I383+J383+K383+L383</f>
        <v>0</v>
      </c>
    </row>
    <row r="384" spans="3:14">
      <c r="C384">
        <f>47.0</f>
        <v>0</v>
      </c>
      <c r="D384">
        <f>7.0</f>
        <v>0</v>
      </c>
      <c r="E384">
        <f>E329*-2.9267</f>
        <v>0</v>
      </c>
      <c r="F384">
        <f>F329*-1.1831</f>
        <v>0</v>
      </c>
      <c r="G384">
        <f>G329*0.1249</f>
        <v>0</v>
      </c>
      <c r="H384">
        <f>H329*0.0</f>
        <v>0</v>
      </c>
      <c r="I384">
        <f>I329*21.5148</f>
        <v>0</v>
      </c>
      <c r="J384">
        <f>J329*36.6748</f>
        <v>0</v>
      </c>
      <c r="K384">
        <f>K329*-27.5061</f>
        <v>0</v>
      </c>
      <c r="L384">
        <f>L329*73.6998</f>
        <v>0</v>
      </c>
      <c r="M384">
        <f>M329*-80.9125</f>
        <v>0</v>
      </c>
      <c r="N384">
        <f>E384+F384+G384+H384+I384+J384+K384+L384</f>
        <v>0</v>
      </c>
    </row>
    <row r="385" spans="3:14">
      <c r="C385">
        <f>48.0</f>
        <v>0</v>
      </c>
      <c r="D385">
        <f>8.0</f>
        <v>0</v>
      </c>
      <c r="E385">
        <f>E329*-3.2682</f>
        <v>0</v>
      </c>
      <c r="F385">
        <f>F329*0.4539</f>
        <v>0</v>
      </c>
      <c r="G385">
        <f>G329*0.3188</f>
        <v>0</v>
      </c>
      <c r="H385">
        <f>H329*0.0</f>
        <v>0</v>
      </c>
      <c r="I385">
        <f>I329*27.99</f>
        <v>0</v>
      </c>
      <c r="J385">
        <f>J329*53.3167</f>
        <v>0</v>
      </c>
      <c r="K385">
        <f>K329*-39.9876</f>
        <v>0</v>
      </c>
      <c r="L385">
        <f>L329*82.8141</f>
        <v>0</v>
      </c>
      <c r="M385">
        <f>M329*-85.5365</f>
        <v>0</v>
      </c>
      <c r="N385">
        <f>E385+F385+G385+H385+I385+J385+K385+L385</f>
        <v>0</v>
      </c>
    </row>
    <row r="386" spans="3:14">
      <c r="C386">
        <f>49.0</f>
        <v>0</v>
      </c>
      <c r="D386">
        <f>9.0</f>
        <v>0</v>
      </c>
      <c r="E386">
        <f>E329*-3.5379</f>
        <v>0</v>
      </c>
      <c r="F386">
        <f>F329*0.9433</f>
        <v>0</v>
      </c>
      <c r="G386">
        <f>G329*0.4126</f>
        <v>0</v>
      </c>
      <c r="H386">
        <f>H329*0.0</f>
        <v>0</v>
      </c>
      <c r="I386">
        <f>I329*35.1748</f>
        <v>0</v>
      </c>
      <c r="J386">
        <f>J329*60.2059</f>
        <v>0</v>
      </c>
      <c r="K386">
        <f>K329*-45.1544</f>
        <v>0</v>
      </c>
      <c r="L386">
        <f>L329*94.5477</f>
        <v>0</v>
      </c>
      <c r="M386">
        <f>M329*-93.5529</f>
        <v>0</v>
      </c>
      <c r="N386">
        <f>E386+F386+G386+H386+I386+J386+K386+L386</f>
        <v>0</v>
      </c>
    </row>
    <row r="387" spans="3:14">
      <c r="C387">
        <f>50.0</f>
        <v>0</v>
      </c>
      <c r="D387">
        <f>10.0</f>
        <v>0</v>
      </c>
      <c r="E387">
        <f>E329*-3.8888</f>
        <v>0</v>
      </c>
      <c r="F387">
        <f>F329*1.1881</f>
        <v>0</v>
      </c>
      <c r="G387">
        <f>G329*0.47200000000000003</f>
        <v>0</v>
      </c>
      <c r="H387">
        <f>H329*0.0</f>
        <v>0</v>
      </c>
      <c r="I387">
        <f>I329*39.2677</f>
        <v>0</v>
      </c>
      <c r="J387">
        <f>J329*61.2072</f>
        <v>0</v>
      </c>
      <c r="K387">
        <f>K329*-45.9054</f>
        <v>0</v>
      </c>
      <c r="L387">
        <f>L329*106.6908</f>
        <v>0</v>
      </c>
      <c r="M387">
        <f>M329*-97.7319</f>
        <v>0</v>
      </c>
      <c r="N387">
        <f>E387+F387+G387+H387+I387+J387+K387+L387</f>
        <v>0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C10:N387"/>
  <sheetViews>
    <sheetView workbookViewId="0"/>
  </sheetViews>
  <sheetFormatPr defaultRowHeight="15"/>
  <sheetData>
    <row r="10" spans="3:14">
      <c r="C10" t="s">
        <v>0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</row>
    <row r="11" spans="3:14">
      <c r="C11">
        <f>0.0</f>
        <v>0</v>
      </c>
      <c r="D11">
        <f>0.0</f>
        <v>0</v>
      </c>
      <c r="E11">
        <f>E9*-28.9446</f>
        <v>0</v>
      </c>
      <c r="F11">
        <f>F9*-7.4411</f>
        <v>0</v>
      </c>
      <c r="G11">
        <f>G9*0.7592</f>
        <v>0</v>
      </c>
      <c r="H11">
        <f>H9*0.0</f>
        <v>0</v>
      </c>
      <c r="I11">
        <f>I9*-0.1889</f>
        <v>0</v>
      </c>
      <c r="J11">
        <f>J9*408.2413</f>
        <v>0</v>
      </c>
      <c r="K11">
        <f>K9*-306.181</f>
        <v>0</v>
      </c>
      <c r="L11">
        <f>L9*466.3723</f>
        <v>0</v>
      </c>
      <c r="M11">
        <f>M9*-447.7857</f>
        <v>0</v>
      </c>
      <c r="N11">
        <f>E11+F11+G11+H11+I11+J11+K11+L11</f>
        <v>0</v>
      </c>
    </row>
    <row r="12" spans="3:14">
      <c r="C12">
        <f>1.0</f>
        <v>0</v>
      </c>
      <c r="D12">
        <f>1.0</f>
        <v>0</v>
      </c>
      <c r="E12">
        <f>E9*7.5474</f>
        <v>0</v>
      </c>
      <c r="F12">
        <f>F9*212.6891</f>
        <v>0</v>
      </c>
      <c r="G12">
        <f>G9*31.6239</f>
        <v>0</v>
      </c>
      <c r="H12">
        <f>H9*0.0</f>
        <v>0</v>
      </c>
      <c r="I12">
        <f>I9*-0.1639</f>
        <v>0</v>
      </c>
      <c r="J12">
        <f>J9*320.7683</f>
        <v>0</v>
      </c>
      <c r="K12">
        <f>K9*-240.5762</f>
        <v>0</v>
      </c>
      <c r="L12">
        <f>L9*541.8378</f>
        <v>0</v>
      </c>
      <c r="M12">
        <f>M9*-227.5081</f>
        <v>0</v>
      </c>
      <c r="N12">
        <f>E12+F12+G12+H12+I12+J12+K12+L12</f>
        <v>0</v>
      </c>
    </row>
    <row r="13" spans="3:14">
      <c r="C13">
        <f>2.0</f>
        <v>0</v>
      </c>
      <c r="D13">
        <f>2.0</f>
        <v>0</v>
      </c>
      <c r="E13">
        <f>E9*34.9632</f>
        <v>0</v>
      </c>
      <c r="F13">
        <f>F9*393.5625</f>
        <v>0</v>
      </c>
      <c r="G13">
        <f>G9*56.9856</f>
        <v>0</v>
      </c>
      <c r="H13">
        <f>H9*0.0</f>
        <v>0</v>
      </c>
      <c r="I13">
        <f>I9*-0.1407</f>
        <v>0</v>
      </c>
      <c r="J13">
        <f>J9*252.1417</f>
        <v>0</v>
      </c>
      <c r="K13">
        <f>K9*-189.1063</f>
        <v>0</v>
      </c>
      <c r="L13">
        <f>L9*656.6119</f>
        <v>0</v>
      </c>
      <c r="M13">
        <f>M9*-84.1237</f>
        <v>0</v>
      </c>
      <c r="N13">
        <f>E13+F13+G13+H13+I13+J13+K13+L13</f>
        <v>0</v>
      </c>
    </row>
    <row r="14" spans="3:14">
      <c r="C14">
        <f>3.0</f>
        <v>0</v>
      </c>
      <c r="D14">
        <f>3.0</f>
        <v>0</v>
      </c>
      <c r="E14">
        <f>E9*55.5129</f>
        <v>0</v>
      </c>
      <c r="F14">
        <f>F9*548.7869</f>
        <v>0</v>
      </c>
      <c r="G14">
        <f>G9*78.7472</f>
        <v>0</v>
      </c>
      <c r="H14">
        <f>H9*0.0</f>
        <v>0</v>
      </c>
      <c r="I14">
        <f>I9*-0.1203</f>
        <v>0</v>
      </c>
      <c r="J14">
        <f>J9*189.4053</f>
        <v>0</v>
      </c>
      <c r="K14">
        <f>K9*-142.054</f>
        <v>0</v>
      </c>
      <c r="L14">
        <f>L9*801.8754</f>
        <v>0</v>
      </c>
      <c r="M14">
        <f>M9*-30.1047</f>
        <v>0</v>
      </c>
      <c r="N14">
        <f>E14+F14+G14+H14+I14+J14+K14+L14</f>
        <v>0</v>
      </c>
    </row>
    <row r="15" spans="3:14">
      <c r="C15">
        <f>4.0</f>
        <v>0</v>
      </c>
      <c r="D15">
        <f>4.0</f>
        <v>0</v>
      </c>
      <c r="E15">
        <f>E9*69.1883</f>
        <v>0</v>
      </c>
      <c r="F15">
        <f>F9*672.4606</f>
        <v>0</v>
      </c>
      <c r="G15">
        <f>G9*96.0523</f>
        <v>0</v>
      </c>
      <c r="H15">
        <f>H9*0.0</f>
        <v>0</v>
      </c>
      <c r="I15">
        <f>I9*-0.1008</f>
        <v>0</v>
      </c>
      <c r="J15">
        <f>J9*127.0149</f>
        <v>0</v>
      </c>
      <c r="K15">
        <f>K9*-95.2611</f>
        <v>0</v>
      </c>
      <c r="L15">
        <f>L9*939.0871</f>
        <v>0</v>
      </c>
      <c r="M15">
        <f>M9*-27.8256</f>
        <v>0</v>
      </c>
      <c r="N15">
        <f>E15+F15+G15+H15+I15+J15+K15+L15</f>
        <v>0</v>
      </c>
    </row>
    <row r="16" spans="3:14">
      <c r="C16">
        <f>5.0</f>
        <v>0</v>
      </c>
      <c r="D16">
        <f>5.0</f>
        <v>0</v>
      </c>
      <c r="E16">
        <f>E9*78.9414</f>
        <v>0</v>
      </c>
      <c r="F16">
        <f>F9*780.2289999999999</f>
        <v>0</v>
      </c>
      <c r="G16">
        <f>G9*111.0593</f>
        <v>0</v>
      </c>
      <c r="H16">
        <f>H9*0.0</f>
        <v>0</v>
      </c>
      <c r="I16">
        <f>I9*-0.0988</f>
        <v>0</v>
      </c>
      <c r="J16">
        <f>J9*67.1817</f>
        <v>0</v>
      </c>
      <c r="K16">
        <f>K9*-50.3862</f>
        <v>0</v>
      </c>
      <c r="L16">
        <f>L9*1083.8129</f>
        <v>0</v>
      </c>
      <c r="M16">
        <f>M9*-28.9263</f>
        <v>0</v>
      </c>
      <c r="N16">
        <f>E16+F16+G16+H16+I16+J16+K16+L16</f>
        <v>0</v>
      </c>
    </row>
    <row r="17" spans="3:14">
      <c r="C17">
        <f>6.0</f>
        <v>0</v>
      </c>
      <c r="D17">
        <f>6.0</f>
        <v>0</v>
      </c>
      <c r="E17">
        <f>E9*91.4094</f>
        <v>0</v>
      </c>
      <c r="F17">
        <f>F9*868.9367</f>
        <v>0</v>
      </c>
      <c r="G17">
        <f>G9*123.8961</f>
        <v>0</v>
      </c>
      <c r="H17">
        <f>H9*0.0</f>
        <v>0</v>
      </c>
      <c r="I17">
        <f>I9*-0.0839</f>
        <v>0</v>
      </c>
      <c r="J17">
        <f>J9*77.6617</f>
        <v>0</v>
      </c>
      <c r="K17">
        <f>K9*-58.2463</f>
        <v>0</v>
      </c>
      <c r="L17">
        <f>L9*1198.5007</f>
        <v>0</v>
      </c>
      <c r="M17">
        <f>M9*-30.8025</f>
        <v>0</v>
      </c>
      <c r="N17">
        <f>E17+F17+G17+H17+I17+J17+K17+L17</f>
        <v>0</v>
      </c>
    </row>
    <row r="18" spans="3:14">
      <c r="C18">
        <f>7.0</f>
        <v>0</v>
      </c>
      <c r="D18">
        <f>7.0</f>
        <v>0</v>
      </c>
      <c r="E18">
        <f>E9*100.4635</f>
        <v>0</v>
      </c>
      <c r="F18">
        <f>F9*934.1734</f>
        <v>0</v>
      </c>
      <c r="G18">
        <f>G9*133.2251</f>
        <v>0</v>
      </c>
      <c r="H18">
        <f>H9*0.0</f>
        <v>0</v>
      </c>
      <c r="I18">
        <f>I9*-0.0714</f>
        <v>0</v>
      </c>
      <c r="J18">
        <f>J9*85.38</f>
        <v>0</v>
      </c>
      <c r="K18">
        <f>K9*-64.035</f>
        <v>0</v>
      </c>
      <c r="L18">
        <f>L9*1291.1991</f>
        <v>0</v>
      </c>
      <c r="M18">
        <f>M9*-32.9783</f>
        <v>0</v>
      </c>
      <c r="N18">
        <f>E18+F18+G18+H18+I18+J18+K18+L18</f>
        <v>0</v>
      </c>
    </row>
    <row r="19" spans="3:14">
      <c r="C19">
        <f>8.0</f>
        <v>0</v>
      </c>
      <c r="D19">
        <f>8.0</f>
        <v>0</v>
      </c>
      <c r="E19">
        <f>E9*104.4713</f>
        <v>0</v>
      </c>
      <c r="F19">
        <f>F9*976.6145</f>
        <v>0</v>
      </c>
      <c r="G19">
        <f>G9*139.2758</f>
        <v>0</v>
      </c>
      <c r="H19">
        <f>H9*0.0</f>
        <v>0</v>
      </c>
      <c r="I19">
        <f>I9*-0.0576</f>
        <v>0</v>
      </c>
      <c r="J19">
        <f>J9*83.6819</f>
        <v>0</v>
      </c>
      <c r="K19">
        <f>K9*-62.7614</f>
        <v>0</v>
      </c>
      <c r="L19">
        <f>L9*1352.4077</f>
        <v>0</v>
      </c>
      <c r="M19">
        <f>M9*-35.1518</f>
        <v>0</v>
      </c>
      <c r="N19">
        <f>E19+F19+G19+H19+I19+J19+K19+L19</f>
        <v>0</v>
      </c>
    </row>
    <row r="20" spans="3:14">
      <c r="C20">
        <f>9.0</f>
        <v>0</v>
      </c>
      <c r="D20">
        <f>9.0</f>
        <v>0</v>
      </c>
      <c r="E20">
        <f>E9*104.8829</f>
        <v>0</v>
      </c>
      <c r="F20">
        <f>F9*1006.5806</f>
        <v>0</v>
      </c>
      <c r="G20">
        <f>G9*143.5106</f>
        <v>0</v>
      </c>
      <c r="H20">
        <f>H9*0.0</f>
        <v>0</v>
      </c>
      <c r="I20">
        <f>I9*-0.0449</f>
        <v>0</v>
      </c>
      <c r="J20">
        <f>J9*71.9395</f>
        <v>0</v>
      </c>
      <c r="K20">
        <f>K9*-53.9546</f>
        <v>0</v>
      </c>
      <c r="L20">
        <f>L9*1401.3414</f>
        <v>0</v>
      </c>
      <c r="M20">
        <f>M9*-37.7909</f>
        <v>0</v>
      </c>
      <c r="N20">
        <f>E20+F20+G20+H20+I20+J20+K20+L20</f>
        <v>0</v>
      </c>
    </row>
    <row r="21" spans="3:14">
      <c r="C21">
        <f>10.0</f>
        <v>0</v>
      </c>
      <c r="D21">
        <f>10.0</f>
        <v>0</v>
      </c>
      <c r="E21">
        <f>E9*101.0887</f>
        <v>0</v>
      </c>
      <c r="F21">
        <f>F9*1016.265</f>
        <v>0</v>
      </c>
      <c r="G21">
        <f>G9*144.7904</f>
        <v>0</v>
      </c>
      <c r="H21">
        <f>H9*0.0</f>
        <v>0</v>
      </c>
      <c r="I21">
        <f>I9*-0.0494</f>
        <v>0</v>
      </c>
      <c r="J21">
        <f>J9*58.6482</f>
        <v>0</v>
      </c>
      <c r="K21">
        <f>K9*-43.9861</f>
        <v>0</v>
      </c>
      <c r="L21">
        <f>L9*1418.6358</f>
        <v>0</v>
      </c>
      <c r="M21">
        <f>M9*-40.7398</f>
        <v>0</v>
      </c>
      <c r="N21">
        <f>E21+F21+G21+H21+I21+J21+K21+L21</f>
        <v>0</v>
      </c>
    </row>
    <row r="22" spans="3:14">
      <c r="C22">
        <f>11.0</f>
        <v>0</v>
      </c>
      <c r="D22">
        <f>11.0</f>
        <v>0</v>
      </c>
      <c r="E22">
        <f>E9*103.8054</f>
        <v>0</v>
      </c>
      <c r="F22">
        <f>F9*994.7564</f>
        <v>0</v>
      </c>
      <c r="G22">
        <f>G9*141.8342</f>
        <v>0</v>
      </c>
      <c r="H22">
        <f>H9*0.0</f>
        <v>0</v>
      </c>
      <c r="I22">
        <f>I9*-0.0377</f>
        <v>0</v>
      </c>
      <c r="J22">
        <f>J9*73.1143</f>
        <v>0</v>
      </c>
      <c r="K22">
        <f>K9*-54.8357</f>
        <v>0</v>
      </c>
      <c r="L22">
        <f>L9*1397.4595</f>
        <v>0</v>
      </c>
      <c r="M22">
        <f>M9*-43.8666</f>
        <v>0</v>
      </c>
      <c r="N22">
        <f>E22+F22+G22+H22+I22+J22+K22+L22</f>
        <v>0</v>
      </c>
    </row>
    <row r="23" spans="3:14">
      <c r="C23">
        <f>12.0</f>
        <v>0</v>
      </c>
      <c r="D23">
        <f>12.0</f>
        <v>0</v>
      </c>
      <c r="E23">
        <f>E9*102.4202</f>
        <v>0</v>
      </c>
      <c r="F23">
        <f>F9*951.4621</f>
        <v>0</v>
      </c>
      <c r="G23">
        <f>G9*135.6907</f>
        <v>0</v>
      </c>
      <c r="H23">
        <f>H9*0.0</f>
        <v>0</v>
      </c>
      <c r="I23">
        <f>I9*-0.0252</f>
        <v>0</v>
      </c>
      <c r="J23">
        <f>J9*81.8941</f>
        <v>0</v>
      </c>
      <c r="K23">
        <f>K9*-61.4206</f>
        <v>0</v>
      </c>
      <c r="L23">
        <f>L9*1347.5182</f>
        <v>0</v>
      </c>
      <c r="M23">
        <f>M9*-46.989</f>
        <v>0</v>
      </c>
      <c r="N23">
        <f>E23+F23+G23+H23+I23+J23+K23+L23</f>
        <v>0</v>
      </c>
    </row>
    <row r="24" spans="3:14">
      <c r="C24">
        <f>13.0</f>
        <v>0</v>
      </c>
      <c r="D24">
        <f>13.0</f>
        <v>0</v>
      </c>
      <c r="E24">
        <f>E9*97.5031</f>
        <v>0</v>
      </c>
      <c r="F24">
        <f>F9*896.9454</f>
        <v>0</v>
      </c>
      <c r="G24">
        <f>G9*127.9138</f>
        <v>0</v>
      </c>
      <c r="H24">
        <f>H9*0.0</f>
        <v>0</v>
      </c>
      <c r="I24">
        <f>I9*-0.0138</f>
        <v>0</v>
      </c>
      <c r="J24">
        <f>J9*80.8157</f>
        <v>0</v>
      </c>
      <c r="K24">
        <f>K9*-60.6118</f>
        <v>0</v>
      </c>
      <c r="L24">
        <f>L9*1283.9105</f>
        <v>0</v>
      </c>
      <c r="M24">
        <f>M9*-50.574</f>
        <v>0</v>
      </c>
      <c r="N24">
        <f>E24+F24+G24+H24+I24+J24+K24+L24</f>
        <v>0</v>
      </c>
    </row>
    <row r="25" spans="3:14">
      <c r="C25">
        <f>14.0</f>
        <v>0</v>
      </c>
      <c r="D25">
        <f>14.0</f>
        <v>0</v>
      </c>
      <c r="E25">
        <f>E9*87.4379</f>
        <v>0</v>
      </c>
      <c r="F25">
        <f>F9*817.9908</f>
        <v>0</v>
      </c>
      <c r="G25">
        <f>G9*116.6254</f>
        <v>0</v>
      </c>
      <c r="H25">
        <f>H9*0.0</f>
        <v>0</v>
      </c>
      <c r="I25">
        <f>I9*0.0016</f>
        <v>0</v>
      </c>
      <c r="J25">
        <f>J9*69.6463</f>
        <v>0</v>
      </c>
      <c r="K25">
        <f>K9*-52.2347</f>
        <v>0</v>
      </c>
      <c r="L25">
        <f>L9*1191.1084</f>
        <v>0</v>
      </c>
      <c r="M25">
        <f>M9*-56.6137</f>
        <v>0</v>
      </c>
      <c r="N25">
        <f>E25+F25+G25+H25+I25+J25+K25+L25</f>
        <v>0</v>
      </c>
    </row>
    <row r="26" spans="3:14">
      <c r="C26">
        <f>15.0</f>
        <v>0</v>
      </c>
      <c r="D26">
        <f>15.0</f>
        <v>0</v>
      </c>
      <c r="E26">
        <f>E9*73.4856</f>
        <v>0</v>
      </c>
      <c r="F26">
        <f>F9*711.3330000000001</f>
        <v>0</v>
      </c>
      <c r="G26">
        <f>G9*101.2558</f>
        <v>0</v>
      </c>
      <c r="H26">
        <f>H9*0.0</f>
        <v>0</v>
      </c>
      <c r="I26">
        <f>I9*0.0145</f>
        <v>0</v>
      </c>
      <c r="J26">
        <f>J9*54.1674</f>
        <v>0</v>
      </c>
      <c r="K26">
        <f>K9*-40.6255</f>
        <v>0</v>
      </c>
      <c r="L26">
        <f>L9*1069.0427</f>
        <v>0</v>
      </c>
      <c r="M26">
        <f>M9*-68.209</f>
        <v>0</v>
      </c>
      <c r="N26">
        <f>E26+F26+G26+H26+I26+J26+K26+L26</f>
        <v>0</v>
      </c>
    </row>
    <row r="27" spans="3:14">
      <c r="C27">
        <f>15.91</f>
        <v>0</v>
      </c>
      <c r="D27">
        <f>15.91</f>
        <v>0</v>
      </c>
      <c r="E27">
        <f>E9*66.6847</f>
        <v>0</v>
      </c>
      <c r="F27">
        <f>F9*610.8826</f>
        <v>0</v>
      </c>
      <c r="G27">
        <f>G9*87.0525</f>
        <v>0</v>
      </c>
      <c r="H27">
        <f>H9*0.0</f>
        <v>0</v>
      </c>
      <c r="I27">
        <f>I9*0.0041</f>
        <v>0</v>
      </c>
      <c r="J27">
        <f>J9*75.8587</f>
        <v>0</v>
      </c>
      <c r="K27">
        <f>K9*-56.8941</f>
        <v>0</v>
      </c>
      <c r="L27">
        <f>L9*927.3715</f>
        <v>0</v>
      </c>
      <c r="M27">
        <f>M9*-64.6261</f>
        <v>0</v>
      </c>
      <c r="N27">
        <f>E27+F27+G27+H27+I27+J27+K27+L27</f>
        <v>0</v>
      </c>
    </row>
    <row r="28" spans="3:14">
      <c r="C28">
        <f>16.82</f>
        <v>0</v>
      </c>
      <c r="D28">
        <f>16.82</f>
        <v>0</v>
      </c>
      <c r="E28">
        <f>E9*56.3566</f>
        <v>0</v>
      </c>
      <c r="F28">
        <f>F9*489.8304</f>
        <v>0</v>
      </c>
      <c r="G28">
        <f>G9*69.861</f>
        <v>0</v>
      </c>
      <c r="H28">
        <f>H9*0.0</f>
        <v>0</v>
      </c>
      <c r="I28">
        <f>I9*0.01</f>
        <v>0</v>
      </c>
      <c r="J28">
        <f>J9*92.6785</f>
        <v>0</v>
      </c>
      <c r="K28">
        <f>K9*-69.5089</f>
        <v>0</v>
      </c>
      <c r="L28">
        <f>L9*752.7212</f>
        <v>0</v>
      </c>
      <c r="M28">
        <f>M9*-61.268</f>
        <v>0</v>
      </c>
      <c r="N28">
        <f>E28+F28+G28+H28+I28+J28+K28+L28</f>
        <v>0</v>
      </c>
    </row>
    <row r="29" spans="3:14">
      <c r="C29">
        <f>17.73</f>
        <v>0</v>
      </c>
      <c r="D29">
        <f>17.73</f>
        <v>0</v>
      </c>
      <c r="E29">
        <f>E9*41.1484</f>
        <v>0</v>
      </c>
      <c r="F29">
        <f>F9*345.3735</f>
        <v>0</v>
      </c>
      <c r="G29">
        <f>G9*49.3121</f>
        <v>0</v>
      </c>
      <c r="H29">
        <f>H9*0.0</f>
        <v>0</v>
      </c>
      <c r="I29">
        <f>I9*0.0151</f>
        <v>0</v>
      </c>
      <c r="J29">
        <f>J9*104.6071</f>
        <v>0</v>
      </c>
      <c r="K29">
        <f>K9*-78.4553</f>
        <v>0</v>
      </c>
      <c r="L29">
        <f>L9*537.4491</f>
        <v>0</v>
      </c>
      <c r="M29">
        <f>M9*-57.9317</f>
        <v>0</v>
      </c>
      <c r="N29">
        <f>E29+F29+G29+H29+I29+J29+K29+L29</f>
        <v>0</v>
      </c>
    </row>
    <row r="30" spans="3:14">
      <c r="C30">
        <f>18.64</f>
        <v>0</v>
      </c>
      <c r="D30">
        <f>18.64</f>
        <v>0</v>
      </c>
      <c r="E30">
        <f>E9*22.9771</f>
        <v>0</v>
      </c>
      <c r="F30">
        <f>F9*194.11700000000002</f>
        <v>0</v>
      </c>
      <c r="G30">
        <f>G9*27.7717</f>
        <v>0</v>
      </c>
      <c r="H30">
        <f>H9*0.0</f>
        <v>0</v>
      </c>
      <c r="I30">
        <f>I9*0.018000000000000002</f>
        <v>0</v>
      </c>
      <c r="J30">
        <f>J9*111.5294</f>
        <v>0</v>
      </c>
      <c r="K30">
        <f>K9*-83.6471</f>
        <v>0</v>
      </c>
      <c r="L30">
        <f>L9*305.5063</f>
        <v>0</v>
      </c>
      <c r="M30">
        <f>M9*-56.8718</f>
        <v>0</v>
      </c>
      <c r="N30">
        <f>E30+F30+G30+H30+I30+J30+K30+L30</f>
        <v>0</v>
      </c>
    </row>
    <row r="31" spans="3:14">
      <c r="C31">
        <f>19.55</f>
        <v>0</v>
      </c>
      <c r="D31">
        <f>19.55</f>
        <v>0</v>
      </c>
      <c r="E31">
        <f>E9*-2.7381</f>
        <v>0</v>
      </c>
      <c r="F31">
        <f>F9*-5.142</f>
        <v>0</v>
      </c>
      <c r="G31">
        <f>G9*-0.7237</f>
        <v>0</v>
      </c>
      <c r="H31">
        <f>H9*0.0</f>
        <v>0</v>
      </c>
      <c r="I31">
        <f>I9*0.0159</f>
        <v>0</v>
      </c>
      <c r="J31">
        <f>J9*123.9793</f>
        <v>0</v>
      </c>
      <c r="K31">
        <f>K9*-92.9845</f>
        <v>0</v>
      </c>
      <c r="L31">
        <f>L9*44.6378</f>
        <v>0</v>
      </c>
      <c r="M31">
        <f>M9*-80.5781</f>
        <v>0</v>
      </c>
      <c r="N31">
        <f>E31+F31+G31+H31+I31+J31+K31+L31</f>
        <v>0</v>
      </c>
    </row>
    <row r="32" spans="3:14">
      <c r="C32">
        <f>20.0</f>
        <v>0</v>
      </c>
      <c r="D32">
        <f>20.0</f>
        <v>0</v>
      </c>
      <c r="E32">
        <f>E9*-0.8734</f>
        <v>0</v>
      </c>
      <c r="F32">
        <f>F9*-7.6867</f>
        <v>0</v>
      </c>
      <c r="G32">
        <f>G9*-1.1026</f>
        <v>0</v>
      </c>
      <c r="H32">
        <f>H9*0.0</f>
        <v>0</v>
      </c>
      <c r="I32">
        <f>I9*-0.0011</f>
        <v>0</v>
      </c>
      <c r="J32">
        <f>J9*90.3818</f>
        <v>0</v>
      </c>
      <c r="K32">
        <f>K9*-67.7863</f>
        <v>0</v>
      </c>
      <c r="L32">
        <f>L9*3.5704</f>
        <v>0</v>
      </c>
      <c r="M32">
        <f>M9*-11.7107</f>
        <v>0</v>
      </c>
      <c r="N32">
        <f>E32+F32+G32+H32+I32+J32+K32+L32</f>
        <v>0</v>
      </c>
    </row>
    <row r="33" spans="3:14">
      <c r="C33">
        <f>20.0</f>
        <v>0</v>
      </c>
      <c r="D33">
        <f>0.0</f>
        <v>0</v>
      </c>
      <c r="E33">
        <f>E9*-0.7098</f>
        <v>0</v>
      </c>
      <c r="F33">
        <f>F9*-8.5719</f>
        <v>0</v>
      </c>
      <c r="G33">
        <f>G9*-1.239</f>
        <v>0</v>
      </c>
      <c r="H33">
        <f>H9*0.0</f>
        <v>0</v>
      </c>
      <c r="I33">
        <f>I9*0.2871</f>
        <v>0</v>
      </c>
      <c r="J33">
        <f>J9*88.0309</f>
        <v>0</v>
      </c>
      <c r="K33">
        <f>K9*-66.0232</f>
        <v>0</v>
      </c>
      <c r="L33">
        <f>L9*1.0313</f>
        <v>0</v>
      </c>
      <c r="M33">
        <f>M9*-13.3958</f>
        <v>0</v>
      </c>
      <c r="N33">
        <f>E33+F33+G33+H33+I33+J33+K33+L33</f>
        <v>0</v>
      </c>
    </row>
    <row r="34" spans="3:14">
      <c r="C34">
        <f>20.45</f>
        <v>0</v>
      </c>
      <c r="D34">
        <f>0.45</f>
        <v>0</v>
      </c>
      <c r="E34">
        <f>E9*-5.0024</f>
        <v>0</v>
      </c>
      <c r="F34">
        <f>F9*18.070999999999998</f>
        <v>0</v>
      </c>
      <c r="G34">
        <f>G9*2.8152</f>
        <v>0</v>
      </c>
      <c r="H34">
        <f>H9*0.0</f>
        <v>0</v>
      </c>
      <c r="I34">
        <f>I9*-4.1877</f>
        <v>0</v>
      </c>
      <c r="J34">
        <f>J9*161.3653</f>
        <v>0</v>
      </c>
      <c r="K34">
        <f>K9*-121.024</f>
        <v>0</v>
      </c>
      <c r="L34">
        <f>L9*103.9017</f>
        <v>0</v>
      </c>
      <c r="M34">
        <f>M9*-76.3513</f>
        <v>0</v>
      </c>
      <c r="N34">
        <f>E34+F34+G34+H34+I34+J34+K34+L34</f>
        <v>0</v>
      </c>
    </row>
    <row r="35" spans="3:14">
      <c r="C35">
        <f>21.36</f>
        <v>0</v>
      </c>
      <c r="D35">
        <f>1.36</f>
        <v>0</v>
      </c>
      <c r="E35">
        <f>E9*20.7382</f>
        <v>0</v>
      </c>
      <c r="F35">
        <f>F9*202.0973</f>
        <v>0</v>
      </c>
      <c r="G35">
        <f>G9*29.0319</f>
        <v>0</v>
      </c>
      <c r="H35">
        <f>H9*0.0</f>
        <v>0</v>
      </c>
      <c r="I35">
        <f>I9*-3.8782</f>
        <v>0</v>
      </c>
      <c r="J35">
        <f>J9*139.6805</f>
        <v>0</v>
      </c>
      <c r="K35">
        <f>K9*-104.7604</f>
        <v>0</v>
      </c>
      <c r="L35">
        <f>L9*315.52299999999997</f>
        <v>0</v>
      </c>
      <c r="M35">
        <f>M9*-11.62</f>
        <v>0</v>
      </c>
      <c r="N35">
        <f>E35+F35+G35+H35+I35+J35+K35+L35</f>
        <v>0</v>
      </c>
    </row>
    <row r="36" spans="3:14">
      <c r="C36">
        <f>22.27</f>
        <v>0</v>
      </c>
      <c r="D36">
        <f>2.27</f>
        <v>0</v>
      </c>
      <c r="E36">
        <f>E9*38.9501</f>
        <v>0</v>
      </c>
      <c r="F36">
        <f>F9*345.1235</f>
        <v>0</v>
      </c>
      <c r="G36">
        <f>G9*49.3615</f>
        <v>0</v>
      </c>
      <c r="H36">
        <f>H9*0.0</f>
        <v>0</v>
      </c>
      <c r="I36">
        <f>I9*-3.4079</f>
        <v>0</v>
      </c>
      <c r="J36">
        <f>J9*125.6214</f>
        <v>0</v>
      </c>
      <c r="K36">
        <f>K9*-94.2161</f>
        <v>0</v>
      </c>
      <c r="L36">
        <f>L9*537.6143</f>
        <v>0</v>
      </c>
      <c r="M36">
        <f>M9*-15.7563</f>
        <v>0</v>
      </c>
      <c r="N36">
        <f>E36+F36+G36+H36+I36+J36+K36+L36</f>
        <v>0</v>
      </c>
    </row>
    <row r="37" spans="3:14">
      <c r="C37">
        <f>23.18</f>
        <v>0</v>
      </c>
      <c r="D37">
        <f>3.18</f>
        <v>0</v>
      </c>
      <c r="E37">
        <f>E9*54.0548</f>
        <v>0</v>
      </c>
      <c r="F37">
        <f>F9*482.0345</f>
        <v>0</v>
      </c>
      <c r="G37">
        <f>G9*68.8061</f>
        <v>0</v>
      </c>
      <c r="H37">
        <f>H9*0.0</f>
        <v>0</v>
      </c>
      <c r="I37">
        <f>I9*-3.0464</f>
        <v>0</v>
      </c>
      <c r="J37">
        <f>J9*108.1017</f>
        <v>0</v>
      </c>
      <c r="K37">
        <f>K9*-81.0763</f>
        <v>0</v>
      </c>
      <c r="L37">
        <f>L9*746.9769</f>
        <v>0</v>
      </c>
      <c r="M37">
        <f>M9*-20.6668</f>
        <v>0</v>
      </c>
      <c r="N37">
        <f>E37+F37+G37+H37+I37+J37+K37+L37</f>
        <v>0</v>
      </c>
    </row>
    <row r="38" spans="3:14">
      <c r="C38">
        <f>24.09</f>
        <v>0</v>
      </c>
      <c r="D38">
        <f>4.09</f>
        <v>0</v>
      </c>
      <c r="E38">
        <f>E9*64.2227</f>
        <v>0</v>
      </c>
      <c r="F38">
        <f>F9*596.3086</f>
        <v>0</v>
      </c>
      <c r="G38">
        <f>G9*85.0085</f>
        <v>0</v>
      </c>
      <c r="H38">
        <f>H9*0.0</f>
        <v>0</v>
      </c>
      <c r="I38">
        <f>I9*-2.7361</f>
        <v>0</v>
      </c>
      <c r="J38">
        <f>J9*86.6831</f>
        <v>0</v>
      </c>
      <c r="K38">
        <f>K9*-65.0124</f>
        <v>0</v>
      </c>
      <c r="L38">
        <f>L9*918.1569999999999</f>
        <v>0</v>
      </c>
      <c r="M38">
        <f>M9*-28.4464</f>
        <v>0</v>
      </c>
      <c r="N38">
        <f>E38+F38+G38+H38+I38+J38+K38+L38</f>
        <v>0</v>
      </c>
    </row>
    <row r="39" spans="3:14">
      <c r="C39">
        <f>25.0</f>
        <v>0</v>
      </c>
      <c r="D39">
        <f>5.0</f>
        <v>0</v>
      </c>
      <c r="E39">
        <f>E9*70.8254</f>
        <v>0</v>
      </c>
      <c r="F39">
        <f>F9*690.665</f>
        <v>0</v>
      </c>
      <c r="G39">
        <f>G9*98.3251</f>
        <v>0</v>
      </c>
      <c r="H39">
        <f>H9*0.0</f>
        <v>0</v>
      </c>
      <c r="I39">
        <f>I9*-3.0239999999999996</f>
        <v>0</v>
      </c>
      <c r="J39">
        <f>J9*62.224</f>
        <v>0</v>
      </c>
      <c r="K39">
        <f>K9*-46.668</f>
        <v>0</v>
      </c>
      <c r="L39">
        <f>L9*1057.9222</f>
        <v>0</v>
      </c>
      <c r="M39">
        <f>M9*-38.6926</f>
        <v>0</v>
      </c>
      <c r="N39">
        <f>E39+F39+G39+H39+I39+J39+K39+L39</f>
        <v>0</v>
      </c>
    </row>
    <row r="40" spans="3:14">
      <c r="C40">
        <f>26.0</f>
        <v>0</v>
      </c>
      <c r="D40">
        <f>6.0</f>
        <v>0</v>
      </c>
      <c r="E40">
        <f>E9*84.2059</f>
        <v>0</v>
      </c>
      <c r="F40">
        <f>F9*790.9333</f>
        <v>0</v>
      </c>
      <c r="G40">
        <f>G9*112.7859</f>
        <v>0</v>
      </c>
      <c r="H40">
        <f>H9*0.0</f>
        <v>0</v>
      </c>
      <c r="I40">
        <f>I9*-3.1874</f>
        <v>0</v>
      </c>
      <c r="J40">
        <f>J9*77.0191</f>
        <v>0</v>
      </c>
      <c r="K40">
        <f>K9*-57.7643</f>
        <v>0</v>
      </c>
      <c r="L40">
        <f>L9*1179.0866</f>
        <v>0</v>
      </c>
      <c r="M40">
        <f>M9*-32.0809</f>
        <v>0</v>
      </c>
      <c r="N40">
        <f>E40+F40+G40+H40+I40+J40+K40+L40</f>
        <v>0</v>
      </c>
    </row>
    <row r="41" spans="3:14">
      <c r="C41">
        <f>27.0</f>
        <v>0</v>
      </c>
      <c r="D41">
        <f>7.0</f>
        <v>0</v>
      </c>
      <c r="E41">
        <f>E9*93.7534</f>
        <v>0</v>
      </c>
      <c r="F41">
        <f>F9*863.8551</f>
        <v>0</v>
      </c>
      <c r="G41">
        <f>G9*123.2143</f>
        <v>0</v>
      </c>
      <c r="H41">
        <f>H9*0.0</f>
        <v>0</v>
      </c>
      <c r="I41">
        <f>I9*-3.3377</f>
        <v>0</v>
      </c>
      <c r="J41">
        <f>J9*87.7569</f>
        <v>0</v>
      </c>
      <c r="K41">
        <f>K9*-65.8177</f>
        <v>0</v>
      </c>
      <c r="L41">
        <f>L9*1271.7082</f>
        <v>0</v>
      </c>
      <c r="M41">
        <f>M9*-33.1312</f>
        <v>0</v>
      </c>
      <c r="N41">
        <f>E41+F41+G41+H41+I41+J41+K41+L41</f>
        <v>0</v>
      </c>
    </row>
    <row r="42" spans="3:14">
      <c r="C42">
        <f>28.0</f>
        <v>0</v>
      </c>
      <c r="D42">
        <f>8.0</f>
        <v>0</v>
      </c>
      <c r="E42">
        <f>E9*98.1685</f>
        <v>0</v>
      </c>
      <c r="F42">
        <f>F9*912.8918</f>
        <v>0</v>
      </c>
      <c r="G42">
        <f>G9*130.2127</f>
        <v>0</v>
      </c>
      <c r="H42">
        <f>H9*0.0</f>
        <v>0</v>
      </c>
      <c r="I42">
        <f>I9*-3.575</f>
        <v>0</v>
      </c>
      <c r="J42">
        <f>J9*89.2861</f>
        <v>0</v>
      </c>
      <c r="K42">
        <f>K9*-66.9646</f>
        <v>0</v>
      </c>
      <c r="L42">
        <f>L9*1336.3294</f>
        <v>0</v>
      </c>
      <c r="M42">
        <f>M9*-34.8331</f>
        <v>0</v>
      </c>
      <c r="N42">
        <f>E42+F42+G42+H42+I42+J42+K42+L42</f>
        <v>0</v>
      </c>
    </row>
    <row r="43" spans="3:14">
      <c r="C43">
        <f>29.0</f>
        <v>0</v>
      </c>
      <c r="D43">
        <f>9.0</f>
        <v>0</v>
      </c>
      <c r="E43">
        <f>E9*98.9619</f>
        <v>0</v>
      </c>
      <c r="F43">
        <f>F9*949.9246</f>
        <v>0</v>
      </c>
      <c r="G43">
        <f>G9*135.4699</f>
        <v>0</v>
      </c>
      <c r="H43">
        <f>H9*0.0</f>
        <v>0</v>
      </c>
      <c r="I43">
        <f>I9*-3.9956</f>
        <v>0</v>
      </c>
      <c r="J43">
        <f>J9*81.4059</f>
        <v>0</v>
      </c>
      <c r="K43">
        <f>K9*-61.0544</f>
        <v>0</v>
      </c>
      <c r="L43">
        <f>L9*1386.7722</f>
        <v>0</v>
      </c>
      <c r="M43">
        <f>M9*-40.5767</f>
        <v>0</v>
      </c>
      <c r="N43">
        <f>E43+F43+G43+H43+I43+J43+K43+L43</f>
        <v>0</v>
      </c>
    </row>
    <row r="44" spans="3:14">
      <c r="C44">
        <f>30.0</f>
        <v>0</v>
      </c>
      <c r="D44">
        <f>10.0</f>
        <v>0</v>
      </c>
      <c r="E44">
        <f>E9*95.5305</f>
        <v>0</v>
      </c>
      <c r="F44">
        <f>F9*965.2053</f>
        <v>0</v>
      </c>
      <c r="G44">
        <f>G9*137.5488</f>
        <v>0</v>
      </c>
      <c r="H44">
        <f>H9*0.0</f>
        <v>0</v>
      </c>
      <c r="I44">
        <f>I9*-5.2195</f>
        <v>0</v>
      </c>
      <c r="J44">
        <f>J9*68.5915</f>
        <v>0</v>
      </c>
      <c r="K44">
        <f>K9*-51.4436</f>
        <v>0</v>
      </c>
      <c r="L44">
        <f>L9*1404.8048</f>
        <v>0</v>
      </c>
      <c r="M44">
        <f>M9*-49.4048</f>
        <v>0</v>
      </c>
      <c r="N44">
        <f>E44+F44+G44+H44+I44+J44+K44+L44</f>
        <v>0</v>
      </c>
    </row>
    <row r="45" spans="3:14">
      <c r="C45">
        <f>31.0</f>
        <v>0</v>
      </c>
      <c r="D45">
        <f>11.0</f>
        <v>0</v>
      </c>
      <c r="E45">
        <f>E9*99.0538</f>
        <v>0</v>
      </c>
      <c r="F45">
        <f>F9*950.5496</f>
        <v>0</v>
      </c>
      <c r="G45">
        <f>G9*135.558</f>
        <v>0</v>
      </c>
      <c r="H45">
        <f>H9*0.0</f>
        <v>0</v>
      </c>
      <c r="I45">
        <f>I9*-6.3138</f>
        <v>0</v>
      </c>
      <c r="J45">
        <f>J9*81.1462</f>
        <v>0</v>
      </c>
      <c r="K45">
        <f>K9*-60.8596</f>
        <v>0</v>
      </c>
      <c r="L45">
        <f>L9*1387.2902</f>
        <v>0</v>
      </c>
      <c r="M45">
        <f>M9*-47.9114</f>
        <v>0</v>
      </c>
      <c r="N45">
        <f>E45+F45+G45+H45+I45+J45+K45+L45</f>
        <v>0</v>
      </c>
    </row>
    <row r="46" spans="3:14">
      <c r="C46">
        <f>32.0</f>
        <v>0</v>
      </c>
      <c r="D46">
        <f>12.0</f>
        <v>0</v>
      </c>
      <c r="E46">
        <f>E9*98.3856</f>
        <v>0</v>
      </c>
      <c r="F46">
        <f>F9*913.9648</f>
        <v>0</v>
      </c>
      <c r="G46">
        <f>G9*130.3617</f>
        <v>0</v>
      </c>
      <c r="H46">
        <f>H9*0.0</f>
        <v>0</v>
      </c>
      <c r="I46">
        <f>I9*-7.382000000000001</f>
        <v>0</v>
      </c>
      <c r="J46">
        <f>J9*88.2967</f>
        <v>0</v>
      </c>
      <c r="K46">
        <f>K9*-66.2225</f>
        <v>0</v>
      </c>
      <c r="L46">
        <f>L9*1338.1147</f>
        <v>0</v>
      </c>
      <c r="M46">
        <f>M9*-49.2886</f>
        <v>0</v>
      </c>
      <c r="N46">
        <f>E46+F46+G46+H46+I46+J46+K46+L46</f>
        <v>0</v>
      </c>
    </row>
    <row r="47" spans="3:14">
      <c r="C47">
        <f>33.0</f>
        <v>0</v>
      </c>
      <c r="D47">
        <f>13.0</f>
        <v>0</v>
      </c>
      <c r="E47">
        <f>E9*94.0853</f>
        <v>0</v>
      </c>
      <c r="F47">
        <f>F9*865.3727</f>
        <v>0</v>
      </c>
      <c r="G47">
        <f>G9*123.42399999999999</f>
        <v>0</v>
      </c>
      <c r="H47">
        <f>H9*0.0</f>
        <v>0</v>
      </c>
      <c r="I47">
        <f>I9*-8.7829</f>
        <v>0</v>
      </c>
      <c r="J47">
        <f>J9*86.1297</f>
        <v>0</v>
      </c>
      <c r="K47">
        <f>K9*-64.5973</f>
        <v>0</v>
      </c>
      <c r="L47">
        <f>L9*1274.5861</f>
        <v>0</v>
      </c>
      <c r="M47">
        <f>M9*-53.4586</f>
        <v>0</v>
      </c>
      <c r="N47">
        <f>E47+F47+G47+H47+I47+J47+K47+L47</f>
        <v>0</v>
      </c>
    </row>
    <row r="48" spans="3:14">
      <c r="C48">
        <f>34.0</f>
        <v>0</v>
      </c>
      <c r="D48">
        <f>14.0</f>
        <v>0</v>
      </c>
      <c r="E48">
        <f>E9*84.6801</f>
        <v>0</v>
      </c>
      <c r="F48">
        <f>F9*792.9902</f>
        <v>0</v>
      </c>
      <c r="G48">
        <f>G9*113.0691</f>
        <v>0</v>
      </c>
      <c r="H48">
        <f>H9*0.0</f>
        <v>0</v>
      </c>
      <c r="I48">
        <f>I9*-10.3387</f>
        <v>0</v>
      </c>
      <c r="J48">
        <f>J9*73.9772</f>
        <v>0</v>
      </c>
      <c r="K48">
        <f>K9*-55.4829</f>
        <v>0</v>
      </c>
      <c r="L48">
        <f>L9*1182.7468</f>
        <v>0</v>
      </c>
      <c r="M48">
        <f>M9*-58.472</f>
        <v>0</v>
      </c>
      <c r="N48">
        <f>E48+F48+G48+H48+I48+J48+K48+L48</f>
        <v>0</v>
      </c>
    </row>
    <row r="49" spans="3:14">
      <c r="C49">
        <f>35.0</f>
        <v>0</v>
      </c>
      <c r="D49">
        <f>15.0</f>
        <v>0</v>
      </c>
      <c r="E49">
        <f>E9*71.523</f>
        <v>0</v>
      </c>
      <c r="F49">
        <f>F9*693.8525</f>
        <v>0</v>
      </c>
      <c r="G49">
        <f>G9*98.7657</f>
        <v>0</v>
      </c>
      <c r="H49">
        <f>H9*0.0</f>
        <v>0</v>
      </c>
      <c r="I49">
        <f>I9*-14.9064</f>
        <v>0</v>
      </c>
      <c r="J49">
        <f>J9*57.937</f>
        <v>0</v>
      </c>
      <c r="K49">
        <f>K9*-43.4528</f>
        <v>0</v>
      </c>
      <c r="L49">
        <f>L9*1062.6621</f>
        <v>0</v>
      </c>
      <c r="M49">
        <f>M9*-72.2717</f>
        <v>0</v>
      </c>
      <c r="N49">
        <f>E49+F49+G49+H49+I49+J49+K49+L49</f>
        <v>0</v>
      </c>
    </row>
    <row r="50" spans="3:14">
      <c r="C50">
        <f>35.91</f>
        <v>0</v>
      </c>
      <c r="D50">
        <f>15.91</f>
        <v>0</v>
      </c>
      <c r="E50">
        <f>E9*65.0675</f>
        <v>0</v>
      </c>
      <c r="F50">
        <f>F9*596.4588</f>
        <v>0</v>
      </c>
      <c r="G50">
        <f>G9*84.9975</f>
        <v>0</v>
      </c>
      <c r="H50">
        <f>H9*0.0</f>
        <v>0</v>
      </c>
      <c r="I50">
        <f>I9*-12.0388</f>
        <v>0</v>
      </c>
      <c r="J50">
        <f>J9*78.1751</f>
        <v>0</v>
      </c>
      <c r="K50">
        <f>K9*-58.6313</f>
        <v>0</v>
      </c>
      <c r="L50">
        <f>L9*921.186</f>
        <v>0</v>
      </c>
      <c r="M50">
        <f>M9*-65.5942</f>
        <v>0</v>
      </c>
      <c r="N50">
        <f>E50+F50+G50+H50+I50+J50+K50+L50</f>
        <v>0</v>
      </c>
    </row>
    <row r="51" spans="3:14">
      <c r="C51">
        <f>36.82</f>
        <v>0</v>
      </c>
      <c r="D51">
        <f>16.82</f>
        <v>0</v>
      </c>
      <c r="E51">
        <f>E9*55.102</f>
        <v>0</v>
      </c>
      <c r="F51">
        <f>F9*478.658</f>
        <v>0</v>
      </c>
      <c r="G51">
        <f>G9*68.2694</f>
        <v>0</v>
      </c>
      <c r="H51">
        <f>H9*0.0</f>
        <v>0</v>
      </c>
      <c r="I51">
        <f>I9*-9.0993</f>
        <v>0</v>
      </c>
      <c r="J51">
        <f>J9*94.5544</f>
        <v>0</v>
      </c>
      <c r="K51">
        <f>K9*-70.9158</f>
        <v>0</v>
      </c>
      <c r="L51">
        <f>L9*747.0173</f>
        <v>0</v>
      </c>
      <c r="M51">
        <f>M9*-60.978</f>
        <v>0</v>
      </c>
      <c r="N51">
        <f>E51+F51+G51+H51+I51+J51+K51+L51</f>
        <v>0</v>
      </c>
    </row>
    <row r="52" spans="3:14">
      <c r="C52">
        <f>37.73</f>
        <v>0</v>
      </c>
      <c r="D52">
        <f>17.73</f>
        <v>0</v>
      </c>
      <c r="E52">
        <f>E9*40.2659</f>
        <v>0</v>
      </c>
      <c r="F52">
        <f>F9*337.5751</f>
        <v>0</v>
      </c>
      <c r="G52">
        <f>G9*48.2019</f>
        <v>0</v>
      </c>
      <c r="H52">
        <f>H9*0.0</f>
        <v>0</v>
      </c>
      <c r="I52">
        <f>I9*-5.5482</f>
        <v>0</v>
      </c>
      <c r="J52">
        <f>J9*106.0184</f>
        <v>0</v>
      </c>
      <c r="K52">
        <f>K9*-79.5138</f>
        <v>0</v>
      </c>
      <c r="L52">
        <f>L9*532.8689</f>
        <v>0</v>
      </c>
      <c r="M52">
        <f>M9*-56.9721</f>
        <v>0</v>
      </c>
      <c r="N52">
        <f>E52+F52+G52+H52+I52+J52+K52+L52</f>
        <v>0</v>
      </c>
    </row>
    <row r="53" spans="3:14">
      <c r="C53">
        <f>38.64</f>
        <v>0</v>
      </c>
      <c r="D53">
        <f>18.64</f>
        <v>0</v>
      </c>
      <c r="E53">
        <f>E9*22.4349</f>
        <v>0</v>
      </c>
      <c r="F53">
        <f>F9*189.4112</f>
        <v>0</v>
      </c>
      <c r="G53">
        <f>G9*27.1029</f>
        <v>0</v>
      </c>
      <c r="H53">
        <f>H9*0.0</f>
        <v>0</v>
      </c>
      <c r="I53">
        <f>I9*-1.0996</f>
        <v>0</v>
      </c>
      <c r="J53">
        <f>J9*112.4643</f>
        <v>0</v>
      </c>
      <c r="K53">
        <f>K9*-84.3482</f>
        <v>0</v>
      </c>
      <c r="L53">
        <f>L9*302.5674</f>
        <v>0</v>
      </c>
      <c r="M53">
        <f>M9*-56.5005</f>
        <v>0</v>
      </c>
      <c r="N53">
        <f>E53+F53+G53+H53+I53+J53+K53+L53</f>
        <v>0</v>
      </c>
    </row>
    <row r="54" spans="3:14">
      <c r="C54">
        <f>39.55</f>
        <v>0</v>
      </c>
      <c r="D54">
        <f>19.55</f>
        <v>0</v>
      </c>
      <c r="E54">
        <f>E9*-2.987</f>
        <v>0</v>
      </c>
      <c r="F54">
        <f>F9*-6.1114</f>
        <v>0</v>
      </c>
      <c r="G54">
        <f>G9*-0.8613</f>
        <v>0</v>
      </c>
      <c r="H54">
        <f>H9*0.0</f>
        <v>0</v>
      </c>
      <c r="I54">
        <f>I9*8.711</f>
        <v>0</v>
      </c>
      <c r="J54">
        <f>J9*124.4536</f>
        <v>0</v>
      </c>
      <c r="K54">
        <f>K9*-93.3402</f>
        <v>0</v>
      </c>
      <c r="L54">
        <f>L9*49.9918</f>
        <v>0</v>
      </c>
      <c r="M54">
        <f>M9*-85.3255</f>
        <v>0</v>
      </c>
      <c r="N54">
        <f>E54+F54+G54+H54+I54+J54+K54+L54</f>
        <v>0</v>
      </c>
    </row>
    <row r="55" spans="3:14">
      <c r="C55">
        <f>40.0</f>
        <v>0</v>
      </c>
      <c r="D55">
        <f>20.0</f>
        <v>0</v>
      </c>
      <c r="E55">
        <f>E9*-0.8534</f>
        <v>0</v>
      </c>
      <c r="F55">
        <f>F9*-7.5257</f>
        <v>0</v>
      </c>
      <c r="G55">
        <f>G9*-1.0798</f>
        <v>0</v>
      </c>
      <c r="H55">
        <f>H9*0.0</f>
        <v>0</v>
      </c>
      <c r="I55">
        <f>I9*0.0418</f>
        <v>0</v>
      </c>
      <c r="J55">
        <f>J9*90.3239</f>
        <v>0</v>
      </c>
      <c r="K55">
        <f>K9*-67.7429</f>
        <v>0</v>
      </c>
      <c r="L55">
        <f>L9*3.537</f>
        <v>0</v>
      </c>
      <c r="M55">
        <f>M9*-11.5632</f>
        <v>0</v>
      </c>
      <c r="N55">
        <f>E55+F55+G55+H55+I55+J55+K55+L55</f>
        <v>0</v>
      </c>
    </row>
    <row r="56" spans="3:14">
      <c r="C56">
        <f>40.0</f>
        <v>0</v>
      </c>
      <c r="D56">
        <f>0.0</f>
        <v>0</v>
      </c>
      <c r="E56">
        <f>E9*-0.4832</f>
        <v>0</v>
      </c>
      <c r="F56">
        <f>F9*-4.2972</f>
        <v>0</v>
      </c>
      <c r="G56">
        <f>G9*-0.617</f>
        <v>0</v>
      </c>
      <c r="H56">
        <f>H9*0.0</f>
        <v>0</v>
      </c>
      <c r="I56">
        <f>I9*-7.0821</f>
        <v>0</v>
      </c>
      <c r="J56">
        <f>J9*88.8089</f>
        <v>0</v>
      </c>
      <c r="K56">
        <f>K9*-66.6067</f>
        <v>0</v>
      </c>
      <c r="L56">
        <f>L9*0.7657</f>
        <v>0</v>
      </c>
      <c r="M56">
        <f>M9*-8.9958</f>
        <v>0</v>
      </c>
      <c r="N56">
        <f>E56+F56+G56+H56+I56+J56+K56+L56</f>
        <v>0</v>
      </c>
    </row>
    <row r="57" spans="3:14">
      <c r="C57">
        <f>40.45</f>
        <v>0</v>
      </c>
      <c r="D57">
        <f>0.45</f>
        <v>0</v>
      </c>
      <c r="E57">
        <f>E9*-2.9081</f>
        <v>0</v>
      </c>
      <c r="F57">
        <f>F9*18.36</f>
        <v>0</v>
      </c>
      <c r="G57">
        <f>G9*2.7183</f>
        <v>0</v>
      </c>
      <c r="H57">
        <f>H9*0.0</f>
        <v>0</v>
      </c>
      <c r="I57">
        <f>I9*-77.937</f>
        <v>0</v>
      </c>
      <c r="J57">
        <f>J9*132.6328</f>
        <v>0</v>
      </c>
      <c r="K57">
        <f>K9*-99.4746</f>
        <v>0</v>
      </c>
      <c r="L57">
        <f>L9*53.7754</f>
        <v>0</v>
      </c>
      <c r="M57">
        <f>M9*-31.5819</f>
        <v>0</v>
      </c>
      <c r="N57">
        <f>E57+F57+G57+H57+I57+J57+K57+L57</f>
        <v>0</v>
      </c>
    </row>
    <row r="58" spans="3:14">
      <c r="C58">
        <f>41.36</f>
        <v>0</v>
      </c>
      <c r="D58">
        <f>1.36</f>
        <v>0</v>
      </c>
      <c r="E58">
        <f>E9*12.8607</f>
        <v>0</v>
      </c>
      <c r="F58">
        <f>F9*93.6879</f>
        <v>0</v>
      </c>
      <c r="G58">
        <f>G9*13.3878</f>
        <v>0</v>
      </c>
      <c r="H58">
        <f>H9*0.0</f>
        <v>0</v>
      </c>
      <c r="I58">
        <f>I9*219.917</f>
        <v>0</v>
      </c>
      <c r="J58">
        <f>J9*115.0053</f>
        <v>0</v>
      </c>
      <c r="K58">
        <f>K9*-86.25399999999999</f>
        <v>0</v>
      </c>
      <c r="L58">
        <f>L9*208.8981</f>
        <v>0</v>
      </c>
      <c r="M58">
        <f>M9*-9.211</f>
        <v>0</v>
      </c>
      <c r="N58">
        <f>E58+F58+G58+H58+I58+J58+K58+L58</f>
        <v>0</v>
      </c>
    </row>
    <row r="59" spans="3:14">
      <c r="C59">
        <f>42.27</f>
        <v>0</v>
      </c>
      <c r="D59">
        <f>2.27</f>
        <v>0</v>
      </c>
      <c r="E59">
        <f>E9*22.528000000000002</f>
        <v>0</v>
      </c>
      <c r="F59">
        <f>F9*144.7488</f>
        <v>0</v>
      </c>
      <c r="G59">
        <f>G9*20.5687</f>
        <v>0</v>
      </c>
      <c r="H59">
        <f>H9*0.0</f>
        <v>0</v>
      </c>
      <c r="I59">
        <f>I9*408.2139</f>
        <v>0</v>
      </c>
      <c r="J59">
        <f>J9*100.9763</f>
        <v>0</v>
      </c>
      <c r="K59">
        <f>K9*-75.7322</f>
        <v>0</v>
      </c>
      <c r="L59">
        <f>L9*324.9669</f>
        <v>0</v>
      </c>
      <c r="M59">
        <f>M9*-11.481</f>
        <v>0</v>
      </c>
      <c r="N59">
        <f>E59+F59+G59+H59+I59+J59+K59+L59</f>
        <v>0</v>
      </c>
    </row>
    <row r="60" spans="3:14">
      <c r="C60">
        <f>43.18</f>
        <v>0</v>
      </c>
      <c r="D60">
        <f>3.18</f>
        <v>0</v>
      </c>
      <c r="E60">
        <f>E9*29.156999999999996</f>
        <v>0</v>
      </c>
      <c r="F60">
        <f>F9*186.9991</f>
        <v>0</v>
      </c>
      <c r="G60">
        <f>G9*26.4655</f>
        <v>0</v>
      </c>
      <c r="H60">
        <f>H9*0.0</f>
        <v>0</v>
      </c>
      <c r="I60">
        <f>I9*550.5606</f>
        <v>0</v>
      </c>
      <c r="J60">
        <f>J9*64.6388</f>
        <v>0</v>
      </c>
      <c r="K60">
        <f>K9*-48.4791</f>
        <v>0</v>
      </c>
      <c r="L60">
        <f>L9*420.8433</f>
        <v>0</v>
      </c>
      <c r="M60">
        <f>M9*-16.241</f>
        <v>0</v>
      </c>
      <c r="N60">
        <f>E60+F60+G60+H60+I60+J60+K60+L60</f>
        <v>0</v>
      </c>
    </row>
    <row r="61" spans="3:14">
      <c r="C61">
        <f>44.09</f>
        <v>0</v>
      </c>
      <c r="D61">
        <f>4.09</f>
        <v>0</v>
      </c>
      <c r="E61">
        <f>E9*31.6194</f>
        <v>0</v>
      </c>
      <c r="F61">
        <f>F9*212.2695</f>
        <v>0</v>
      </c>
      <c r="G61">
        <f>G9*29.9259</f>
        <v>0</v>
      </c>
      <c r="H61">
        <f>H9*0.0</f>
        <v>0</v>
      </c>
      <c r="I61">
        <f>I9*624.014</f>
        <v>0</v>
      </c>
      <c r="J61">
        <f>J9*21.1097</f>
        <v>0</v>
      </c>
      <c r="K61">
        <f>K9*-15.8322</f>
        <v>0</v>
      </c>
      <c r="L61">
        <f>L9*480.4904</f>
        <v>0</v>
      </c>
      <c r="M61">
        <f>M9*-22.4017</f>
        <v>0</v>
      </c>
      <c r="N61">
        <f>E61+F61+G61+H61+I61+J61+K61+L61</f>
        <v>0</v>
      </c>
    </row>
    <row r="62" spans="3:14">
      <c r="C62">
        <f>45.0</f>
        <v>0</v>
      </c>
      <c r="D62">
        <f>5.0</f>
        <v>0</v>
      </c>
      <c r="E62">
        <f>E9*31.0731</f>
        <v>0</v>
      </c>
      <c r="F62">
        <f>F9*224.7457</f>
        <v>0</v>
      </c>
      <c r="G62">
        <f>G9*31.471</f>
        <v>0</v>
      </c>
      <c r="H62">
        <f>H9*0.0</f>
        <v>0</v>
      </c>
      <c r="I62">
        <f>I9*641.4013</f>
        <v>0</v>
      </c>
      <c r="J62">
        <f>J9*-26.7903</f>
        <v>0</v>
      </c>
      <c r="K62">
        <f>K9*20.0927</f>
        <v>0</v>
      </c>
      <c r="L62">
        <f>L9*507.8595</f>
        <v>0</v>
      </c>
      <c r="M62">
        <f>M9*-29.768</f>
        <v>0</v>
      </c>
      <c r="N62">
        <f>E62+F62+G62+H62+I62+J62+K62+L62</f>
        <v>0</v>
      </c>
    </row>
    <row r="63" spans="3:14">
      <c r="C63">
        <f>46.0</f>
        <v>0</v>
      </c>
      <c r="D63">
        <f>6.0</f>
        <v>0</v>
      </c>
      <c r="E63">
        <f>E9*33.4139</f>
        <v>0</v>
      </c>
      <c r="F63">
        <f>F9*217.477</f>
        <v>0</v>
      </c>
      <c r="G63">
        <f>G9*30.6284</f>
        <v>0</v>
      </c>
      <c r="H63">
        <f>H9*0.0</f>
        <v>0</v>
      </c>
      <c r="I63">
        <f>I9*653.6114</f>
        <v>0</v>
      </c>
      <c r="J63">
        <f>J9*13.2738</f>
        <v>0</v>
      </c>
      <c r="K63">
        <f>K9*-9.9553</f>
        <v>0</v>
      </c>
      <c r="L63">
        <f>L9*490.3896</f>
        <v>0</v>
      </c>
      <c r="M63">
        <f>M9*-22.2014</f>
        <v>0</v>
      </c>
      <c r="N63">
        <f>E63+F63+G63+H63+I63+J63+K63+L63</f>
        <v>0</v>
      </c>
    </row>
    <row r="64" spans="3:14">
      <c r="C64">
        <f>47.0</f>
        <v>0</v>
      </c>
      <c r="D64">
        <f>7.0</f>
        <v>0</v>
      </c>
      <c r="E64">
        <f>E9*31.8741</f>
        <v>0</v>
      </c>
      <c r="F64">
        <f>F9*192.2684</f>
        <v>0</v>
      </c>
      <c r="G64">
        <f>G9*27.1508</f>
        <v>0</v>
      </c>
      <c r="H64">
        <f>H9*0.0</f>
        <v>0</v>
      </c>
      <c r="I64">
        <f>I9*598.9804</f>
        <v>0</v>
      </c>
      <c r="J64">
        <f>J9*53.9147</f>
        <v>0</v>
      </c>
      <c r="K64">
        <f>K9*-40.436</f>
        <v>0</v>
      </c>
      <c r="L64">
        <f>L9*435.9104</f>
        <v>0</v>
      </c>
      <c r="M64">
        <f>M9*-16.9873</f>
        <v>0</v>
      </c>
      <c r="N64">
        <f>E64+F64+G64+H64+I64+J64+K64+L64</f>
        <v>0</v>
      </c>
    </row>
    <row r="65" spans="3:14">
      <c r="C65">
        <f>48.0</f>
        <v>0</v>
      </c>
      <c r="D65">
        <f>8.0</f>
        <v>0</v>
      </c>
      <c r="E65">
        <f>E9*25.9883</f>
        <v>0</v>
      </c>
      <c r="F65">
        <f>F9*148.6948</f>
        <v>0</v>
      </c>
      <c r="G65">
        <f>G9*21.0243</f>
        <v>0</v>
      </c>
      <c r="H65">
        <f>H9*0.0</f>
        <v>0</v>
      </c>
      <c r="I65">
        <f>I9*474.7707</f>
        <v>0</v>
      </c>
      <c r="J65">
        <f>J9*84.4493</f>
        <v>0</v>
      </c>
      <c r="K65">
        <f>K9*-63.3369</f>
        <v>0</v>
      </c>
      <c r="L65">
        <f>L9*340.6738</f>
        <v>0</v>
      </c>
      <c r="M65">
        <f>M9*-12.4211</f>
        <v>0</v>
      </c>
      <c r="N65">
        <f>E65+F65+G65+H65+I65+J65+K65+L65</f>
        <v>0</v>
      </c>
    </row>
    <row r="66" spans="3:14">
      <c r="C66">
        <f>49.0</f>
        <v>0</v>
      </c>
      <c r="D66">
        <f>9.0</f>
        <v>0</v>
      </c>
      <c r="E66">
        <f>E9*15.181</f>
        <v>0</v>
      </c>
      <c r="F66">
        <f>F9*86.1209</f>
        <v>0</v>
      </c>
      <c r="G66">
        <f>G9*12.1754</f>
        <v>0</v>
      </c>
      <c r="H66">
        <f>H9*0.0</f>
        <v>0</v>
      </c>
      <c r="I66">
        <f>I9*273.7741</f>
        <v>0</v>
      </c>
      <c r="J66">
        <f>J9*77.7375</f>
        <v>0</v>
      </c>
      <c r="K66">
        <f>K9*-58.3031</f>
        <v>0</v>
      </c>
      <c r="L66">
        <f>L9*202.2528</f>
        <v>0</v>
      </c>
      <c r="M66">
        <f>M9*-7.9586</f>
        <v>0</v>
      </c>
      <c r="N66">
        <f>E66+F66+G66+H66+I66+J66+K66+L66</f>
        <v>0</v>
      </c>
    </row>
    <row r="67" spans="3:14">
      <c r="C67">
        <f>50.0</f>
        <v>0</v>
      </c>
      <c r="D67">
        <f>10.0</f>
        <v>0</v>
      </c>
      <c r="E67">
        <f>E9*-2.8231</f>
        <v>0</v>
      </c>
      <c r="F67">
        <f>F9*-5.6798</f>
        <v>0</v>
      </c>
      <c r="G67">
        <f>G9*-0.8179</f>
        <v>0</v>
      </c>
      <c r="H67">
        <f>H9*0.0</f>
        <v>0</v>
      </c>
      <c r="I67">
        <f>I9*-45.4127</f>
        <v>0</v>
      </c>
      <c r="J67">
        <f>J9*88.8457</f>
        <v>0</v>
      </c>
      <c r="K67">
        <f>K9*-66.6343</f>
        <v>0</v>
      </c>
      <c r="L67">
        <f>L9*8.1165</f>
        <v>0</v>
      </c>
      <c r="M67">
        <f>M9*-19.1336</f>
        <v>0</v>
      </c>
      <c r="N67">
        <f>E67+F67+G67+H67+I67+J67+K67+L67</f>
        <v>0</v>
      </c>
    </row>
    <row r="74" spans="3:14">
      <c r="C74" t="s">
        <v>0</v>
      </c>
      <c r="D74" t="s">
        <v>1</v>
      </c>
      <c r="E74" t="s">
        <v>2</v>
      </c>
      <c r="F74" t="s">
        <v>3</v>
      </c>
      <c r="G74" t="s">
        <v>4</v>
      </c>
      <c r="H74" t="s">
        <v>5</v>
      </c>
      <c r="I74" t="s">
        <v>6</v>
      </c>
      <c r="J74" t="s">
        <v>7</v>
      </c>
      <c r="K74" t="s">
        <v>8</v>
      </c>
      <c r="L74" t="s">
        <v>9</v>
      </c>
      <c r="M74" t="s">
        <v>10</v>
      </c>
      <c r="N74" t="s">
        <v>11</v>
      </c>
    </row>
    <row r="75" spans="3:14">
      <c r="C75">
        <f>0.0</f>
        <v>0</v>
      </c>
      <c r="D75">
        <f>0.0</f>
        <v>0</v>
      </c>
      <c r="E75">
        <f>E73*-37.948</f>
        <v>0</v>
      </c>
      <c r="F75">
        <f>F73*-230.611</f>
        <v>0</v>
      </c>
      <c r="G75">
        <f>G73*-31.64</f>
        <v>0</v>
      </c>
      <c r="H75">
        <f>H73*0.0</f>
        <v>0</v>
      </c>
      <c r="I75">
        <f>I73*-0.027999999999999997</f>
        <v>0</v>
      </c>
      <c r="J75">
        <f>J73*116.583</f>
        <v>0</v>
      </c>
      <c r="K75">
        <f>K73*-87.43700000000001</f>
        <v>0</v>
      </c>
      <c r="L75">
        <f>L73*41.1</f>
        <v>0</v>
      </c>
      <c r="M75">
        <f>M73*-370.61300000000006</f>
        <v>0</v>
      </c>
      <c r="N75">
        <f>E75+F75+G75+H75+I75+J75+K75+L75</f>
        <v>0</v>
      </c>
    </row>
    <row r="76" spans="3:14">
      <c r="C76">
        <f>1.0</f>
        <v>0</v>
      </c>
      <c r="D76">
        <f>1.0</f>
        <v>0</v>
      </c>
      <c r="E76">
        <f>E73*-35.189</f>
        <v>0</v>
      </c>
      <c r="F76">
        <f>F73*-210.175</f>
        <v>0</v>
      </c>
      <c r="G76">
        <f>G73*-30.156</f>
        <v>0</v>
      </c>
      <c r="H76">
        <f>H73*0.0</f>
        <v>0</v>
      </c>
      <c r="I76">
        <f>I73*-0.027000000000000003</f>
        <v>0</v>
      </c>
      <c r="J76">
        <f>J73*106.616</f>
        <v>0</v>
      </c>
      <c r="K76">
        <f>K73*-79.962</f>
        <v>0</v>
      </c>
      <c r="L76">
        <f>L73*43.093</f>
        <v>0</v>
      </c>
      <c r="M76">
        <f>M73*-360.631</f>
        <v>0</v>
      </c>
      <c r="N76">
        <f>E76+F76+G76+H76+I76+J76+K76+L76</f>
        <v>0</v>
      </c>
    </row>
    <row r="77" spans="3:14">
      <c r="C77">
        <f>2.0</f>
        <v>0</v>
      </c>
      <c r="D77">
        <f>2.0</f>
        <v>0</v>
      </c>
      <c r="E77">
        <f>E73*-28.64</f>
        <v>0</v>
      </c>
      <c r="F77">
        <f>F73*-188.196</f>
        <v>0</v>
      </c>
      <c r="G77">
        <f>G73*-27.079</f>
        <v>0</v>
      </c>
      <c r="H77">
        <f>H73*0.0</f>
        <v>0</v>
      </c>
      <c r="I77">
        <f>I73*-0.025</f>
        <v>0</v>
      </c>
      <c r="J77">
        <f>J73*84.905</f>
        <v>0</v>
      </c>
      <c r="K77">
        <f>K73*-63.678999999999995</f>
        <v>0</v>
      </c>
      <c r="L77">
        <f>L73*48.049</f>
        <v>0</v>
      </c>
      <c r="M77">
        <f>M73*-337.569</f>
        <v>0</v>
      </c>
      <c r="N77">
        <f>E77+F77+G77+H77+I77+J77+K77+L77</f>
        <v>0</v>
      </c>
    </row>
    <row r="78" spans="3:14">
      <c r="C78">
        <f>3.0</f>
        <v>0</v>
      </c>
      <c r="D78">
        <f>3.0</f>
        <v>0</v>
      </c>
      <c r="E78">
        <f>E73*-22.423000000000002</f>
        <v>0</v>
      </c>
      <c r="F78">
        <f>F73*-165.322</f>
        <v>0</v>
      </c>
      <c r="G78">
        <f>G73*-23.846</f>
        <v>0</v>
      </c>
      <c r="H78">
        <f>H73*0.0</f>
        <v>0</v>
      </c>
      <c r="I78">
        <f>I73*-0.023</f>
        <v>0</v>
      </c>
      <c r="J78">
        <f>J73*73.536</f>
        <v>0</v>
      </c>
      <c r="K78">
        <f>K73*-55.152</f>
        <v>0</v>
      </c>
      <c r="L78">
        <f>L73*57.674</f>
        <v>0</v>
      </c>
      <c r="M78">
        <f>M73*-313.619</f>
        <v>0</v>
      </c>
      <c r="N78">
        <f>E78+F78+G78+H78+I78+J78+K78+L78</f>
        <v>0</v>
      </c>
    </row>
    <row r="79" spans="3:14">
      <c r="C79">
        <f>4.0</f>
        <v>0</v>
      </c>
      <c r="D79">
        <f>4.0</f>
        <v>0</v>
      </c>
      <c r="E79">
        <f>E73*-16.733</f>
        <v>0</v>
      </c>
      <c r="F79">
        <f>F73*-148.487</f>
        <v>0</v>
      </c>
      <c r="G79">
        <f>G73*-20.456</f>
        <v>0</v>
      </c>
      <c r="H79">
        <f>H73*0.0</f>
        <v>0</v>
      </c>
      <c r="I79">
        <f>I73*-0.021</f>
        <v>0</v>
      </c>
      <c r="J79">
        <f>J73*78.36399999999999</f>
        <v>0</v>
      </c>
      <c r="K79">
        <f>K73*-58.773</f>
        <v>0</v>
      </c>
      <c r="L79">
        <f>L73*61.799</f>
        <v>0</v>
      </c>
      <c r="M79">
        <f>M73*-288.377</f>
        <v>0</v>
      </c>
      <c r="N79">
        <f>E79+F79+G79+H79+I79+J79+K79+L79</f>
        <v>0</v>
      </c>
    </row>
    <row r="80" spans="3:14">
      <c r="C80">
        <f>5.0</f>
        <v>0</v>
      </c>
      <c r="D80">
        <f>5.0</f>
        <v>0</v>
      </c>
      <c r="E80">
        <f>E73*-16.461</f>
        <v>0</v>
      </c>
      <c r="F80">
        <f>F73*-127.45200000000001</f>
        <v>0</v>
      </c>
      <c r="G80">
        <f>G73*-18.414</f>
        <v>0</v>
      </c>
      <c r="H80">
        <f>H73*0.0</f>
        <v>0</v>
      </c>
      <c r="I80">
        <f>I73*-0.018000000000000002</f>
        <v>0</v>
      </c>
      <c r="J80">
        <f>J73*74.584</f>
        <v>0</v>
      </c>
      <c r="K80">
        <f>K73*-55.938</f>
        <v>0</v>
      </c>
      <c r="L80">
        <f>L73*65.682</f>
        <v>0</v>
      </c>
      <c r="M80">
        <f>M73*-273.914</f>
        <v>0</v>
      </c>
      <c r="N80">
        <f>E80+F80+G80+H80+I80+J80+K80+L80</f>
        <v>0</v>
      </c>
    </row>
    <row r="81" spans="3:14">
      <c r="C81">
        <f>6.0</f>
        <v>0</v>
      </c>
      <c r="D81">
        <f>6.0</f>
        <v>0</v>
      </c>
      <c r="E81">
        <f>E73*-14.43</f>
        <v>0</v>
      </c>
      <c r="F81">
        <f>F73*-91.475</f>
        <v>0</v>
      </c>
      <c r="G81">
        <f>G73*-13.828</f>
        <v>0</v>
      </c>
      <c r="H81">
        <f>H73*0.0</f>
        <v>0</v>
      </c>
      <c r="I81">
        <f>I73*-0.018000000000000002</f>
        <v>0</v>
      </c>
      <c r="J81">
        <f>J73*-4.373</f>
        <v>0</v>
      </c>
      <c r="K81">
        <f>K73*3.28</f>
        <v>0</v>
      </c>
      <c r="L81">
        <f>L73*75.75</f>
        <v>0</v>
      </c>
      <c r="M81">
        <f>M73*-233.148</f>
        <v>0</v>
      </c>
      <c r="N81">
        <f>E81+F81+G81+H81+I81+J81+K81+L81</f>
        <v>0</v>
      </c>
    </row>
    <row r="82" spans="3:14">
      <c r="C82">
        <f>7.0</f>
        <v>0</v>
      </c>
      <c r="D82">
        <f>7.0</f>
        <v>0</v>
      </c>
      <c r="E82">
        <f>E73*-9.692</f>
        <v>0</v>
      </c>
      <c r="F82">
        <f>F73*-69.003</f>
        <v>0</v>
      </c>
      <c r="G82">
        <f>G73*-10.565999999999999</f>
        <v>0</v>
      </c>
      <c r="H82">
        <f>H73*0.0</f>
        <v>0</v>
      </c>
      <c r="I82">
        <f>I73*-0.017</f>
        <v>0</v>
      </c>
      <c r="J82">
        <f>J73*1.922</f>
        <v>0</v>
      </c>
      <c r="K82">
        <f>K73*-1.4409999999999998</f>
        <v>0</v>
      </c>
      <c r="L82">
        <f>L73*89.865</f>
        <v>0</v>
      </c>
      <c r="M82">
        <f>M73*-212.926</f>
        <v>0</v>
      </c>
      <c r="N82">
        <f>E82+F82+G82+H82+I82+J82+K82+L82</f>
        <v>0</v>
      </c>
    </row>
    <row r="83" spans="3:14">
      <c r="C83">
        <f>8.0</f>
        <v>0</v>
      </c>
      <c r="D83">
        <f>8.0</f>
        <v>0</v>
      </c>
      <c r="E83">
        <f>E73*-4.809</f>
        <v>0</v>
      </c>
      <c r="F83">
        <f>F73*-46.251999999999995</f>
        <v>0</v>
      </c>
      <c r="G83">
        <f>G73*-7.281000000000001</f>
        <v>0</v>
      </c>
      <c r="H83">
        <f>H73*0.0</f>
        <v>0</v>
      </c>
      <c r="I83">
        <f>I73*-0.017</f>
        <v>0</v>
      </c>
      <c r="J83">
        <f>J73*9.062000000000001</f>
        <v>0</v>
      </c>
      <c r="K83">
        <f>K73*-6.796</f>
        <v>0</v>
      </c>
      <c r="L83">
        <f>L73*104.116</f>
        <v>0</v>
      </c>
      <c r="M83">
        <f>M73*-192.347</f>
        <v>0</v>
      </c>
      <c r="N83">
        <f>E83+F83+G83+H83+I83+J83+K83+L83</f>
        <v>0</v>
      </c>
    </row>
    <row r="84" spans="3:14">
      <c r="C84">
        <f>9.0</f>
        <v>0</v>
      </c>
      <c r="D84">
        <f>9.0</f>
        <v>0</v>
      </c>
      <c r="E84">
        <f>E73*2.249</f>
        <v>0</v>
      </c>
      <c r="F84">
        <f>F73*-23.462</f>
        <v>0</v>
      </c>
      <c r="G84">
        <f>G73*-3.9589999999999996</f>
        <v>0</v>
      </c>
      <c r="H84">
        <f>H73*0.0</f>
        <v>0</v>
      </c>
      <c r="I84">
        <f>I73*-0.016</f>
        <v>0</v>
      </c>
      <c r="J84">
        <f>J73*15.087</f>
        <v>0</v>
      </c>
      <c r="K84">
        <f>K73*-11.315</f>
        <v>0</v>
      </c>
      <c r="L84">
        <f>L73*118.274</f>
        <v>0</v>
      </c>
      <c r="M84">
        <f>M73*-171.215</f>
        <v>0</v>
      </c>
      <c r="N84">
        <f>E84+F84+G84+H84+I84+J84+K84+L84</f>
        <v>0</v>
      </c>
    </row>
    <row r="85" spans="3:14">
      <c r="C85">
        <f>10.0</f>
        <v>0</v>
      </c>
      <c r="D85">
        <f>10.0</f>
        <v>0</v>
      </c>
      <c r="E85">
        <f>E73*4.119</f>
        <v>0</v>
      </c>
      <c r="F85">
        <f>F73*16.552</f>
        <v>0</v>
      </c>
      <c r="G85">
        <f>G73*2.904</f>
        <v>0</v>
      </c>
      <c r="H85">
        <f>H73*0.0</f>
        <v>0</v>
      </c>
      <c r="I85">
        <f>I73*-0.015</f>
        <v>0</v>
      </c>
      <c r="J85">
        <f>J73*15.58</f>
        <v>0</v>
      </c>
      <c r="K85">
        <f>K73*-11.685</f>
        <v>0</v>
      </c>
      <c r="L85">
        <f>L73*142.037</f>
        <v>0</v>
      </c>
      <c r="M85">
        <f>M73*-149.991</f>
        <v>0</v>
      </c>
      <c r="N85">
        <f>E85+F85+G85+H85+I85+J85+K85+L85</f>
        <v>0</v>
      </c>
    </row>
    <row r="86" spans="3:14">
      <c r="C86">
        <f>11.0</f>
        <v>0</v>
      </c>
      <c r="D86">
        <f>11.0</f>
        <v>0</v>
      </c>
      <c r="E86">
        <f>E73*-1.247</f>
        <v>0</v>
      </c>
      <c r="F86">
        <f>F73*39.343</f>
        <v>0</v>
      </c>
      <c r="G86">
        <f>G73*6.24</f>
        <v>0</v>
      </c>
      <c r="H86">
        <f>H73*0.0</f>
        <v>0</v>
      </c>
      <c r="I86">
        <f>I73*-0.015</f>
        <v>0</v>
      </c>
      <c r="J86">
        <f>J73*-11.039000000000001</f>
        <v>0</v>
      </c>
      <c r="K86">
        <f>K73*8.28</f>
        <v>0</v>
      </c>
      <c r="L86">
        <f>L73*163.05100000000002</f>
        <v>0</v>
      </c>
      <c r="M86">
        <f>M73*-114.155</f>
        <v>0</v>
      </c>
      <c r="N86">
        <f>E86+F86+G86+H86+I86+J86+K86+L86</f>
        <v>0</v>
      </c>
    </row>
    <row r="87" spans="3:14">
      <c r="C87">
        <f>12.0</f>
        <v>0</v>
      </c>
      <c r="D87">
        <f>12.0</f>
        <v>0</v>
      </c>
      <c r="E87">
        <f>E73*5.728</f>
        <v>0</v>
      </c>
      <c r="F87">
        <f>F73*62.226000000000006</f>
        <v>0</v>
      </c>
      <c r="G87">
        <f>G73*9.58</f>
        <v>0</v>
      </c>
      <c r="H87">
        <f>H73*0.0</f>
        <v>0</v>
      </c>
      <c r="I87">
        <f>I73*-0.016</f>
        <v>0</v>
      </c>
      <c r="J87">
        <f>J73*-4.413</f>
        <v>0</v>
      </c>
      <c r="K87">
        <f>K73*3.31</f>
        <v>0</v>
      </c>
      <c r="L87">
        <f>L73*183.945</f>
        <v>0</v>
      </c>
      <c r="M87">
        <f>M73*-98.82600000000001</f>
        <v>0</v>
      </c>
      <c r="N87">
        <f>E87+F87+G87+H87+I87+J87+K87+L87</f>
        <v>0</v>
      </c>
    </row>
    <row r="88" spans="3:14">
      <c r="C88">
        <f>13.0</f>
        <v>0</v>
      </c>
      <c r="D88">
        <f>13.0</f>
        <v>0</v>
      </c>
      <c r="E88">
        <f>E73*10.493</f>
        <v>0</v>
      </c>
      <c r="F88">
        <f>F73*85.073</f>
        <v>0</v>
      </c>
      <c r="G88">
        <f>G73*12.887</f>
        <v>0</v>
      </c>
      <c r="H88">
        <f>H73*0.0</f>
        <v>0</v>
      </c>
      <c r="I88">
        <f>I73*-0.016</f>
        <v>0</v>
      </c>
      <c r="J88">
        <f>J73*8.215</f>
        <v>0</v>
      </c>
      <c r="K88">
        <f>K73*-6.162000000000001</f>
        <v>0</v>
      </c>
      <c r="L88">
        <f>L73*204.59099999999998</f>
        <v>0</v>
      </c>
      <c r="M88">
        <f>M73*-85.15799999999999</f>
        <v>0</v>
      </c>
      <c r="N88">
        <f>E88+F88+G88+H88+I88+J88+K88+L88</f>
        <v>0</v>
      </c>
    </row>
    <row r="89" spans="3:14">
      <c r="C89">
        <f>14.0</f>
        <v>0</v>
      </c>
      <c r="D89">
        <f>14.0</f>
        <v>0</v>
      </c>
      <c r="E89">
        <f>E73*15.022</f>
        <v>0</v>
      </c>
      <c r="F89">
        <f>F73*107.49600000000001</f>
        <v>0</v>
      </c>
      <c r="G89">
        <f>G73*16.158</f>
        <v>0</v>
      </c>
      <c r="H89">
        <f>H73*0.0</f>
        <v>0</v>
      </c>
      <c r="I89">
        <f>I73*-0.016</f>
        <v>0</v>
      </c>
      <c r="J89">
        <f>J73*13.853</f>
        <v>0</v>
      </c>
      <c r="K89">
        <f>K73*-10.39</f>
        <v>0</v>
      </c>
      <c r="L89">
        <f>L73*225.113</f>
        <v>0</v>
      </c>
      <c r="M89">
        <f>M73*-71.616</f>
        <v>0</v>
      </c>
      <c r="N89">
        <f>E89+F89+G89+H89+I89+J89+K89+L89</f>
        <v>0</v>
      </c>
    </row>
    <row r="90" spans="3:14">
      <c r="C90">
        <f>15.0</f>
        <v>0</v>
      </c>
      <c r="D90">
        <f>15.0</f>
        <v>0</v>
      </c>
      <c r="E90">
        <f>E73*16.915</f>
        <v>0</v>
      </c>
      <c r="F90">
        <f>F73*134.79</f>
        <v>0</v>
      </c>
      <c r="G90">
        <f>G73*19.665</f>
        <v>0</v>
      </c>
      <c r="H90">
        <f>H73*0.0</f>
        <v>0</v>
      </c>
      <c r="I90">
        <f>I73*-0.015</f>
        <v>0</v>
      </c>
      <c r="J90">
        <f>J73*-30.033</f>
        <v>0</v>
      </c>
      <c r="K90">
        <f>K73*22.525</f>
        <v>0</v>
      </c>
      <c r="L90">
        <f>L73*262.93</f>
        <v>0</v>
      </c>
      <c r="M90">
        <f>M73*-59.044</f>
        <v>0</v>
      </c>
      <c r="N90">
        <f>E90+F90+G90+H90+I90+J90+K90+L90</f>
        <v>0</v>
      </c>
    </row>
    <row r="91" spans="3:14">
      <c r="C91">
        <f>15.91</f>
        <v>0</v>
      </c>
      <c r="D91">
        <f>15.91</f>
        <v>0</v>
      </c>
      <c r="E91">
        <f>E73*13.456</f>
        <v>0</v>
      </c>
      <c r="F91">
        <f>F73*153.599</f>
        <v>0</v>
      </c>
      <c r="G91">
        <f>G73*21.621</f>
        <v>0</v>
      </c>
      <c r="H91">
        <f>H73*0.0</f>
        <v>0</v>
      </c>
      <c r="I91">
        <f>I73*-0.008773999999999999</f>
        <v>0</v>
      </c>
      <c r="J91">
        <f>J73*-31.256999999999998</f>
        <v>0</v>
      </c>
      <c r="K91">
        <f>K73*23.441999999999997</f>
        <v>0</v>
      </c>
      <c r="L91">
        <f>L73*275.272</f>
        <v>0</v>
      </c>
      <c r="M91">
        <f>M73*-54.523999999999994</f>
        <v>0</v>
      </c>
      <c r="N91">
        <f>E91+F91+G91+H91+I91+J91+K91+L91</f>
        <v>0</v>
      </c>
    </row>
    <row r="92" spans="3:14">
      <c r="C92">
        <f>16.82</f>
        <v>0</v>
      </c>
      <c r="D92">
        <f>16.82</f>
        <v>0</v>
      </c>
      <c r="E92">
        <f>E73*17.755</f>
        <v>0</v>
      </c>
      <c r="F92">
        <f>F73*167.42700000000002</f>
        <v>0</v>
      </c>
      <c r="G92">
        <f>G73*24.444000000000003</f>
        <v>0</v>
      </c>
      <c r="H92">
        <f>H73*0.0</f>
        <v>0</v>
      </c>
      <c r="I92">
        <f>I73*-0.008438</f>
        <v>0</v>
      </c>
      <c r="J92">
        <f>J73*-17.46</f>
        <v>0</v>
      </c>
      <c r="K92">
        <f>K73*13.095</f>
        <v>0</v>
      </c>
      <c r="L92">
        <f>L73*297.536</f>
        <v>0</v>
      </c>
      <c r="M92">
        <f>M73*-45.367</f>
        <v>0</v>
      </c>
      <c r="N92">
        <f>E92+F92+G92+H92+I92+J92+K92+L92</f>
        <v>0</v>
      </c>
    </row>
    <row r="93" spans="3:14">
      <c r="C93">
        <f>17.73</f>
        <v>0</v>
      </c>
      <c r="D93">
        <f>17.73</f>
        <v>0</v>
      </c>
      <c r="E93">
        <f>E73*22.408</f>
        <v>0</v>
      </c>
      <c r="F93">
        <f>F73*186.799</f>
        <v>0</v>
      </c>
      <c r="G93">
        <f>G73*27.259</f>
        <v>0</v>
      </c>
      <c r="H93">
        <f>H73*0.0</f>
        <v>0</v>
      </c>
      <c r="I93">
        <f>I73*-0.006589</f>
        <v>0</v>
      </c>
      <c r="J93">
        <f>J73*-14.21</f>
        <v>0</v>
      </c>
      <c r="K93">
        <f>K73*10.658</f>
        <v>0</v>
      </c>
      <c r="L93">
        <f>L73*320.80400000000003</f>
        <v>0</v>
      </c>
      <c r="M93">
        <f>M73*-32.501999999999995</f>
        <v>0</v>
      </c>
      <c r="N93">
        <f>E93+F93+G93+H93+I93+J93+K93+L93</f>
        <v>0</v>
      </c>
    </row>
    <row r="94" spans="3:14">
      <c r="C94">
        <f>18.64</f>
        <v>0</v>
      </c>
      <c r="D94">
        <f>18.64</f>
        <v>0</v>
      </c>
      <c r="E94">
        <f>E73*27.135</f>
        <v>0</v>
      </c>
      <c r="F94">
        <f>F73*204.66</f>
        <v>0</v>
      </c>
      <c r="G94">
        <f>G73*29.844</f>
        <v>0</v>
      </c>
      <c r="H94">
        <f>H73*0.0</f>
        <v>0</v>
      </c>
      <c r="I94">
        <f>I73*-0.00245</f>
        <v>0</v>
      </c>
      <c r="J94">
        <f>J73*-19.721</f>
        <v>0</v>
      </c>
      <c r="K94">
        <f>K73*14.790999999999999</f>
        <v>0</v>
      </c>
      <c r="L94">
        <f>L73*344.269</f>
        <v>0</v>
      </c>
      <c r="M94">
        <f>M73*-25.441</f>
        <v>0</v>
      </c>
      <c r="N94">
        <f>E94+F94+G94+H94+I94+J94+K94+L94</f>
        <v>0</v>
      </c>
    </row>
    <row r="95" spans="3:14">
      <c r="C95">
        <f>19.55</f>
        <v>0</v>
      </c>
      <c r="D95">
        <f>19.55</f>
        <v>0</v>
      </c>
      <c r="E95">
        <f>E73*29.168000000000003</f>
        <v>0</v>
      </c>
      <c r="F95">
        <f>F73*220.107</f>
        <v>0</v>
      </c>
      <c r="G95">
        <f>G73*30.789</f>
        <v>0</v>
      </c>
      <c r="H95">
        <f>H73*0.0</f>
        <v>0</v>
      </c>
      <c r="I95">
        <f>I73*0.01</f>
        <v>0</v>
      </c>
      <c r="J95">
        <f>J73*43.54</f>
        <v>0</v>
      </c>
      <c r="K95">
        <f>K73*-32.655</f>
        <v>0</v>
      </c>
      <c r="L95">
        <f>L73*353.778</f>
        <v>0</v>
      </c>
      <c r="M95">
        <f>M73*-145.04</f>
        <v>0</v>
      </c>
      <c r="N95">
        <f>E95+F95+G95+H95+I95+J95+K95+L95</f>
        <v>0</v>
      </c>
    </row>
    <row r="96" spans="3:14">
      <c r="C96">
        <f>20.0</f>
        <v>0</v>
      </c>
      <c r="D96">
        <f>20.0</f>
        <v>0</v>
      </c>
      <c r="E96">
        <f>E73*-1.972</f>
        <v>0</v>
      </c>
      <c r="F96">
        <f>F73*10.224</f>
        <v>0</v>
      </c>
      <c r="G96">
        <f>G73*0.8420000000000001</f>
        <v>0</v>
      </c>
      <c r="H96">
        <f>H73*0.0</f>
        <v>0</v>
      </c>
      <c r="I96">
        <f>I73*0.01</f>
        <v>0</v>
      </c>
      <c r="J96">
        <f>J73*43.54</f>
        <v>0</v>
      </c>
      <c r="K96">
        <f>K73*-32.655</f>
        <v>0</v>
      </c>
      <c r="L96">
        <f>L73*41.391999999999996</f>
        <v>0</v>
      </c>
      <c r="M96">
        <f>M73*-145.04</f>
        <v>0</v>
      </c>
      <c r="N96">
        <f>E96+F96+G96+H96+I96+J96+K96+L96</f>
        <v>0</v>
      </c>
    </row>
    <row r="97" spans="3:14">
      <c r="C97">
        <f>20.0</f>
        <v>0</v>
      </c>
      <c r="D97">
        <f>0.0</f>
        <v>0</v>
      </c>
      <c r="E97">
        <f>E73*1.915</f>
        <v>0</v>
      </c>
      <c r="F97">
        <f>F73*-9.171</f>
        <v>0</v>
      </c>
      <c r="G97">
        <f>G73*-0.687</f>
        <v>0</v>
      </c>
      <c r="H97">
        <f>H73*0.0</f>
        <v>0</v>
      </c>
      <c r="I97">
        <f>I73*0.45</f>
        <v>0</v>
      </c>
      <c r="J97">
        <f>J73*-42.34</f>
        <v>0</v>
      </c>
      <c r="K97">
        <f>K73*31.755</f>
        <v>0</v>
      </c>
      <c r="L97">
        <f>L73*32.745</f>
        <v>0</v>
      </c>
      <c r="M97">
        <f>M73*-45.048</f>
        <v>0</v>
      </c>
      <c r="N97">
        <f>E97+F97+G97+H97+I97+J97+K97+L97</f>
        <v>0</v>
      </c>
    </row>
    <row r="98" spans="3:14">
      <c r="C98">
        <f>20.45</f>
        <v>0</v>
      </c>
      <c r="D98">
        <f>0.45</f>
        <v>0</v>
      </c>
      <c r="E98">
        <f>E73*-29.229</f>
        <v>0</v>
      </c>
      <c r="F98">
        <f>F73*-209.40099999999998</f>
        <v>0</v>
      </c>
      <c r="G98">
        <f>G73*-29.214000000000002</f>
        <v>0</v>
      </c>
      <c r="H98">
        <f>H73*0.0</f>
        <v>0</v>
      </c>
      <c r="I98">
        <f>I73*0.45</f>
        <v>0</v>
      </c>
      <c r="J98">
        <f>J73*-42.34</f>
        <v>0</v>
      </c>
      <c r="K98">
        <f>K73*31.755</f>
        <v>0</v>
      </c>
      <c r="L98">
        <f>L73*32.745</f>
        <v>0</v>
      </c>
      <c r="M98">
        <f>M73*-346.07599999999996</f>
        <v>0</v>
      </c>
      <c r="N98">
        <f>E98+F98+G98+H98+I98+J98+K98+L98</f>
        <v>0</v>
      </c>
    </row>
    <row r="99" spans="3:14">
      <c r="C99">
        <f>21.36</f>
        <v>0</v>
      </c>
      <c r="D99">
        <f>1.36</f>
        <v>0</v>
      </c>
      <c r="E99">
        <f>E73*-27.144000000000002</f>
        <v>0</v>
      </c>
      <c r="F99">
        <f>F73*-194.218</f>
        <v>0</v>
      </c>
      <c r="G99">
        <f>G73*-28.31</f>
        <v>0</v>
      </c>
      <c r="H99">
        <f>H73*0.0</f>
        <v>0</v>
      </c>
      <c r="I99">
        <f>I73*-0.35200000000000004</f>
        <v>0</v>
      </c>
      <c r="J99">
        <f>J73*29.295</f>
        <v>0</v>
      </c>
      <c r="K99">
        <f>K73*-21.971</f>
        <v>0</v>
      </c>
      <c r="L99">
        <f>L73*28.846</f>
        <v>0</v>
      </c>
      <c r="M99">
        <f>M73*-337.214</f>
        <v>0</v>
      </c>
      <c r="N99">
        <f>E99+F99+G99+H99+I99+J99+K99+L99</f>
        <v>0</v>
      </c>
    </row>
    <row r="100" spans="3:14">
      <c r="C100">
        <f>22.27</f>
        <v>0</v>
      </c>
      <c r="D100">
        <f>2.27</f>
        <v>0</v>
      </c>
      <c r="E100">
        <f>E73*-22.328000000000003</f>
        <v>0</v>
      </c>
      <c r="F100">
        <f>F73*-177.037</f>
        <v>0</v>
      </c>
      <c r="G100">
        <f>G73*-25.829</f>
        <v>0</v>
      </c>
      <c r="H100">
        <f>H73*0.0</f>
        <v>0</v>
      </c>
      <c r="I100">
        <f>I73*-0.35100000000000003</f>
        <v>0</v>
      </c>
      <c r="J100">
        <f>J73*22.008000000000003</f>
        <v>0</v>
      </c>
      <c r="K100">
        <f>K73*-16.506</f>
        <v>0</v>
      </c>
      <c r="L100">
        <f>L73*36.545</f>
        <v>0</v>
      </c>
      <c r="M100">
        <f>M73*-315.53</f>
        <v>0</v>
      </c>
      <c r="N100">
        <f>E100+F100+G100+H100+I100+J100+K100+L100</f>
        <v>0</v>
      </c>
    </row>
    <row r="101" spans="3:14">
      <c r="C101">
        <f>23.18</f>
        <v>0</v>
      </c>
      <c r="D101">
        <f>3.18</f>
        <v>0</v>
      </c>
      <c r="E101">
        <f>E73*-17.597</f>
        <v>0</v>
      </c>
      <c r="F101">
        <f>F73*-158.25</f>
        <v>0</v>
      </c>
      <c r="G101">
        <f>G73*-23.103</f>
        <v>0</v>
      </c>
      <c r="H101">
        <f>H73*0.0</f>
        <v>0</v>
      </c>
      <c r="I101">
        <f>I73*-0.325</f>
        <v>0</v>
      </c>
      <c r="J101">
        <f>J73*23.601999999999997</f>
        <v>0</v>
      </c>
      <c r="K101">
        <f>K73*-17.702</f>
        <v>0</v>
      </c>
      <c r="L101">
        <f>L73*48.673</f>
        <v>0</v>
      </c>
      <c r="M101">
        <f>M73*-293.915</f>
        <v>0</v>
      </c>
      <c r="N101">
        <f>E101+F101+G101+H101+I101+J101+K101+L101</f>
        <v>0</v>
      </c>
    </row>
    <row r="102" spans="3:14">
      <c r="C102">
        <f>24.09</f>
        <v>0</v>
      </c>
      <c r="D102">
        <f>4.09</f>
        <v>0</v>
      </c>
      <c r="E102">
        <f>E73*-13.232000000000001</f>
        <v>0</v>
      </c>
      <c r="F102">
        <f>F73*-144.873</f>
        <v>0</v>
      </c>
      <c r="G102">
        <f>G73*-20.344</f>
        <v>0</v>
      </c>
      <c r="H102">
        <f>H73*0.0</f>
        <v>0</v>
      </c>
      <c r="I102">
        <f>I73*-0.253</f>
        <v>0</v>
      </c>
      <c r="J102">
        <f>J73*36.273</f>
        <v>0</v>
      </c>
      <c r="K102">
        <f>K73*-27.205</f>
        <v>0</v>
      </c>
      <c r="L102">
        <f>L73*57.263999999999996</f>
        <v>0</v>
      </c>
      <c r="M102">
        <f>M73*-272.88</f>
        <v>0</v>
      </c>
      <c r="N102">
        <f>E102+F102+G102+H102+I102+J102+K102+L102</f>
        <v>0</v>
      </c>
    </row>
    <row r="103" spans="3:14">
      <c r="C103">
        <f>25.0</f>
        <v>0</v>
      </c>
      <c r="D103">
        <f>5.0</f>
        <v>0</v>
      </c>
      <c r="E103">
        <f>E73*-16.4</f>
        <v>0</v>
      </c>
      <c r="F103">
        <f>F73*-126.177</f>
        <v>0</v>
      </c>
      <c r="G103">
        <f>G73*-18.415</f>
        <v>0</v>
      </c>
      <c r="H103">
        <f>H73*0.0</f>
        <v>0</v>
      </c>
      <c r="I103">
        <f>I73*0.183</f>
        <v>0</v>
      </c>
      <c r="J103">
        <f>J73*34.65</f>
        <v>0</v>
      </c>
      <c r="K103">
        <f>K73*-25.988000000000003</f>
        <v>0</v>
      </c>
      <c r="L103">
        <f>L73*61.595</f>
        <v>0</v>
      </c>
      <c r="M103">
        <f>M73*-261.369</f>
        <v>0</v>
      </c>
      <c r="N103">
        <f>E103+F103+G103+H103+I103+J103+K103+L103</f>
        <v>0</v>
      </c>
    </row>
    <row r="104" spans="3:14">
      <c r="C104">
        <f>26.0</f>
        <v>0</v>
      </c>
      <c r="D104">
        <f>6.0</f>
        <v>0</v>
      </c>
      <c r="E104">
        <f>E73*-14.485999999999999</f>
        <v>0</v>
      </c>
      <c r="F104">
        <f>F73*-99.94200000000001</f>
        <v>0</v>
      </c>
      <c r="G104">
        <f>G73*-15.077</f>
        <v>0</v>
      </c>
      <c r="H104">
        <f>H73*0.0</f>
        <v>0</v>
      </c>
      <c r="I104">
        <f>I73*0.284</f>
        <v>0</v>
      </c>
      <c r="J104">
        <f>J73*-12.7</f>
        <v>0</v>
      </c>
      <c r="K104">
        <f>K73*9.525</f>
        <v>0</v>
      </c>
      <c r="L104">
        <f>L73*68.635</f>
        <v>0</v>
      </c>
      <c r="M104">
        <f>M73*-224.454</f>
        <v>0</v>
      </c>
      <c r="N104">
        <f>E104+F104+G104+H104+I104+J104+K104+L104</f>
        <v>0</v>
      </c>
    </row>
    <row r="105" spans="3:14">
      <c r="C105">
        <f>27.0</f>
        <v>0</v>
      </c>
      <c r="D105">
        <f>7.0</f>
        <v>0</v>
      </c>
      <c r="E105">
        <f>E73*-9.917</f>
        <v>0</v>
      </c>
      <c r="F105">
        <f>F73*-77.609</f>
        <v>0</v>
      </c>
      <c r="G105">
        <f>G73*-11.822000000000001</f>
        <v>0</v>
      </c>
      <c r="H105">
        <f>H73*0.0</f>
        <v>0</v>
      </c>
      <c r="I105">
        <f>I73*0.419</f>
        <v>0</v>
      </c>
      <c r="J105">
        <f>J73*-7.676</f>
        <v>0</v>
      </c>
      <c r="K105">
        <f>K73*5.757000000000001</f>
        <v>0</v>
      </c>
      <c r="L105">
        <f>L73*82.762</f>
        <v>0</v>
      </c>
      <c r="M105">
        <f>M73*-203.921</f>
        <v>0</v>
      </c>
      <c r="N105">
        <f>E105+F105+G105+H105+I105+J105+K105+L105</f>
        <v>0</v>
      </c>
    </row>
    <row r="106" spans="3:14">
      <c r="C106">
        <f>28.0</f>
        <v>0</v>
      </c>
      <c r="D106">
        <f>8.0</f>
        <v>0</v>
      </c>
      <c r="E106">
        <f>E73*-5.12</f>
        <v>0</v>
      </c>
      <c r="F106">
        <f>F73*-54.761</f>
        <v>0</v>
      </c>
      <c r="G106">
        <f>G73*-8.517999999999999</f>
        <v>0</v>
      </c>
      <c r="H106">
        <f>H73*0.0</f>
        <v>0</v>
      </c>
      <c r="I106">
        <f>I73*0.606</f>
        <v>0</v>
      </c>
      <c r="J106">
        <f>J73*4.274</f>
        <v>0</v>
      </c>
      <c r="K106">
        <f>K73*-3.2060000000000004</f>
        <v>0</v>
      </c>
      <c r="L106">
        <f>L73*96.87200000000001</f>
        <v>0</v>
      </c>
      <c r="M106">
        <f>M73*-183.513</f>
        <v>0</v>
      </c>
      <c r="N106">
        <f>E106+F106+G106+H106+I106+J106+K106+L106</f>
        <v>0</v>
      </c>
    </row>
    <row r="107" spans="3:14">
      <c r="C107">
        <f>29.0</f>
        <v>0</v>
      </c>
      <c r="D107">
        <f>9.0</f>
        <v>0</v>
      </c>
      <c r="E107">
        <f>E73*1.88</f>
        <v>0</v>
      </c>
      <c r="F107">
        <f>F73*-31.798000000000002</f>
        <v>0</v>
      </c>
      <c r="G107">
        <f>G73*-5.169</f>
        <v>0</v>
      </c>
      <c r="H107">
        <f>H73*0.0</f>
        <v>0</v>
      </c>
      <c r="I107">
        <f>I73*0.8340000000000001</f>
        <v>0</v>
      </c>
      <c r="J107">
        <f>J73*10.700999999999999</f>
        <v>0</v>
      </c>
      <c r="K107">
        <f>K73*-8.026</f>
        <v>0</v>
      </c>
      <c r="L107">
        <f>L73*111.557</f>
        <v>0</v>
      </c>
      <c r="M107">
        <f>M73*-163.197</f>
        <v>0</v>
      </c>
      <c r="N107">
        <f>E107+F107+G107+H107+I107+J107+K107+L107</f>
        <v>0</v>
      </c>
    </row>
    <row r="108" spans="3:14">
      <c r="C108">
        <f>30.0</f>
        <v>0</v>
      </c>
      <c r="D108">
        <f>10.0</f>
        <v>0</v>
      </c>
      <c r="E108">
        <f>E73*-3.912</f>
        <v>0</v>
      </c>
      <c r="F108">
        <f>F73*-8.863999999999999</f>
        <v>0</v>
      </c>
      <c r="G108">
        <f>G73*-1.815</f>
        <v>0</v>
      </c>
      <c r="H108">
        <f>H73*0.0</f>
        <v>0</v>
      </c>
      <c r="I108">
        <f>I73*1.153</f>
        <v>0</v>
      </c>
      <c r="J108">
        <f>J73*11.386</f>
        <v>0</v>
      </c>
      <c r="K108">
        <f>K73*-8.539</f>
        <v>0</v>
      </c>
      <c r="L108">
        <f>L73*140.513</f>
        <v>0</v>
      </c>
      <c r="M108">
        <f>M73*-142.657</f>
        <v>0</v>
      </c>
      <c r="N108">
        <f>E108+F108+G108+H108+I108+J108+K108+L108</f>
        <v>0</v>
      </c>
    </row>
    <row r="109" spans="3:14">
      <c r="C109">
        <f>31.0</f>
        <v>0</v>
      </c>
      <c r="D109">
        <f>11.0</f>
        <v>0</v>
      </c>
      <c r="E109">
        <f>E73*-2.057</f>
        <v>0</v>
      </c>
      <c r="F109">
        <f>F73*31.298000000000002</f>
        <v>0</v>
      </c>
      <c r="G109">
        <f>G73*5.103</f>
        <v>0</v>
      </c>
      <c r="H109">
        <f>H73*0.0</f>
        <v>0</v>
      </c>
      <c r="I109">
        <f>I73*1.3880000000000001</f>
        <v>0</v>
      </c>
      <c r="J109">
        <f>J73*-9.55</f>
        <v>0</v>
      </c>
      <c r="K109">
        <f>K73*7.162999999999999</f>
        <v>0</v>
      </c>
      <c r="L109">
        <f>L73*161.106</f>
        <v>0</v>
      </c>
      <c r="M109">
        <f>M73*-111.76799999999999</f>
        <v>0</v>
      </c>
      <c r="N109">
        <f>E109+F109+G109+H109+I109+J109+K109+L109</f>
        <v>0</v>
      </c>
    </row>
    <row r="110" spans="3:14">
      <c r="C110">
        <f>32.0</f>
        <v>0</v>
      </c>
      <c r="D110">
        <f>12.0</f>
        <v>0</v>
      </c>
      <c r="E110">
        <f>E73*4.928999999999999</f>
        <v>0</v>
      </c>
      <c r="F110">
        <f>F73*54.317</f>
        <v>0</v>
      </c>
      <c r="G110">
        <f>G73*8.46</f>
        <v>0</v>
      </c>
      <c r="H110">
        <f>H73*0.0</f>
        <v>0</v>
      </c>
      <c r="I110">
        <f>I73*1.6780000000000002</f>
        <v>0</v>
      </c>
      <c r="J110">
        <f>J73*-3.0210000000000004</f>
        <v>0</v>
      </c>
      <c r="K110">
        <f>K73*2.266</f>
        <v>0</v>
      </c>
      <c r="L110">
        <f>L73*181.90200000000002</f>
        <v>0</v>
      </c>
      <c r="M110">
        <f>M73*-97.027</f>
        <v>0</v>
      </c>
      <c r="N110">
        <f>E110+F110+G110+H110+I110+J110+K110+L110</f>
        <v>0</v>
      </c>
    </row>
    <row r="111" spans="3:14">
      <c r="C111">
        <f>33.0</f>
        <v>0</v>
      </c>
      <c r="D111">
        <f>13.0</f>
        <v>0</v>
      </c>
      <c r="E111">
        <f>E73*9.709</f>
        <v>0</v>
      </c>
      <c r="F111">
        <f>F73*77.27600000000001</f>
        <v>0</v>
      </c>
      <c r="G111">
        <f>G73*11.782</f>
        <v>0</v>
      </c>
      <c r="H111">
        <f>H73*0.0</f>
        <v>0</v>
      </c>
      <c r="I111">
        <f>I73*1.9709999999999999</f>
        <v>0</v>
      </c>
      <c r="J111">
        <f>J73*9.273</f>
        <v>0</v>
      </c>
      <c r="K111">
        <f>K73*-6.955</f>
        <v>0</v>
      </c>
      <c r="L111">
        <f>L73*202.83599999999998</f>
        <v>0</v>
      </c>
      <c r="M111">
        <f>M73*-82.74600000000001</f>
        <v>0</v>
      </c>
      <c r="N111">
        <f>E111+F111+G111+H111+I111+J111+K111+L111</f>
        <v>0</v>
      </c>
    </row>
    <row r="112" spans="3:14">
      <c r="C112">
        <f>34.0</f>
        <v>0</v>
      </c>
      <c r="D112">
        <f>14.0</f>
        <v>0</v>
      </c>
      <c r="E112">
        <f>E73*14.255999999999998</f>
        <v>0</v>
      </c>
      <c r="F112">
        <f>F73*99.83200000000001</f>
        <v>0</v>
      </c>
      <c r="G112">
        <f>G73*15.069</f>
        <v>0</v>
      </c>
      <c r="H112">
        <f>H73*0.0</f>
        <v>0</v>
      </c>
      <c r="I112">
        <f>I73*2.16</f>
        <v>0</v>
      </c>
      <c r="J112">
        <f>J73*14.699000000000002</f>
        <v>0</v>
      </c>
      <c r="K112">
        <f>K73*-11.025</f>
        <v>0</v>
      </c>
      <c r="L112">
        <f>L73*223.457</f>
        <v>0</v>
      </c>
      <c r="M112">
        <f>M73*-68.669</f>
        <v>0</v>
      </c>
      <c r="N112">
        <f>E112+F112+G112+H112+I112+J112+K112+L112</f>
        <v>0</v>
      </c>
    </row>
    <row r="113" spans="3:14">
      <c r="C113">
        <f>35.0</f>
        <v>0</v>
      </c>
      <c r="D113">
        <f>15.0</f>
        <v>0</v>
      </c>
      <c r="E113">
        <f>E73*16.159000000000002</f>
        <v>0</v>
      </c>
      <c r="F113">
        <f>F73*129.97899999999998</f>
        <v>0</v>
      </c>
      <c r="G113">
        <f>G73*18.982</f>
        <v>0</v>
      </c>
      <c r="H113">
        <f>H73*0.0</f>
        <v>0</v>
      </c>
      <c r="I113">
        <f>I73*-3.287</f>
        <v>0</v>
      </c>
      <c r="J113">
        <f>J73*-28.991999999999997</f>
        <v>0</v>
      </c>
      <c r="K113">
        <f>K73*21.744</f>
        <v>0</v>
      </c>
      <c r="L113">
        <f>L73*262.374</f>
        <v>0</v>
      </c>
      <c r="M113">
        <f>M73*-60.483000000000004</f>
        <v>0</v>
      </c>
      <c r="N113">
        <f>E113+F113+G113+H113+I113+J113+K113+L113</f>
        <v>0</v>
      </c>
    </row>
    <row r="114" spans="3:14">
      <c r="C114">
        <f>35.91</f>
        <v>0</v>
      </c>
      <c r="D114">
        <f>15.91</f>
        <v>0</v>
      </c>
      <c r="E114">
        <f>E73*12.96</f>
        <v>0</v>
      </c>
      <c r="F114">
        <f>F73*148.92700000000002</f>
        <v>0</v>
      </c>
      <c r="G114">
        <f>G73*20.99</f>
        <v>0</v>
      </c>
      <c r="H114">
        <f>H73*0.0</f>
        <v>0</v>
      </c>
      <c r="I114">
        <f>I73*-3.53</f>
        <v>0</v>
      </c>
      <c r="J114">
        <f>J73*-30.283</f>
        <v>0</v>
      </c>
      <c r="K114">
        <f>K73*22.713</f>
        <v>0</v>
      </c>
      <c r="L114">
        <f>L73*274.47900000000004</f>
        <v>0</v>
      </c>
      <c r="M114">
        <f>M73*-56.155</f>
        <v>0</v>
      </c>
      <c r="N114">
        <f>E114+F114+G114+H114+I114+J114+K114+L114</f>
        <v>0</v>
      </c>
    </row>
    <row r="115" spans="3:14">
      <c r="C115">
        <f>36.82</f>
        <v>0</v>
      </c>
      <c r="D115">
        <f>16.82</f>
        <v>0</v>
      </c>
      <c r="E115">
        <f>E73*17.291</f>
        <v>0</v>
      </c>
      <c r="F115">
        <f>F73*163.281</f>
        <v>0</v>
      </c>
      <c r="G115">
        <f>G73*23.854</f>
        <v>0</v>
      </c>
      <c r="H115">
        <f>H73*0.0</f>
        <v>0</v>
      </c>
      <c r="I115">
        <f>I73*-4.493</f>
        <v>0</v>
      </c>
      <c r="J115">
        <f>J73*-16.646</f>
        <v>0</v>
      </c>
      <c r="K115">
        <f>K73*12.485</f>
        <v>0</v>
      </c>
      <c r="L115">
        <f>L73*296.281</f>
        <v>0</v>
      </c>
      <c r="M115">
        <f>M73*-47.36</f>
        <v>0</v>
      </c>
      <c r="N115">
        <f>E115+F115+G115+H115+I115+J115+K115+L115</f>
        <v>0</v>
      </c>
    </row>
    <row r="116" spans="3:14">
      <c r="C116">
        <f>37.73</f>
        <v>0</v>
      </c>
      <c r="D116">
        <f>17.73</f>
        <v>0</v>
      </c>
      <c r="E116">
        <f>E73*21.985</f>
        <v>0</v>
      </c>
      <c r="F116">
        <f>F73*183.043</f>
        <v>0</v>
      </c>
      <c r="G116">
        <f>G73*26.724</f>
        <v>0</v>
      </c>
      <c r="H116">
        <f>H73*0.0</f>
        <v>0</v>
      </c>
      <c r="I116">
        <f>I73*-6.273</f>
        <v>0</v>
      </c>
      <c r="J116">
        <f>J73*-13.482999999999999</f>
        <v>0</v>
      </c>
      <c r="K116">
        <f>K73*10.112</f>
        <v>0</v>
      </c>
      <c r="L116">
        <f>L73*319.036</f>
        <v>0</v>
      </c>
      <c r="M116">
        <f>M73*-34.714</f>
        <v>0</v>
      </c>
      <c r="N116">
        <f>E116+F116+G116+H116+I116+J116+K116+L116</f>
        <v>0</v>
      </c>
    </row>
    <row r="117" spans="3:14">
      <c r="C117">
        <f>38.64</f>
        <v>0</v>
      </c>
      <c r="D117">
        <f>18.64</f>
        <v>0</v>
      </c>
      <c r="E117">
        <f>E73*26.788</f>
        <v>0</v>
      </c>
      <c r="F117">
        <f>F73*201.68599999999998</f>
        <v>0</v>
      </c>
      <c r="G117">
        <f>G73*29.421</f>
        <v>0</v>
      </c>
      <c r="H117">
        <f>H73*0.0</f>
        <v>0</v>
      </c>
      <c r="I117">
        <f>I73*-9.805</f>
        <v>0</v>
      </c>
      <c r="J117">
        <f>J73*-19.016</f>
        <v>0</v>
      </c>
      <c r="K117">
        <f>K73*14.262</f>
        <v>0</v>
      </c>
      <c r="L117">
        <f>L73*342.014</f>
        <v>0</v>
      </c>
      <c r="M117">
        <f>M73*-27.06</f>
        <v>0</v>
      </c>
      <c r="N117">
        <f>E117+F117+G117+H117+I117+J117+K117+L117</f>
        <v>0</v>
      </c>
    </row>
    <row r="118" spans="3:14">
      <c r="C118">
        <f>39.55</f>
        <v>0</v>
      </c>
      <c r="D118">
        <f>19.55</f>
        <v>0</v>
      </c>
      <c r="E118">
        <f>E73*28.901</f>
        <v>0</v>
      </c>
      <c r="F118">
        <f>F73*217.93599999999998</f>
        <v>0</v>
      </c>
      <c r="G118">
        <f>G73*30.48</f>
        <v>0</v>
      </c>
      <c r="H118">
        <f>H73*0.0</f>
        <v>0</v>
      </c>
      <c r="I118">
        <f>I73*-12.8</f>
        <v>0</v>
      </c>
      <c r="J118">
        <f>J73*43.989</f>
        <v>0</v>
      </c>
      <c r="K118">
        <f>K73*-32.992</f>
        <v>0</v>
      </c>
      <c r="L118">
        <f>L73*351.402</f>
        <v>0</v>
      </c>
      <c r="M118">
        <f>M73*-149.61700000000002</f>
        <v>0</v>
      </c>
      <c r="N118">
        <f>E118+F118+G118+H118+I118+J118+K118+L118</f>
        <v>0</v>
      </c>
    </row>
    <row r="119" spans="3:14">
      <c r="C119">
        <f>40.0</f>
        <v>0</v>
      </c>
      <c r="D119">
        <f>20.0</f>
        <v>0</v>
      </c>
      <c r="E119">
        <f>E73*-2.248</f>
        <v>0</v>
      </c>
      <c r="F119">
        <f>F73*7.712000000000001</f>
        <v>0</v>
      </c>
      <c r="G119">
        <f>G73*0.486</f>
        <v>0</v>
      </c>
      <c r="H119">
        <f>H73*0.0</f>
        <v>0</v>
      </c>
      <c r="I119">
        <f>I73*9.229</f>
        <v>0</v>
      </c>
      <c r="J119">
        <f>J73*43.989</f>
        <v>0</v>
      </c>
      <c r="K119">
        <f>K73*-32.992</f>
        <v>0</v>
      </c>
      <c r="L119">
        <f>L73*46.191</f>
        <v>0</v>
      </c>
      <c r="M119">
        <f>M73*-149.61700000000002</f>
        <v>0</v>
      </c>
      <c r="N119">
        <f>E119+F119+G119+H119+I119+J119+K119+L119</f>
        <v>0</v>
      </c>
    </row>
    <row r="120" spans="3:14">
      <c r="C120">
        <f>40.0</f>
        <v>0</v>
      </c>
      <c r="D120">
        <f>0.0</f>
        <v>0</v>
      </c>
      <c r="E120">
        <f>E73*1.805</f>
        <v>0</v>
      </c>
      <c r="F120">
        <f>F73*-6.877000000000001</f>
        <v>0</v>
      </c>
      <c r="G120">
        <f>G73*-0.336</f>
        <v>0</v>
      </c>
      <c r="H120">
        <f>H73*0.0</f>
        <v>0</v>
      </c>
      <c r="I120">
        <f>I73*45.233000000000004</f>
        <v>0</v>
      </c>
      <c r="J120">
        <f>J73*-48.141999999999996</f>
        <v>0</v>
      </c>
      <c r="K120">
        <f>K73*36.106</f>
        <v>0</v>
      </c>
      <c r="L120">
        <f>L73*9.857999999999999</f>
        <v>0</v>
      </c>
      <c r="M120">
        <f>M73*-19.631</f>
        <v>0</v>
      </c>
      <c r="N120">
        <f>E120+F120+G120+H120+I120+J120+K120+L120</f>
        <v>0</v>
      </c>
    </row>
    <row r="121" spans="3:14">
      <c r="C121">
        <f>40.45</f>
        <v>0</v>
      </c>
      <c r="D121">
        <f>0.45</f>
        <v>0</v>
      </c>
      <c r="E121">
        <f>E73*-18.313</f>
        <v>0</v>
      </c>
      <c r="F121">
        <f>F73*-90.12</f>
        <v>0</v>
      </c>
      <c r="G121">
        <f>G73*-12.15</f>
        <v>0</v>
      </c>
      <c r="H121">
        <f>H73*0.0</f>
        <v>0</v>
      </c>
      <c r="I121">
        <f>I73*-348.327</f>
        <v>0</v>
      </c>
      <c r="J121">
        <f>J73*-48.141999999999996</f>
        <v>0</v>
      </c>
      <c r="K121">
        <f>K73*36.106</f>
        <v>0</v>
      </c>
      <c r="L121">
        <f>L73*19.714000000000002</f>
        <v>0</v>
      </c>
      <c r="M121">
        <f>M73*-223.554</f>
        <v>0</v>
      </c>
      <c r="N121">
        <f>E121+F121+G121+H121+I121+J121+K121+L121</f>
        <v>0</v>
      </c>
    </row>
    <row r="122" spans="3:14">
      <c r="C122">
        <f>41.36</f>
        <v>0</v>
      </c>
      <c r="D122">
        <f>1.36</f>
        <v>0</v>
      </c>
      <c r="E122">
        <f>E73*-16.176</f>
        <v>0</v>
      </c>
      <c r="F122">
        <f>F73*-75.80199999999999</f>
        <v>0</v>
      </c>
      <c r="G122">
        <f>G73*-11.164000000000001</f>
        <v>0</v>
      </c>
      <c r="H122">
        <f>H73*0.0</f>
        <v>0</v>
      </c>
      <c r="I122">
        <f>I73*-306.087</f>
        <v>0</v>
      </c>
      <c r="J122">
        <f>J73*34.619</f>
        <v>0</v>
      </c>
      <c r="K122">
        <f>K73*-25.964000000000002</f>
        <v>0</v>
      </c>
      <c r="L122">
        <f>L73*29.752</f>
        <v>0</v>
      </c>
      <c r="M122">
        <f>M73*-209.632</f>
        <v>0</v>
      </c>
      <c r="N122">
        <f>E122+F122+G122+H122+I122+J122+K122+L122</f>
        <v>0</v>
      </c>
    </row>
    <row r="123" spans="3:14">
      <c r="C123">
        <f>42.27</f>
        <v>0</v>
      </c>
      <c r="D123">
        <f>2.27</f>
        <v>0</v>
      </c>
      <c r="E123">
        <f>E73*-11.592</f>
        <v>0</v>
      </c>
      <c r="F123">
        <f>F73*-61.391999999999996</f>
        <v>0</v>
      </c>
      <c r="G123">
        <f>G73*-8.871</f>
        <v>0</v>
      </c>
      <c r="H123">
        <f>H73*0.0</f>
        <v>0</v>
      </c>
      <c r="I123">
        <f>I73*-227.783</f>
        <v>0</v>
      </c>
      <c r="J123">
        <f>J73*48.863</f>
        <v>0</v>
      </c>
      <c r="K123">
        <f>K73*-36.647</f>
        <v>0</v>
      </c>
      <c r="L123">
        <f>L73*39.885</f>
        <v>0</v>
      </c>
      <c r="M123">
        <f>M73*-182.092</f>
        <v>0</v>
      </c>
      <c r="N123">
        <f>E123+F123+G123+H123+I123+J123+K123+L123</f>
        <v>0</v>
      </c>
    </row>
    <row r="124" spans="3:14">
      <c r="C124">
        <f>43.18</f>
        <v>0</v>
      </c>
      <c r="D124">
        <f>3.18</f>
        <v>0</v>
      </c>
      <c r="E124">
        <f>E73*-7.447</f>
        <v>0</v>
      </c>
      <c r="F124">
        <f>F73*-43.516999999999996</f>
        <v>0</v>
      </c>
      <c r="G124">
        <f>G73*-6.653</f>
        <v>0</v>
      </c>
      <c r="H124">
        <f>H73*0.0</f>
        <v>0</v>
      </c>
      <c r="I124">
        <f>I73*-159.947</f>
        <v>0</v>
      </c>
      <c r="J124">
        <f>J73*50.147</f>
        <v>0</v>
      </c>
      <c r="K124">
        <f>K73*-37.61</f>
        <v>0</v>
      </c>
      <c r="L124">
        <f>L73*57.795</f>
        <v>0</v>
      </c>
      <c r="M124">
        <f>M73*-163.115</f>
        <v>0</v>
      </c>
      <c r="N124">
        <f>E124+F124+G124+H124+I124+J124+K124+L124</f>
        <v>0</v>
      </c>
    </row>
    <row r="125" spans="3:14">
      <c r="C125">
        <f>44.09</f>
        <v>0</v>
      </c>
      <c r="D125">
        <f>4.09</f>
        <v>0</v>
      </c>
      <c r="E125">
        <f>E73*-3.1919999999999997</f>
        <v>0</v>
      </c>
      <c r="F125">
        <f>F73*-25.116</f>
        <v>0</v>
      </c>
      <c r="G125">
        <f>G73*-3.99</f>
        <v>0</v>
      </c>
      <c r="H125">
        <f>H73*0.0</f>
        <v>0</v>
      </c>
      <c r="I125">
        <f>I73*-87.70299999999999</f>
        <v>0</v>
      </c>
      <c r="J125">
        <f>J73*50.838</f>
        <v>0</v>
      </c>
      <c r="K125">
        <f>K73*-38.128</f>
        <v>0</v>
      </c>
      <c r="L125">
        <f>L73*76.373</f>
        <v>0</v>
      </c>
      <c r="M125">
        <f>M73*-138.878</f>
        <v>0</v>
      </c>
      <c r="N125">
        <f>E125+F125+G125+H125+I125+J125+K125+L125</f>
        <v>0</v>
      </c>
    </row>
    <row r="126" spans="3:14">
      <c r="C126">
        <f>45.0</f>
        <v>0</v>
      </c>
      <c r="D126">
        <f>5.0</f>
        <v>0</v>
      </c>
      <c r="E126">
        <f>E73*-2.9939999999999998</f>
        <v>0</v>
      </c>
      <c r="F126">
        <f>F73*-6.192</f>
        <v>0</v>
      </c>
      <c r="G126">
        <f>G73*-1.222</f>
        <v>0</v>
      </c>
      <c r="H126">
        <f>H73*0.0</f>
        <v>0</v>
      </c>
      <c r="I126">
        <f>I73*-27.005</f>
        <v>0</v>
      </c>
      <c r="J126">
        <f>J73*48.532</f>
        <v>0</v>
      </c>
      <c r="K126">
        <f>K73*-36.399</f>
        <v>0</v>
      </c>
      <c r="L126">
        <f>L73*102.49700000000001</f>
        <v>0</v>
      </c>
      <c r="M126">
        <f>M73*-114.05</f>
        <v>0</v>
      </c>
      <c r="N126">
        <f>E126+F126+G126+H126+I126+J126+K126+L126</f>
        <v>0</v>
      </c>
    </row>
    <row r="127" spans="3:14">
      <c r="C127">
        <f>46.0</f>
        <v>0</v>
      </c>
      <c r="D127">
        <f>6.0</f>
        <v>0</v>
      </c>
      <c r="E127">
        <f>E73*1.4340000000000002</f>
        <v>0</v>
      </c>
      <c r="F127">
        <f>F73*20.529</f>
        <v>0</v>
      </c>
      <c r="G127">
        <f>G73*3.466</f>
        <v>0</v>
      </c>
      <c r="H127">
        <f>H73*0.0</f>
        <v>0</v>
      </c>
      <c r="I127">
        <f>I73*52.722</f>
        <v>0</v>
      </c>
      <c r="J127">
        <f>J73*-38.605</f>
        <v>0</v>
      </c>
      <c r="K127">
        <f>K73*28.954</f>
        <v>0</v>
      </c>
      <c r="L127">
        <f>L73*130.39600000000002</f>
        <v>0</v>
      </c>
      <c r="M127">
        <f>M73*-82.462</f>
        <v>0</v>
      </c>
      <c r="N127">
        <f>E127+F127+G127+H127+I127+J127+K127+L127</f>
        <v>0</v>
      </c>
    </row>
    <row r="128" spans="3:14">
      <c r="C128">
        <f>47.0</f>
        <v>0</v>
      </c>
      <c r="D128">
        <f>7.0</f>
        <v>0</v>
      </c>
      <c r="E128">
        <f>E73*6.278</f>
        <v>0</v>
      </c>
      <c r="F128">
        <f>F73*41.771</f>
        <v>0</v>
      </c>
      <c r="G128">
        <f>G73*6.545</f>
        <v>0</v>
      </c>
      <c r="H128">
        <f>H73*0.0</f>
        <v>0</v>
      </c>
      <c r="I128">
        <f>I73*132.361</f>
        <v>0</v>
      </c>
      <c r="J128">
        <f>J73*-37.838</f>
        <v>0</v>
      </c>
      <c r="K128">
        <f>K73*28.379</f>
        <v>0</v>
      </c>
      <c r="L128">
        <f>L73*158.19899999999998</f>
        <v>0</v>
      </c>
      <c r="M128">
        <f>M73*-60.86</f>
        <v>0</v>
      </c>
      <c r="N128">
        <f>E128+F128+G128+H128+I128+J128+K128+L128</f>
        <v>0</v>
      </c>
    </row>
    <row r="129" spans="3:14">
      <c r="C129">
        <f>48.0</f>
        <v>0</v>
      </c>
      <c r="D129">
        <f>8.0</f>
        <v>0</v>
      </c>
      <c r="E129">
        <f>E73*10.854000000000001</f>
        <v>0</v>
      </c>
      <c r="F129">
        <f>F73*62.426</f>
        <v>0</v>
      </c>
      <c r="G129">
        <f>G73*9.08</f>
        <v>0</v>
      </c>
      <c r="H129">
        <f>H73*0.0</f>
        <v>0</v>
      </c>
      <c r="I129">
        <f>I73*203.41400000000002</f>
        <v>0</v>
      </c>
      <c r="J129">
        <f>J73*-37.626999999999995</f>
        <v>0</v>
      </c>
      <c r="K129">
        <f>K73*28.221</f>
        <v>0</v>
      </c>
      <c r="L129">
        <f>L73*178.91099999999997</f>
        <v>0</v>
      </c>
      <c r="M129">
        <f>M73*-38.714</f>
        <v>0</v>
      </c>
      <c r="N129">
        <f>E129+F129+G129+H129+I129+J129+K129+L129</f>
        <v>0</v>
      </c>
    </row>
    <row r="130" spans="3:14">
      <c r="C130">
        <f>49.0</f>
        <v>0</v>
      </c>
      <c r="D130">
        <f>9.0</f>
        <v>0</v>
      </c>
      <c r="E130">
        <f>E73*16.648</f>
        <v>0</v>
      </c>
      <c r="F130">
        <f>F73*81.658</f>
        <v>0</v>
      </c>
      <c r="G130">
        <f>G73*12.261</f>
        <v>0</v>
      </c>
      <c r="H130">
        <f>H73*0.0</f>
        <v>0</v>
      </c>
      <c r="I130">
        <f>I73*296.112</f>
        <v>0</v>
      </c>
      <c r="J130">
        <f>J73*-24.656</f>
        <v>0</v>
      </c>
      <c r="K130">
        <f>K73*18.492</f>
        <v>0</v>
      </c>
      <c r="L130">
        <f>L73*213.94099999999997</f>
        <v>0</v>
      </c>
      <c r="M130">
        <f>M73*-23.776999999999997</f>
        <v>0</v>
      </c>
      <c r="N130">
        <f>E130+F130+G130+H130+I130+J130+K130+L130</f>
        <v>0</v>
      </c>
    </row>
    <row r="131" spans="3:14">
      <c r="C131">
        <f>50.0</f>
        <v>0</v>
      </c>
      <c r="D131">
        <f>10.0</f>
        <v>0</v>
      </c>
      <c r="E131">
        <f>E73*19.255</f>
        <v>0</v>
      </c>
      <c r="F131">
        <f>F73*101.98299999999999</f>
        <v>0</v>
      </c>
      <c r="G131">
        <f>G73*13.739</f>
        <v>0</v>
      </c>
      <c r="H131">
        <f>H73*0.0</f>
        <v>0</v>
      </c>
      <c r="I131">
        <f>I73*340.971</f>
        <v>0</v>
      </c>
      <c r="J131">
        <f>J73*-32.963</f>
        <v>0</v>
      </c>
      <c r="K131">
        <f>K73*24.723000000000003</f>
        <v>0</v>
      </c>
      <c r="L131">
        <f>L73*232.047</f>
        <v>0</v>
      </c>
      <c r="M131">
        <f>M73*-9.689</f>
        <v>0</v>
      </c>
      <c r="N131">
        <f>E131+F131+G131+H131+I131+J131+K131+L131</f>
        <v>0</v>
      </c>
    </row>
    <row r="138" spans="3:14">
      <c r="C138" t="s">
        <v>0</v>
      </c>
      <c r="D138" t="s">
        <v>1</v>
      </c>
      <c r="E138" t="s">
        <v>2</v>
      </c>
      <c r="F138" t="s">
        <v>3</v>
      </c>
      <c r="G138" t="s">
        <v>4</v>
      </c>
      <c r="H138" t="s">
        <v>5</v>
      </c>
      <c r="I138" t="s">
        <v>6</v>
      </c>
      <c r="J138" t="s">
        <v>7</v>
      </c>
      <c r="K138" t="s">
        <v>8</v>
      </c>
      <c r="L138" t="s">
        <v>9</v>
      </c>
      <c r="M138" t="s">
        <v>10</v>
      </c>
      <c r="N138" t="s">
        <v>11</v>
      </c>
    </row>
    <row r="139" spans="3:14">
      <c r="C139">
        <f>0.0</f>
        <v>0</v>
      </c>
      <c r="D139">
        <f>0.0</f>
        <v>0</v>
      </c>
      <c r="E139">
        <f>E137*0.6916</f>
        <v>0</v>
      </c>
      <c r="F139">
        <f>F137*-5.3606</f>
        <v>0</v>
      </c>
      <c r="G139">
        <f>G137*-0.8221</f>
        <v>0</v>
      </c>
      <c r="H139">
        <f>H137*0.0</f>
        <v>0</v>
      </c>
      <c r="I139">
        <f>I137*-0.0012</f>
        <v>0</v>
      </c>
      <c r="J139">
        <f>J137*130.4036</f>
        <v>0</v>
      </c>
      <c r="K139">
        <f>K137*-97.8027</f>
        <v>0</v>
      </c>
      <c r="L139">
        <f>L137*5.3647</f>
        <v>0</v>
      </c>
      <c r="M139">
        <f>M137*-14.0446</f>
        <v>0</v>
      </c>
      <c r="N139">
        <f>E139+F139+G139+H139+I139+J139+K139+L139</f>
        <v>0</v>
      </c>
    </row>
    <row r="140" spans="3:14">
      <c r="C140">
        <f>1.0</f>
        <v>0</v>
      </c>
      <c r="D140">
        <f>1.0</f>
        <v>0</v>
      </c>
      <c r="E140">
        <f>E137*6.5809</f>
        <v>0</v>
      </c>
      <c r="F140">
        <f>F137*67.2131</f>
        <v>0</v>
      </c>
      <c r="G140">
        <f>G137*9.5141</f>
        <v>0</v>
      </c>
      <c r="H140">
        <f>H137*0.0</f>
        <v>0</v>
      </c>
      <c r="I140">
        <f>I137*0.0114</f>
        <v>0</v>
      </c>
      <c r="J140">
        <f>J137*-303.8829</f>
        <v>0</v>
      </c>
      <c r="K140">
        <f>K137*227.9122</f>
        <v>0</v>
      </c>
      <c r="L140">
        <f>L137*106.5263</f>
        <v>0</v>
      </c>
      <c r="M140">
        <f>M137*-16.6347</f>
        <v>0</v>
      </c>
      <c r="N140">
        <f>E140+F140+G140+H140+I140+J140+K140+L140</f>
        <v>0</v>
      </c>
    </row>
    <row r="141" spans="3:14">
      <c r="C141">
        <f>2.0</f>
        <v>0</v>
      </c>
      <c r="D141">
        <f>2.0</f>
        <v>0</v>
      </c>
      <c r="E141">
        <f>E137*14.4964</f>
        <v>0</v>
      </c>
      <c r="F141">
        <f>F137*145.1342</f>
        <v>0</v>
      </c>
      <c r="G141">
        <f>G137*20.7187</f>
        <v>0</v>
      </c>
      <c r="H141">
        <f>H137*0.0</f>
        <v>0</v>
      </c>
      <c r="I141">
        <f>I137*0.0092</f>
        <v>0</v>
      </c>
      <c r="J141">
        <f>J137*-222.0013</f>
        <v>0</v>
      </c>
      <c r="K141">
        <f>K137*166.5009</f>
        <v>0</v>
      </c>
      <c r="L141">
        <f>L137*207.7497</f>
        <v>0</v>
      </c>
      <c r="M141">
        <f>M137*-7.3457</f>
        <v>0</v>
      </c>
      <c r="N141">
        <f>E141+F141+G141+H141+I141+J141+K141+L141</f>
        <v>0</v>
      </c>
    </row>
    <row r="142" spans="3:14">
      <c r="C142">
        <f>3.0</f>
        <v>0</v>
      </c>
      <c r="D142">
        <f>3.0</f>
        <v>0</v>
      </c>
      <c r="E142">
        <f>E137*21.9076</f>
        <v>0</v>
      </c>
      <c r="F142">
        <f>F137*212.9764</f>
        <v>0</v>
      </c>
      <c r="G142">
        <f>G137*30.4035</f>
        <v>0</v>
      </c>
      <c r="H142">
        <f>H137*0.0</f>
        <v>0</v>
      </c>
      <c r="I142">
        <f>I137*0.0088</f>
        <v>0</v>
      </c>
      <c r="J142">
        <f>J137*-132.6174</f>
        <v>0</v>
      </c>
      <c r="K142">
        <f>K137*99.4631</f>
        <v>0</v>
      </c>
      <c r="L142">
        <f>L137*300.1306</f>
        <v>0</v>
      </c>
      <c r="M142">
        <f>M137*-4.8328</f>
        <v>0</v>
      </c>
      <c r="N142">
        <f>E142+F142+G142+H142+I142+J142+K142+L142</f>
        <v>0</v>
      </c>
    </row>
    <row r="143" spans="3:14">
      <c r="C143">
        <f>4.0</f>
        <v>0</v>
      </c>
      <c r="D143">
        <f>4.0</f>
        <v>0</v>
      </c>
      <c r="E143">
        <f>E137*29.1529</f>
        <v>0</v>
      </c>
      <c r="F143">
        <f>F137*269.7458</f>
        <v>0</v>
      </c>
      <c r="G143">
        <f>G137*38.4024</f>
        <v>0</v>
      </c>
      <c r="H143">
        <f>H137*0.0</f>
        <v>0</v>
      </c>
      <c r="I143">
        <f>I137*0.0089</f>
        <v>0</v>
      </c>
      <c r="J143">
        <f>J137*-63.0615</f>
        <v>0</v>
      </c>
      <c r="K143">
        <f>K137*47.2961</f>
        <v>0</v>
      </c>
      <c r="L143">
        <f>L137*375.4699</f>
        <v>0</v>
      </c>
      <c r="M143">
        <f>M137*-5.9784</f>
        <v>0</v>
      </c>
      <c r="N143">
        <f>E143+F143+G143+H143+I143+J143+K143+L143</f>
        <v>0</v>
      </c>
    </row>
    <row r="144" spans="3:14">
      <c r="C144">
        <f>5.0</f>
        <v>0</v>
      </c>
      <c r="D144">
        <f>5.0</f>
        <v>0</v>
      </c>
      <c r="E144">
        <f>E137*42.3214</f>
        <v>0</v>
      </c>
      <c r="F144">
        <f>F137*311.2963</f>
        <v>0</v>
      </c>
      <c r="G144">
        <f>G137*43.7876</f>
        <v>0</v>
      </c>
      <c r="H144">
        <f>H137*0.0</f>
        <v>0</v>
      </c>
      <c r="I144">
        <f>I137*0.0056</f>
        <v>0</v>
      </c>
      <c r="J144">
        <f>J137*143.1726</f>
        <v>0</v>
      </c>
      <c r="K144">
        <f>K137*-107.3795</f>
        <v>0</v>
      </c>
      <c r="L144">
        <f>L137*417.7425</f>
        <v>0</v>
      </c>
      <c r="M144">
        <f>M137*-7.2587</f>
        <v>0</v>
      </c>
      <c r="N144">
        <f>E144+F144+G144+H144+I144+J144+K144+L144</f>
        <v>0</v>
      </c>
    </row>
    <row r="145" spans="3:14">
      <c r="C145">
        <f>6.0</f>
        <v>0</v>
      </c>
      <c r="D145">
        <f>6.0</f>
        <v>0</v>
      </c>
      <c r="E145">
        <f>E137*34.4204</f>
        <v>0</v>
      </c>
      <c r="F145">
        <f>F137*356.1698</f>
        <v>0</v>
      </c>
      <c r="G145">
        <f>G137*50.9311</f>
        <v>0</v>
      </c>
      <c r="H145">
        <f>H137*0.0</f>
        <v>0</v>
      </c>
      <c r="I145">
        <f>I137*0.012</f>
        <v>0</v>
      </c>
      <c r="J145">
        <f>J137*-64.9643</f>
        <v>0</v>
      </c>
      <c r="K145">
        <f>K137*48.7232</f>
        <v>0</v>
      </c>
      <c r="L145">
        <f>L137*498.75</f>
        <v>0</v>
      </c>
      <c r="M145">
        <f>M137*-9.0372</f>
        <v>0</v>
      </c>
      <c r="N145">
        <f>E145+F145+G145+H145+I145+J145+K145+L145</f>
        <v>0</v>
      </c>
    </row>
    <row r="146" spans="3:14">
      <c r="C146">
        <f>7.0</f>
        <v>0</v>
      </c>
      <c r="D146">
        <f>7.0</f>
        <v>0</v>
      </c>
      <c r="E146">
        <f>E137*35.4887</f>
        <v>0</v>
      </c>
      <c r="F146">
        <f>F137*383.7347</f>
        <v>0</v>
      </c>
      <c r="G146">
        <f>G137*54.9957</f>
        <v>0</v>
      </c>
      <c r="H146">
        <f>H137*0.0</f>
        <v>0</v>
      </c>
      <c r="I146">
        <f>I137*0.0112</f>
        <v>0</v>
      </c>
      <c r="J146">
        <f>J137*-73.0789</f>
        <v>0</v>
      </c>
      <c r="K146">
        <f>K137*54.8092</f>
        <v>0</v>
      </c>
      <c r="L146">
        <f>L137*535.7208</f>
        <v>0</v>
      </c>
      <c r="M146">
        <f>M137*-10.2436</f>
        <v>0</v>
      </c>
      <c r="N146">
        <f>E146+F146+G146+H146+I146+J146+K146+L146</f>
        <v>0</v>
      </c>
    </row>
    <row r="147" spans="3:14">
      <c r="C147">
        <f>8.0</f>
        <v>0</v>
      </c>
      <c r="D147">
        <f>8.0</f>
        <v>0</v>
      </c>
      <c r="E147">
        <f>E137*38.023</f>
        <v>0</v>
      </c>
      <c r="F147">
        <f>F137*401.3718</f>
        <v>0</v>
      </c>
      <c r="G147">
        <f>G137*57.458999999999996</f>
        <v>0</v>
      </c>
      <c r="H147">
        <f>H137*0.0</f>
        <v>0</v>
      </c>
      <c r="I147">
        <f>I137*0.0122</f>
        <v>0</v>
      </c>
      <c r="J147">
        <f>J137*-56.0315</f>
        <v>0</v>
      </c>
      <c r="K147">
        <f>K137*42.0236</f>
        <v>0</v>
      </c>
      <c r="L147">
        <f>L137*557.5432</f>
        <v>0</v>
      </c>
      <c r="M147">
        <f>M137*-11.4694</f>
        <v>0</v>
      </c>
      <c r="N147">
        <f>E147+F147+G147+H147+I147+J147+K147+L147</f>
        <v>0</v>
      </c>
    </row>
    <row r="148" spans="3:14">
      <c r="C148">
        <f>9.0</f>
        <v>0</v>
      </c>
      <c r="D148">
        <f>9.0</f>
        <v>0</v>
      </c>
      <c r="E148">
        <f>E137*41.2967</f>
        <v>0</v>
      </c>
      <c r="F148">
        <f>F137*412.2279</f>
        <v>0</v>
      </c>
      <c r="G148">
        <f>G137*59.0695</f>
        <v>0</v>
      </c>
      <c r="H148">
        <f>H137*0.0</f>
        <v>0</v>
      </c>
      <c r="I148">
        <f>I137*0.0131</f>
        <v>0</v>
      </c>
      <c r="J148">
        <f>J137*-41.2043</f>
        <v>0</v>
      </c>
      <c r="K148">
        <f>K137*30.9032</f>
        <v>0</v>
      </c>
      <c r="L148">
        <f>L137*565.2768</f>
        <v>0</v>
      </c>
      <c r="M148">
        <f>M137*-12.6053</f>
        <v>0</v>
      </c>
      <c r="N148">
        <f>E148+F148+G148+H148+I148+J148+K148+L148</f>
        <v>0</v>
      </c>
    </row>
    <row r="149" spans="3:14">
      <c r="C149">
        <f>10.0</f>
        <v>0</v>
      </c>
      <c r="D149">
        <f>10.0</f>
        <v>0</v>
      </c>
      <c r="E149">
        <f>E137*53.3058</f>
        <v>0</v>
      </c>
      <c r="F149">
        <f>F137*407.6123</f>
        <v>0</v>
      </c>
      <c r="G149">
        <f>G137*57.3847</f>
        <v>0</v>
      </c>
      <c r="H149">
        <f>H137*0.0</f>
        <v>0</v>
      </c>
      <c r="I149">
        <f>I137*0.009000000000000001</f>
        <v>0</v>
      </c>
      <c r="J149">
        <f>J137*110.3122</f>
        <v>0</v>
      </c>
      <c r="K149">
        <f>K137*-82.7341</f>
        <v>0</v>
      </c>
      <c r="L149">
        <f>L137*538.4162</f>
        <v>0</v>
      </c>
      <c r="M149">
        <f>M137*-13.2812</f>
        <v>0</v>
      </c>
      <c r="N149">
        <f>E149+F149+G149+H149+I149+J149+K149+L149</f>
        <v>0</v>
      </c>
    </row>
    <row r="150" spans="3:14">
      <c r="C150">
        <f>11.0</f>
        <v>0</v>
      </c>
      <c r="D150">
        <f>11.0</f>
        <v>0</v>
      </c>
      <c r="E150">
        <f>E137*40.4673</f>
        <v>0</v>
      </c>
      <c r="F150">
        <f>F137*409.2209</f>
        <v>0</v>
      </c>
      <c r="G150">
        <f>G137*58.4281</f>
        <v>0</v>
      </c>
      <c r="H150">
        <f>H137*0.0</f>
        <v>0</v>
      </c>
      <c r="I150">
        <f>I137*0.0156</f>
        <v>0</v>
      </c>
      <c r="J150">
        <f>J137*-45.3371</f>
        <v>0</v>
      </c>
      <c r="K150">
        <f>K137*34.0028</f>
        <v>0</v>
      </c>
      <c r="L150">
        <f>L137*564.7998</f>
        <v>0</v>
      </c>
      <c r="M150">
        <f>M137*-15.6172</f>
        <v>0</v>
      </c>
      <c r="N150">
        <f>E150+F150+G150+H150+I150+J150+K150+L150</f>
        <v>0</v>
      </c>
    </row>
    <row r="151" spans="3:14">
      <c r="C151">
        <f>12.0</f>
        <v>0</v>
      </c>
      <c r="D151">
        <f>12.0</f>
        <v>0</v>
      </c>
      <c r="E151">
        <f>E137*36.3881</f>
        <v>0</v>
      </c>
      <c r="F151">
        <f>F137*396.2279</f>
        <v>0</v>
      </c>
      <c r="G151">
        <f>G137*56.7775</f>
        <v>0</v>
      </c>
      <c r="H151">
        <f>H137*0.0</f>
        <v>0</v>
      </c>
      <c r="I151">
        <f>I137*0.0136</f>
        <v>0</v>
      </c>
      <c r="J151">
        <f>J137*-59.3667</f>
        <v>0</v>
      </c>
      <c r="K151">
        <f>K137*44.525</f>
        <v>0</v>
      </c>
      <c r="L151">
        <f>L137*543.3384</f>
        <v>0</v>
      </c>
      <c r="M151">
        <f>M137*-16.9382</f>
        <v>0</v>
      </c>
      <c r="N151">
        <f>E151+F151+G151+H151+I151+J151+K151+L151</f>
        <v>0</v>
      </c>
    </row>
    <row r="152" spans="3:14">
      <c r="C152">
        <f>13.0</f>
        <v>0</v>
      </c>
      <c r="D152">
        <f>13.0</f>
        <v>0</v>
      </c>
      <c r="E152">
        <f>E137*32.9304</f>
        <v>0</v>
      </c>
      <c r="F152">
        <f>F137*373.5192</f>
        <v>0</v>
      </c>
      <c r="G152">
        <f>G137*53.6257</f>
        <v>0</v>
      </c>
      <c r="H152">
        <f>H137*0.0</f>
        <v>0</v>
      </c>
      <c r="I152">
        <f>I137*0.0137</f>
        <v>0</v>
      </c>
      <c r="J152">
        <f>J137*-56.1571</f>
        <v>0</v>
      </c>
      <c r="K152">
        <f>K137*42.1178</f>
        <v>0</v>
      </c>
      <c r="L152">
        <f>L137*515.1966</f>
        <v>0</v>
      </c>
      <c r="M152">
        <f>M137*-17.7279</f>
        <v>0</v>
      </c>
      <c r="N152">
        <f>E152+F152+G152+H152+I152+J152+K152+L152</f>
        <v>0</v>
      </c>
    </row>
    <row r="153" spans="3:14">
      <c r="C153">
        <f>14.0</f>
        <v>0</v>
      </c>
      <c r="D153">
        <f>14.0</f>
        <v>0</v>
      </c>
      <c r="E153">
        <f>E137*31.6331</f>
        <v>0</v>
      </c>
      <c r="F153">
        <f>F137*341.3066</f>
        <v>0</v>
      </c>
      <c r="G153">
        <f>G137*48.9238</f>
        <v>0</v>
      </c>
      <c r="H153">
        <f>H137*0.0</f>
        <v>0</v>
      </c>
      <c r="I153">
        <f>I137*0.0124</f>
        <v>0</v>
      </c>
      <c r="J153">
        <f>J137*-45.2639</f>
        <v>0</v>
      </c>
      <c r="K153">
        <f>K137*33.9479</f>
        <v>0</v>
      </c>
      <c r="L153">
        <f>L137*473.3164</f>
        <v>0</v>
      </c>
      <c r="M153">
        <f>M137*-18.9557</f>
        <v>0</v>
      </c>
      <c r="N153">
        <f>E153+F153+G153+H153+I153+J153+K153+L153</f>
        <v>0</v>
      </c>
    </row>
    <row r="154" spans="3:14">
      <c r="C154">
        <f>15.0</f>
        <v>0</v>
      </c>
      <c r="D154">
        <f>15.0</f>
        <v>0</v>
      </c>
      <c r="E154">
        <f>E137*41.021</f>
        <v>0</v>
      </c>
      <c r="F154">
        <f>F137*301.753</f>
        <v>0</v>
      </c>
      <c r="G154">
        <f>G137*42.342</f>
        <v>0</v>
      </c>
      <c r="H154">
        <f>H137*0.0</f>
        <v>0</v>
      </c>
      <c r="I154">
        <f>I137*-0.002</f>
        <v>0</v>
      </c>
      <c r="J154">
        <f>J137*121.0105</f>
        <v>0</v>
      </c>
      <c r="K154">
        <f>K137*-90.7579</f>
        <v>0</v>
      </c>
      <c r="L154">
        <f>L137*389.6044</f>
        <v>0</v>
      </c>
      <c r="M154">
        <f>M137*-16.9269</f>
        <v>0</v>
      </c>
      <c r="N154">
        <f>E154+F154+G154+H154+I154+J154+K154+L154</f>
        <v>0</v>
      </c>
    </row>
    <row r="155" spans="3:14">
      <c r="C155">
        <f>15.91</f>
        <v>0</v>
      </c>
      <c r="D155">
        <f>15.91</f>
        <v>0</v>
      </c>
      <c r="E155">
        <f>E137*25.2689</f>
        <v>0</v>
      </c>
      <c r="F155">
        <f>F137*250.579</f>
        <v>0</v>
      </c>
      <c r="G155">
        <f>G137*35.8008</f>
        <v>0</v>
      </c>
      <c r="H155">
        <f>H137*0.0</f>
        <v>0</v>
      </c>
      <c r="I155">
        <f>I137*0.0162</f>
        <v>0</v>
      </c>
      <c r="J155">
        <f>J137*-54.2483</f>
        <v>0</v>
      </c>
      <c r="K155">
        <f>K137*40.6862</f>
        <v>0</v>
      </c>
      <c r="L155">
        <f>L137*344.4415</f>
        <v>0</v>
      </c>
      <c r="M155">
        <f>M137*-20.9998</f>
        <v>0</v>
      </c>
      <c r="N155">
        <f>E155+F155+G155+H155+I155+J155+K155+L155</f>
        <v>0</v>
      </c>
    </row>
    <row r="156" spans="3:14">
      <c r="C156">
        <f>16.82</f>
        <v>0</v>
      </c>
      <c r="D156">
        <f>16.82</f>
        <v>0</v>
      </c>
      <c r="E156">
        <f>E137*16.9724</f>
        <v>0</v>
      </c>
      <c r="F156">
        <f>F137*192.364</f>
        <v>0</v>
      </c>
      <c r="G156">
        <f>G137*27.7213</f>
        <v>0</v>
      </c>
      <c r="H156">
        <f>H137*0.0</f>
        <v>0</v>
      </c>
      <c r="I156">
        <f>I137*0.018000000000000002</f>
        <v>0</v>
      </c>
      <c r="J156">
        <f>J137*-86.1455</f>
        <v>0</v>
      </c>
      <c r="K156">
        <f>K137*64.6091</f>
        <v>0</v>
      </c>
      <c r="L156">
        <f>L137*271.8615</f>
        <v>0</v>
      </c>
      <c r="M156">
        <f>M137*-22.8483</f>
        <v>0</v>
      </c>
      <c r="N156">
        <f>E156+F156+G156+H156+I156+J156+K156+L156</f>
        <v>0</v>
      </c>
    </row>
    <row r="157" spans="3:14">
      <c r="C157">
        <f>17.73</f>
        <v>0</v>
      </c>
      <c r="D157">
        <f>17.73</f>
        <v>0</v>
      </c>
      <c r="E157">
        <f>E137*9.3077</f>
        <v>0</v>
      </c>
      <c r="F157">
        <f>F137*125.7575</f>
        <v>0</v>
      </c>
      <c r="G157">
        <f>G137*18.34</f>
        <v>0</v>
      </c>
      <c r="H157">
        <f>H137*0.0</f>
        <v>0</v>
      </c>
      <c r="I157">
        <f>I137*0.021</f>
        <v>0</v>
      </c>
      <c r="J157">
        <f>J137*-123.77600000000001</f>
        <v>0</v>
      </c>
      <c r="K157">
        <f>K137*92.83200000000001</f>
        <v>0</v>
      </c>
      <c r="L157">
        <f>L137*185.3496</f>
        <v>0</v>
      </c>
      <c r="M157">
        <f>M137*-23.5828</f>
        <v>0</v>
      </c>
      <c r="N157">
        <f>E157+F157+G157+H157+I157+J157+K157+L157</f>
        <v>0</v>
      </c>
    </row>
    <row r="158" spans="3:14">
      <c r="C158">
        <f>18.64</f>
        <v>0</v>
      </c>
      <c r="D158">
        <f>18.64</f>
        <v>0</v>
      </c>
      <c r="E158">
        <f>E137*2.9931</f>
        <v>0</v>
      </c>
      <c r="F158">
        <f>F137*60.2956</f>
        <v>0</v>
      </c>
      <c r="G158">
        <f>G137*8.87</f>
        <v>0</v>
      </c>
      <c r="H158">
        <f>H137*0.0</f>
        <v>0</v>
      </c>
      <c r="I158">
        <f>I137*0.0178</f>
        <v>0</v>
      </c>
      <c r="J158">
        <f>J137*-140.0803</f>
        <v>0</v>
      </c>
      <c r="K158">
        <f>K137*105.0602</f>
        <v>0</v>
      </c>
      <c r="L158">
        <f>L137*93.1895</f>
        <v>0</v>
      </c>
      <c r="M158">
        <f>M137*-21.6104</f>
        <v>0</v>
      </c>
      <c r="N158">
        <f>E158+F158+G158+H158+I158+J158+K158+L158</f>
        <v>0</v>
      </c>
    </row>
    <row r="159" spans="3:14">
      <c r="C159">
        <f>19.55</f>
        <v>0</v>
      </c>
      <c r="D159">
        <f>19.55</f>
        <v>0</v>
      </c>
      <c r="E159">
        <f>E137*5.3856</f>
        <v>0</v>
      </c>
      <c r="F159">
        <f>F137*23.4902</f>
        <v>0</v>
      </c>
      <c r="G159">
        <f>G137*3.0378</f>
        <v>0</v>
      </c>
      <c r="H159">
        <f>H137*0.0</f>
        <v>0</v>
      </c>
      <c r="I159">
        <f>I137*-0.0184</f>
        <v>0</v>
      </c>
      <c r="J159">
        <f>J137*107.7237</f>
        <v>0</v>
      </c>
      <c r="K159">
        <f>K137*-80.7928</f>
        <v>0</v>
      </c>
      <c r="L159">
        <f>L137*41.4956</f>
        <v>0</v>
      </c>
      <c r="M159">
        <f>M137*-22.8824</f>
        <v>0</v>
      </c>
      <c r="N159">
        <f>E159+F159+G159+H159+I159+J159+K159+L159</f>
        <v>0</v>
      </c>
    </row>
    <row r="160" spans="3:14">
      <c r="C160">
        <f>20.0</f>
        <v>0</v>
      </c>
      <c r="D160">
        <f>20.0</f>
        <v>0</v>
      </c>
      <c r="E160">
        <f>E137*0.525</f>
        <v>0</v>
      </c>
      <c r="F160">
        <f>F137*4.0639</f>
        <v>0</v>
      </c>
      <c r="G160">
        <f>G137*0.5358</f>
        <v>0</v>
      </c>
      <c r="H160">
        <f>H137*0.0</f>
        <v>0</v>
      </c>
      <c r="I160">
        <f>I137*0.0011</f>
        <v>0</v>
      </c>
      <c r="J160">
        <f>J137*22.5076</f>
        <v>0</v>
      </c>
      <c r="K160">
        <f>K137*-16.8807</f>
        <v>0</v>
      </c>
      <c r="L160">
        <f>L137*5.3798</f>
        <v>0</v>
      </c>
      <c r="M160">
        <f>M137*-2.3648</f>
        <v>0</v>
      </c>
      <c r="N160">
        <f>E160+F160+G160+H160+I160+J160+K160+L160</f>
        <v>0</v>
      </c>
    </row>
    <row r="161" spans="3:14">
      <c r="C161">
        <f>20.0</f>
        <v>0</v>
      </c>
      <c r="D161">
        <f>0.0</f>
        <v>0</v>
      </c>
      <c r="E161">
        <f>E137*0.4527</f>
        <v>0</v>
      </c>
      <c r="F161">
        <f>F137*4.5233</f>
        <v>0</v>
      </c>
      <c r="G161">
        <f>G137*0.6062</f>
        <v>0</v>
      </c>
      <c r="H161">
        <f>H137*0.0</f>
        <v>0</v>
      </c>
      <c r="I161">
        <f>I137*-0.0791</f>
        <v>0</v>
      </c>
      <c r="J161">
        <f>J137*23.6499</f>
        <v>0</v>
      </c>
      <c r="K161">
        <f>K137*-17.7374</f>
        <v>0</v>
      </c>
      <c r="L161">
        <f>L137*7.8413</f>
        <v>0</v>
      </c>
      <c r="M161">
        <f>M137*-4.3265</f>
        <v>0</v>
      </c>
      <c r="N161">
        <f>E161+F161+G161+H161+I161+J161+K161+L161</f>
        <v>0</v>
      </c>
    </row>
    <row r="162" spans="3:14">
      <c r="C162">
        <f>20.45</f>
        <v>0</v>
      </c>
      <c r="D162">
        <f>0.45</f>
        <v>0</v>
      </c>
      <c r="E162">
        <f>E137*5.1064</f>
        <v>0</v>
      </c>
      <c r="F162">
        <f>F137*24.8466</f>
        <v>0</v>
      </c>
      <c r="G162">
        <f>G137*3.2479</f>
        <v>0</v>
      </c>
      <c r="H162">
        <f>H137*0.0</f>
        <v>0</v>
      </c>
      <c r="I162">
        <f>I137*0.2355</f>
        <v>0</v>
      </c>
      <c r="J162">
        <f>J137*111.7068</f>
        <v>0</v>
      </c>
      <c r="K162">
        <f>K137*-83.7801</f>
        <v>0</v>
      </c>
      <c r="L162">
        <f>L137*34.9586</f>
        <v>0</v>
      </c>
      <c r="M162">
        <f>M137*-12.1759</f>
        <v>0</v>
      </c>
      <c r="N162">
        <f>E162+F162+G162+H162+I162+J162+K162+L162</f>
        <v>0</v>
      </c>
    </row>
    <row r="163" spans="3:14">
      <c r="C163">
        <f>21.36</f>
        <v>0</v>
      </c>
      <c r="D163">
        <f>1.36</f>
        <v>0</v>
      </c>
      <c r="E163">
        <f>E137*2.7910000000000004</f>
        <v>0</v>
      </c>
      <c r="F163">
        <f>F137*59.961999999999996</f>
        <v>0</v>
      </c>
      <c r="G163">
        <f>G137*8.822000000000001</f>
        <v>0</v>
      </c>
      <c r="H163">
        <f>H137*0.0</f>
        <v>0</v>
      </c>
      <c r="I163">
        <f>I137*-0.1196</f>
        <v>0</v>
      </c>
      <c r="J163">
        <f>J137*-141.7946</f>
        <v>0</v>
      </c>
      <c r="K163">
        <f>K137*106.3459</f>
        <v>0</v>
      </c>
      <c r="L163">
        <f>L137*93.7919</f>
        <v>0</v>
      </c>
      <c r="M163">
        <f>M137*-15.395999999999999</f>
        <v>0</v>
      </c>
      <c r="N163">
        <f>E163+F163+G163+H163+I163+J163+K163+L163</f>
        <v>0</v>
      </c>
    </row>
    <row r="164" spans="3:14">
      <c r="C164">
        <f>22.27</f>
        <v>0</v>
      </c>
      <c r="D164">
        <f>2.27</f>
        <v>0</v>
      </c>
      <c r="E164">
        <f>E137*9.1343</f>
        <v>0</v>
      </c>
      <c r="F164">
        <f>F137*120.679</f>
        <v>0</v>
      </c>
      <c r="G164">
        <f>G137*17.5984</f>
        <v>0</v>
      </c>
      <c r="H164">
        <f>H137*0.0</f>
        <v>0</v>
      </c>
      <c r="I164">
        <f>I137*-0.1671</f>
        <v>0</v>
      </c>
      <c r="J164">
        <f>J137*-127.0082</f>
        <v>0</v>
      </c>
      <c r="K164">
        <f>K137*95.2561</f>
        <v>0</v>
      </c>
      <c r="L164">
        <f>L137*183.6609</f>
        <v>0</v>
      </c>
      <c r="M164">
        <f>M137*-12.5452</f>
        <v>0</v>
      </c>
      <c r="N164">
        <f>E164+F164+G164+H164+I164+J164+K164+L164</f>
        <v>0</v>
      </c>
    </row>
    <row r="165" spans="3:14">
      <c r="C165">
        <f>23.18</f>
        <v>0</v>
      </c>
      <c r="D165">
        <f>3.18</f>
        <v>0</v>
      </c>
      <c r="E165">
        <f>E137*16.576</f>
        <v>0</v>
      </c>
      <c r="F165">
        <f>F137*185.0298</f>
        <v>0</v>
      </c>
      <c r="G165">
        <f>G137*26.6583</f>
        <v>0</v>
      </c>
      <c r="H165">
        <f>H137*0.0</f>
        <v>0</v>
      </c>
      <c r="I165">
        <f>I137*0.3225</f>
        <v>0</v>
      </c>
      <c r="J165">
        <f>J137*-86.2614</f>
        <v>0</v>
      </c>
      <c r="K165">
        <f>K137*64.696</f>
        <v>0</v>
      </c>
      <c r="L165">
        <f>L137*267.6942</f>
        <v>0</v>
      </c>
      <c r="M165">
        <f>M137*-7.3411</f>
        <v>0</v>
      </c>
      <c r="N165">
        <f>E165+F165+G165+H165+I165+J165+K165+L165</f>
        <v>0</v>
      </c>
    </row>
    <row r="166" spans="3:14">
      <c r="C166">
        <f>24.09</f>
        <v>0</v>
      </c>
      <c r="D166">
        <f>4.09</f>
        <v>0</v>
      </c>
      <c r="E166">
        <f>E137*24.6002</f>
        <v>0</v>
      </c>
      <c r="F166">
        <f>F137*241.3933</f>
        <v>0</v>
      </c>
      <c r="G166">
        <f>G137*34.4777</f>
        <v>0</v>
      </c>
      <c r="H166">
        <f>H137*0.0</f>
        <v>0</v>
      </c>
      <c r="I166">
        <f>I137*0.3707</f>
        <v>0</v>
      </c>
      <c r="J166">
        <f>J137*-53.7212</f>
        <v>0</v>
      </c>
      <c r="K166">
        <f>K137*40.2909</f>
        <v>0</v>
      </c>
      <c r="L166">
        <f>L137*338.3611</f>
        <v>0</v>
      </c>
      <c r="M166">
        <f>M137*-5.376</f>
        <v>0</v>
      </c>
      <c r="N166">
        <f>E166+F166+G166+H166+I166+J166+K166+L166</f>
        <v>0</v>
      </c>
    </row>
    <row r="167" spans="3:14">
      <c r="C167">
        <f>25.0</f>
        <v>0</v>
      </c>
      <c r="D167">
        <f>5.0</f>
        <v>0</v>
      </c>
      <c r="E167">
        <f>E137*39.9406</f>
        <v>0</v>
      </c>
      <c r="F167">
        <f>F137*291.30400000000003</f>
        <v>0</v>
      </c>
      <c r="G167">
        <f>G137*40.8527</f>
        <v>0</v>
      </c>
      <c r="H167">
        <f>H137*0.0</f>
        <v>0</v>
      </c>
      <c r="I167">
        <f>I137*0.6473</f>
        <v>0</v>
      </c>
      <c r="J167">
        <f>J137*122.2458</f>
        <v>0</v>
      </c>
      <c r="K167">
        <f>K137*-91.6843</f>
        <v>0</v>
      </c>
      <c r="L167">
        <f>L137*382.0742</f>
        <v>0</v>
      </c>
      <c r="M167">
        <f>M137*-6.4591</f>
        <v>0</v>
      </c>
      <c r="N167">
        <f>E167+F167+G167+H167+I167+J167+K167+L167</f>
        <v>0</v>
      </c>
    </row>
    <row r="168" spans="3:14">
      <c r="C168">
        <f>26.0</f>
        <v>0</v>
      </c>
      <c r="D168">
        <f>6.0</f>
        <v>0</v>
      </c>
      <c r="E168">
        <f>E137*30.424</f>
        <v>0</v>
      </c>
      <c r="F168">
        <f>F137*327.8782</f>
        <v>0</v>
      </c>
      <c r="G168">
        <f>G137*46.9945</f>
        <v>0</v>
      </c>
      <c r="H168">
        <f>H137*0.0</f>
        <v>0</v>
      </c>
      <c r="I168">
        <f>I137*0.7405</f>
        <v>0</v>
      </c>
      <c r="J168">
        <f>J137*-46.8793</f>
        <v>0</v>
      </c>
      <c r="K168">
        <f>K137*35.1595</f>
        <v>0</v>
      </c>
      <c r="L168">
        <f>L137*462.4773</f>
        <v>0</v>
      </c>
      <c r="M168">
        <f>M137*-7.9262</f>
        <v>0</v>
      </c>
      <c r="N168">
        <f>E168+F168+G168+H168+I168+J168+K168+L168</f>
        <v>0</v>
      </c>
    </row>
    <row r="169" spans="3:14">
      <c r="C169">
        <f>27.0</f>
        <v>0</v>
      </c>
      <c r="D169">
        <f>7.0</f>
        <v>0</v>
      </c>
      <c r="E169">
        <f>E137*31.5917</f>
        <v>0</v>
      </c>
      <c r="F169">
        <f>F137*358.1313</f>
        <v>0</v>
      </c>
      <c r="G169">
        <f>G137*51.4186</f>
        <v>0</v>
      </c>
      <c r="H169">
        <f>H137*0.0</f>
        <v>0</v>
      </c>
      <c r="I169">
        <f>I137*0.9457</f>
        <v>0</v>
      </c>
      <c r="J169">
        <f>J137*-57.178999999999995</f>
        <v>0</v>
      </c>
      <c r="K169">
        <f>K137*42.8842</f>
        <v>0</v>
      </c>
      <c r="L169">
        <f>L137*501.4181</f>
        <v>0</v>
      </c>
      <c r="M169">
        <f>M137*-9.084</f>
        <v>0</v>
      </c>
      <c r="N169">
        <f>E169+F169+G169+H169+I169+J169+K169+L169</f>
        <v>0</v>
      </c>
    </row>
    <row r="170" spans="3:14">
      <c r="C170">
        <f>28.0</f>
        <v>0</v>
      </c>
      <c r="D170">
        <f>8.0</f>
        <v>0</v>
      </c>
      <c r="E170">
        <f>E137*34.8153</f>
        <v>0</v>
      </c>
      <c r="F170">
        <f>F137*378.9369</f>
        <v>0</v>
      </c>
      <c r="G170">
        <f>G137*54.2997</f>
        <v>0</v>
      </c>
      <c r="H170">
        <f>H137*0.0</f>
        <v>0</v>
      </c>
      <c r="I170">
        <f>I137*1.1163</f>
        <v>0</v>
      </c>
      <c r="J170">
        <f>J137*-55.552</f>
        <v>0</v>
      </c>
      <c r="K170">
        <f>K137*41.663999999999994</f>
        <v>0</v>
      </c>
      <c r="L170">
        <f>L137*525.625</f>
        <v>0</v>
      </c>
      <c r="M170">
        <f>M137*-10.2767</f>
        <v>0</v>
      </c>
      <c r="N170">
        <f>E170+F170+G170+H170+I170+J170+K170+L170</f>
        <v>0</v>
      </c>
    </row>
    <row r="171" spans="3:14">
      <c r="C171">
        <f>29.0</f>
        <v>0</v>
      </c>
      <c r="D171">
        <f>9.0</f>
        <v>0</v>
      </c>
      <c r="E171">
        <f>E137*38.7113</f>
        <v>0</v>
      </c>
      <c r="F171">
        <f>F137*389.9636</f>
        <v>0</v>
      </c>
      <c r="G171">
        <f>G137*55.6998</f>
        <v>0</v>
      </c>
      <c r="H171">
        <f>H137*0.0</f>
        <v>0</v>
      </c>
      <c r="I171">
        <f>I137*1.1179</f>
        <v>0</v>
      </c>
      <c r="J171">
        <f>J137*-40.135</f>
        <v>0</v>
      </c>
      <c r="K171">
        <f>K137*30.1012</f>
        <v>0</v>
      </c>
      <c r="L171">
        <f>L137*540.0913</f>
        <v>0</v>
      </c>
      <c r="M171">
        <f>M137*-11.527999999999999</f>
        <v>0</v>
      </c>
      <c r="N171">
        <f>E171+F171+G171+H171+I171+J171+K171+L171</f>
        <v>0</v>
      </c>
    </row>
    <row r="172" spans="3:14">
      <c r="C172">
        <f>30.0</f>
        <v>0</v>
      </c>
      <c r="D172">
        <f>10.0</f>
        <v>0</v>
      </c>
      <c r="E172">
        <f>E137*51.6147</f>
        <v>0</v>
      </c>
      <c r="F172">
        <f>F137*386.3007</f>
        <v>0</v>
      </c>
      <c r="G172">
        <f>G137*54.3065</f>
        <v>0</v>
      </c>
      <c r="H172">
        <f>H137*0.0</f>
        <v>0</v>
      </c>
      <c r="I172">
        <f>I137*1.8957</f>
        <v>0</v>
      </c>
      <c r="J172">
        <f>J137*106.5193</f>
        <v>0</v>
      </c>
      <c r="K172">
        <f>K137*-79.8895</f>
        <v>0</v>
      </c>
      <c r="L172">
        <f>L137*511.3959</f>
        <v>0</v>
      </c>
      <c r="M172">
        <f>M137*-12.6566</f>
        <v>0</v>
      </c>
      <c r="N172">
        <f>E172+F172+G172+H172+I172+J172+K172+L172</f>
        <v>0</v>
      </c>
    </row>
    <row r="173" spans="3:14">
      <c r="C173">
        <f>31.0</f>
        <v>0</v>
      </c>
      <c r="D173">
        <f>11.0</f>
        <v>0</v>
      </c>
      <c r="E173">
        <f>E137*38.5525</f>
        <v>0</v>
      </c>
      <c r="F173">
        <f>F137*389.9945</f>
        <v>0</v>
      </c>
      <c r="G173">
        <f>G137*55.7348</f>
        <v>0</v>
      </c>
      <c r="H173">
        <f>H137*0.0</f>
        <v>0</v>
      </c>
      <c r="I173">
        <f>I137*1.3665</f>
        <v>0</v>
      </c>
      <c r="J173">
        <f>J137*-41.1325</f>
        <v>0</v>
      </c>
      <c r="K173">
        <f>K137*30.8494</f>
        <v>0</v>
      </c>
      <c r="L173">
        <f>L137*540.605</f>
        <v>0</v>
      </c>
      <c r="M173">
        <f>M137*-14.265999999999998</f>
        <v>0</v>
      </c>
      <c r="N173">
        <f>E173+F173+G173+H173+I173+J173+K173+L173</f>
        <v>0</v>
      </c>
    </row>
    <row r="174" spans="3:14">
      <c r="C174">
        <f>32.0</f>
        <v>0</v>
      </c>
      <c r="D174">
        <f>12.0</f>
        <v>0</v>
      </c>
      <c r="E174">
        <f>E137*34.6446</f>
        <v>0</v>
      </c>
      <c r="F174">
        <f>F137*379.4099</f>
        <v>0</v>
      </c>
      <c r="G174">
        <f>G137*54.3758</f>
        <v>0</v>
      </c>
      <c r="H174">
        <f>H137*0.0</f>
        <v>0</v>
      </c>
      <c r="I174">
        <f>I137*1.0703</f>
        <v>0</v>
      </c>
      <c r="J174">
        <f>J137*-56.445</f>
        <v>0</v>
      </c>
      <c r="K174">
        <f>K137*42.3338</f>
        <v>0</v>
      </c>
      <c r="L174">
        <f>L137*525.5287</f>
        <v>0</v>
      </c>
      <c r="M174">
        <f>M137*-15.5289</f>
        <v>0</v>
      </c>
      <c r="N174">
        <f>E174+F174+G174+H174+I174+J174+K174+L174</f>
        <v>0</v>
      </c>
    </row>
    <row r="175" spans="3:14">
      <c r="C175">
        <f>33.0</f>
        <v>0</v>
      </c>
      <c r="D175">
        <f>13.0</f>
        <v>0</v>
      </c>
      <c r="E175">
        <f>E137*31.4123</f>
        <v>0</v>
      </c>
      <c r="F175">
        <f>F137*359.1977</f>
        <v>0</v>
      </c>
      <c r="G175">
        <f>G137*51.5821</f>
        <v>0</v>
      </c>
      <c r="H175">
        <f>H137*0.0</f>
        <v>0</v>
      </c>
      <c r="I175">
        <f>I137*-0.8662</f>
        <v>0</v>
      </c>
      <c r="J175">
        <f>J137*-54.5508</f>
        <v>0</v>
      </c>
      <c r="K175">
        <f>K137*40.9131</f>
        <v>0</v>
      </c>
      <c r="L175">
        <f>L137*501.7402</f>
        <v>0</v>
      </c>
      <c r="M175">
        <f>M137*-17.0623</f>
        <v>0</v>
      </c>
      <c r="N175">
        <f>E175+F175+G175+H175+I175+J175+K175+L175</f>
        <v>0</v>
      </c>
    </row>
    <row r="176" spans="3:14">
      <c r="C176">
        <f>34.0</f>
        <v>0</v>
      </c>
      <c r="D176">
        <f>14.0</f>
        <v>0</v>
      </c>
      <c r="E176">
        <f>E137*30.5683</f>
        <v>0</v>
      </c>
      <c r="F176">
        <f>F137*329.3382</f>
        <v>0</v>
      </c>
      <c r="G176">
        <f>G137*47.2158</f>
        <v>0</v>
      </c>
      <c r="H176">
        <f>H137*0.0</f>
        <v>0</v>
      </c>
      <c r="I176">
        <f>I137*-0.2559</f>
        <v>0</v>
      </c>
      <c r="J176">
        <f>J137*-43.8827</f>
        <v>0</v>
      </c>
      <c r="K176">
        <f>K137*32.912</f>
        <v>0</v>
      </c>
      <c r="L176">
        <f>L137*463.0094</f>
        <v>0</v>
      </c>
      <c r="M176">
        <f>M137*-18.7025</f>
        <v>0</v>
      </c>
      <c r="N176">
        <f>E176+F176+G176+H176+I176+J176+K176+L176</f>
        <v>0</v>
      </c>
    </row>
    <row r="177" spans="3:14">
      <c r="C177">
        <f>35.0</f>
        <v>0</v>
      </c>
      <c r="D177">
        <f>15.0</f>
        <v>0</v>
      </c>
      <c r="E177">
        <f>E137*39.7087</f>
        <v>0</v>
      </c>
      <c r="F177">
        <f>F137*288.7931</f>
        <v>0</v>
      </c>
      <c r="G177">
        <f>G137*40.4931</f>
        <v>0</v>
      </c>
      <c r="H177">
        <f>H137*0.0</f>
        <v>0</v>
      </c>
      <c r="I177">
        <f>I137*7.358</f>
        <v>0</v>
      </c>
      <c r="J177">
        <f>J137*122.0055</f>
        <v>0</v>
      </c>
      <c r="K177">
        <f>K137*-91.5041</f>
        <v>0</v>
      </c>
      <c r="L177">
        <f>L137*380.2071</f>
        <v>0</v>
      </c>
      <c r="M177">
        <f>M137*-17.0481</f>
        <v>0</v>
      </c>
      <c r="N177">
        <f>E177+F177+G177+H177+I177+J177+K177+L177</f>
        <v>0</v>
      </c>
    </row>
    <row r="178" spans="3:14">
      <c r="C178">
        <f>35.91</f>
        <v>0</v>
      </c>
      <c r="D178">
        <f>15.91</f>
        <v>0</v>
      </c>
      <c r="E178">
        <f>E137*24.4588</f>
        <v>0</v>
      </c>
      <c r="F178">
        <f>F137*242.9246</f>
        <v>0</v>
      </c>
      <c r="G178">
        <f>G137*34.7081</f>
        <v>0</v>
      </c>
      <c r="H178">
        <f>H137*0.0</f>
        <v>0</v>
      </c>
      <c r="I178">
        <f>I137*-2.4651</f>
        <v>0</v>
      </c>
      <c r="J178">
        <f>J137*-54.4659</f>
        <v>0</v>
      </c>
      <c r="K178">
        <f>K137*40.8494</f>
        <v>0</v>
      </c>
      <c r="L178">
        <f>L137*339.0861</f>
        <v>0</v>
      </c>
      <c r="M178">
        <f>M137*-19.9657</f>
        <v>0</v>
      </c>
      <c r="N178">
        <f>E178+F178+G178+H178+I178+J178+K178+L178</f>
        <v>0</v>
      </c>
    </row>
    <row r="179" spans="3:14">
      <c r="C179">
        <f>36.82</f>
        <v>0</v>
      </c>
      <c r="D179">
        <f>16.82</f>
        <v>0</v>
      </c>
      <c r="E179">
        <f>E137*16.5232</f>
        <v>0</v>
      </c>
      <c r="F179">
        <f>F137*188.273</f>
        <v>0</v>
      </c>
      <c r="G179">
        <f>G137*27.1368</f>
        <v>0</v>
      </c>
      <c r="H179">
        <f>H137*0.0</f>
        <v>0</v>
      </c>
      <c r="I179">
        <f>I137*-7.0329</f>
        <v>0</v>
      </c>
      <c r="J179">
        <f>J137*-86.6672</f>
        <v>0</v>
      </c>
      <c r="K179">
        <f>K137*65.0004</f>
        <v>0</v>
      </c>
      <c r="L179">
        <f>L137*268.9365</f>
        <v>0</v>
      </c>
      <c r="M179">
        <f>M137*-21.1316</f>
        <v>0</v>
      </c>
      <c r="N179">
        <f>E179+F179+G179+H179+I179+J179+K179+L179</f>
        <v>0</v>
      </c>
    </row>
    <row r="180" spans="3:14">
      <c r="C180">
        <f>37.73</f>
        <v>0</v>
      </c>
      <c r="D180">
        <f>17.73</f>
        <v>0</v>
      </c>
      <c r="E180">
        <f>E137*9.2495</f>
        <v>0</v>
      </c>
      <c r="F180">
        <f>F137*125.4435</f>
        <v>0</v>
      </c>
      <c r="G180">
        <f>G137*18.2939</f>
        <v>0</v>
      </c>
      <c r="H180">
        <f>H137*0.0</f>
        <v>0</v>
      </c>
      <c r="I180">
        <f>I137*-13.5247</f>
        <v>0</v>
      </c>
      <c r="J180">
        <f>J137*-123.5398</f>
        <v>0</v>
      </c>
      <c r="K180">
        <f>K137*92.6549</f>
        <v>0</v>
      </c>
      <c r="L180">
        <f>L137*184.8536</f>
        <v>0</v>
      </c>
      <c r="M180">
        <f>M137*-20.4318</f>
        <v>0</v>
      </c>
      <c r="N180">
        <f>E180+F180+G180+H180+I180+J180+K180+L180</f>
        <v>0</v>
      </c>
    </row>
    <row r="181" spans="3:14">
      <c r="C181">
        <f>38.64</f>
        <v>0</v>
      </c>
      <c r="D181">
        <f>18.64</f>
        <v>0</v>
      </c>
      <c r="E181">
        <f>E137*3.0908</f>
        <v>0</v>
      </c>
      <c r="F181">
        <f>F137*60.055</f>
        <v>0</v>
      </c>
      <c r="G181">
        <f>G137*8.8278</f>
        <v>0</v>
      </c>
      <c r="H181">
        <f>H137*0.0</f>
        <v>0</v>
      </c>
      <c r="I181">
        <f>I137*-17.4162</f>
        <v>0</v>
      </c>
      <c r="J181">
        <f>J137*-140.1497</f>
        <v>0</v>
      </c>
      <c r="K181">
        <f>K137*105.1123</f>
        <v>0</v>
      </c>
      <c r="L181">
        <f>L137*94.0838</f>
        <v>0</v>
      </c>
      <c r="M181">
        <f>M137*-17.5798</f>
        <v>0</v>
      </c>
      <c r="N181">
        <f>E181+F181+G181+H181+I181+J181+K181+L181</f>
        <v>0</v>
      </c>
    </row>
    <row r="182" spans="3:14">
      <c r="C182">
        <f>39.55</f>
        <v>0</v>
      </c>
      <c r="D182">
        <f>19.55</f>
        <v>0</v>
      </c>
      <c r="E182">
        <f>E137*4.9592</f>
        <v>0</v>
      </c>
      <c r="F182">
        <f>F137*18.9996</f>
        <v>0</v>
      </c>
      <c r="G182">
        <f>G137*2.3952</f>
        <v>0</v>
      </c>
      <c r="H182">
        <f>H137*0.0</f>
        <v>0</v>
      </c>
      <c r="I182">
        <f>I137*12.5359</f>
        <v>0</v>
      </c>
      <c r="J182">
        <f>J137*107.5692</f>
        <v>0</v>
      </c>
      <c r="K182">
        <f>K137*-80.6769</f>
        <v>0</v>
      </c>
      <c r="L182">
        <f>L137*31.7767</f>
        <v>0</v>
      </c>
      <c r="M182">
        <f>M137*-14.0849</f>
        <v>0</v>
      </c>
      <c r="N182">
        <f>E182+F182+G182+H182+I182+J182+K182+L182</f>
        <v>0</v>
      </c>
    </row>
    <row r="183" spans="3:14">
      <c r="C183">
        <f>40.0</f>
        <v>0</v>
      </c>
      <c r="D183">
        <f>20.0</f>
        <v>0</v>
      </c>
      <c r="E183">
        <f>E137*0.4107</f>
        <v>0</v>
      </c>
      <c r="F183">
        <f>F137*2.9196</f>
        <v>0</v>
      </c>
      <c r="G183">
        <f>G137*0.3725</f>
        <v>0</v>
      </c>
      <c r="H183">
        <f>H137*0.0</f>
        <v>0</v>
      </c>
      <c r="I183">
        <f>I137*2.7865</f>
        <v>0</v>
      </c>
      <c r="J183">
        <f>J137*22.5432</f>
        <v>0</v>
      </c>
      <c r="K183">
        <f>K137*-16.9074</f>
        <v>0</v>
      </c>
      <c r="L183">
        <f>L137*6.8973</f>
        <v>0</v>
      </c>
      <c r="M183">
        <f>M137*-4.4215</f>
        <v>0</v>
      </c>
      <c r="N183">
        <f>E183+F183+G183+H183+I183+J183+K183+L183</f>
        <v>0</v>
      </c>
    </row>
    <row r="184" spans="3:14">
      <c r="C184">
        <f>40.0</f>
        <v>0</v>
      </c>
      <c r="D184">
        <f>0.0</f>
        <v>0</v>
      </c>
      <c r="E184">
        <f>E137*0.4272</f>
        <v>0</v>
      </c>
      <c r="F184">
        <f>F137*3.7761</f>
        <v>0</v>
      </c>
      <c r="G184">
        <f>G137*0.4986</f>
        <v>0</v>
      </c>
      <c r="H184">
        <f>H137*0.0</f>
        <v>0</v>
      </c>
      <c r="I184">
        <f>I137*0.0897</f>
        <v>0</v>
      </c>
      <c r="J184">
        <f>J137*23.7258</f>
        <v>0</v>
      </c>
      <c r="K184">
        <f>K137*-17.7944</f>
        <v>0</v>
      </c>
      <c r="L184">
        <f>L137*4.6896</f>
        <v>0</v>
      </c>
      <c r="M184">
        <f>M137*-1.7225</f>
        <v>0</v>
      </c>
      <c r="N184">
        <f>E184+F184+G184+H184+I184+J184+K184+L184</f>
        <v>0</v>
      </c>
    </row>
    <row r="185" spans="3:14">
      <c r="C185">
        <f>40.45</f>
        <v>0</v>
      </c>
      <c r="D185">
        <f>0.45</f>
        <v>0</v>
      </c>
      <c r="E185">
        <f>E137*3.8917</f>
        <v>0</v>
      </c>
      <c r="F185">
        <f>F137*16.5077</f>
        <v>0</v>
      </c>
      <c r="G185">
        <f>G137*2.0912</f>
        <v>0</v>
      </c>
      <c r="H185">
        <f>H137*0.0</f>
        <v>0</v>
      </c>
      <c r="I185">
        <f>I137*24.2705</f>
        <v>0</v>
      </c>
      <c r="J185">
        <f>J137*121.0318</f>
        <v>0</v>
      </c>
      <c r="K185">
        <f>K137*-90.7738</f>
        <v>0</v>
      </c>
      <c r="L185">
        <f>L137*19.9467</f>
        <v>0</v>
      </c>
      <c r="M185">
        <f>M137*-4.845</f>
        <v>0</v>
      </c>
      <c r="N185">
        <f>E185+F185+G185+H185+I185+J185+K185+L185</f>
        <v>0</v>
      </c>
    </row>
    <row r="186" spans="3:14">
      <c r="C186">
        <f>41.36</f>
        <v>0</v>
      </c>
      <c r="D186">
        <f>1.36</f>
        <v>0</v>
      </c>
      <c r="E186">
        <f>E137*-0.8156</f>
        <v>0</v>
      </c>
      <c r="F186">
        <f>F137*26.3252</f>
        <v>0</v>
      </c>
      <c r="G186">
        <f>G137*4.066</f>
        <v>0</v>
      </c>
      <c r="H186">
        <f>H137*0.0</f>
        <v>0</v>
      </c>
      <c r="I186">
        <f>I137*49.707</f>
        <v>0</v>
      </c>
      <c r="J186">
        <f>J137*-145.4829</f>
        <v>0</v>
      </c>
      <c r="K186">
        <f>K137*109.1122</f>
        <v>0</v>
      </c>
      <c r="L186">
        <f>L137*61.4991</f>
        <v>0</v>
      </c>
      <c r="M186">
        <f>M137*-14.7401</f>
        <v>0</v>
      </c>
      <c r="N186">
        <f>E186+F186+G186+H186+I186+J186+K186+L186</f>
        <v>0</v>
      </c>
    </row>
    <row r="187" spans="3:14">
      <c r="C187">
        <f>42.27</f>
        <v>0</v>
      </c>
      <c r="D187">
        <f>2.27</f>
        <v>0</v>
      </c>
      <c r="E187">
        <f>E137*1.8173</f>
        <v>0</v>
      </c>
      <c r="F187">
        <f>F137*47.6874</f>
        <v>0</v>
      </c>
      <c r="G187">
        <f>G137*7.2481</f>
        <v>0</v>
      </c>
      <c r="H187">
        <f>H137*0.0</f>
        <v>0</v>
      </c>
      <c r="I187">
        <f>I137*94.8499</f>
        <v>0</v>
      </c>
      <c r="J187">
        <f>J137*-132.2196</f>
        <v>0</v>
      </c>
      <c r="K187">
        <f>K137*99.1647</f>
        <v>0</v>
      </c>
      <c r="L187">
        <f>L137*107.9432</f>
        <v>0</v>
      </c>
      <c r="M187">
        <f>M137*-12.01</f>
        <v>0</v>
      </c>
      <c r="N187">
        <f>E187+F187+G187+H187+I187+J187+K187+L187</f>
        <v>0</v>
      </c>
    </row>
    <row r="188" spans="3:14">
      <c r="C188">
        <f>43.18</f>
        <v>0</v>
      </c>
      <c r="D188">
        <f>3.18</f>
        <v>0</v>
      </c>
      <c r="E188">
        <f>E137*5.1063</f>
        <v>0</v>
      </c>
      <c r="F188">
        <f>F137*66.8866</f>
        <v>0</v>
      </c>
      <c r="G188">
        <f>G137*10.005</f>
        <v>0</v>
      </c>
      <c r="H188">
        <f>H137*0.0</f>
        <v>0</v>
      </c>
      <c r="I188">
        <f>I137*138.0697</f>
        <v>0</v>
      </c>
      <c r="J188">
        <f>J137*-91.4625</f>
        <v>0</v>
      </c>
      <c r="K188">
        <f>K137*68.5969</f>
        <v>0</v>
      </c>
      <c r="L188">
        <f>L137*146.2102</f>
        <v>0</v>
      </c>
      <c r="M188">
        <f>M137*-8.4769</f>
        <v>0</v>
      </c>
      <c r="N188">
        <f>E188+F188+G188+H188+I188+J188+K188+L188</f>
        <v>0</v>
      </c>
    </row>
    <row r="189" spans="3:14">
      <c r="C189">
        <f>44.09</f>
        <v>0</v>
      </c>
      <c r="D189">
        <f>4.09</f>
        <v>0</v>
      </c>
      <c r="E189">
        <f>E137*8.7022</f>
        <v>0</v>
      </c>
      <c r="F189">
        <f>F137*81.2813</f>
        <v>0</v>
      </c>
      <c r="G189">
        <f>G137*11.7956</f>
        <v>0</v>
      </c>
      <c r="H189">
        <f>H137*0.0</f>
        <v>0</v>
      </c>
      <c r="I189">
        <f>I137*171.3737</f>
        <v>0</v>
      </c>
      <c r="J189">
        <f>J137*-49.876000000000005</f>
        <v>0</v>
      </c>
      <c r="K189">
        <f>K137*37.407</f>
        <v>0</v>
      </c>
      <c r="L189">
        <f>L137*169.3485</f>
        <v>0</v>
      </c>
      <c r="M189">
        <f>M137*-5.9624</f>
        <v>0</v>
      </c>
      <c r="N189">
        <f>E189+F189+G189+H189+I189+J189+K189+L189</f>
        <v>0</v>
      </c>
    </row>
    <row r="190" spans="3:14">
      <c r="C190">
        <f>45.0</f>
        <v>0</v>
      </c>
      <c r="D190">
        <f>5.0</f>
        <v>0</v>
      </c>
      <c r="E190">
        <f>E137*17.9178</f>
        <v>0</v>
      </c>
      <c r="F190">
        <f>F137*89.4818</f>
        <v>0</v>
      </c>
      <c r="G190">
        <f>G137*12.2066</f>
        <v>0</v>
      </c>
      <c r="H190">
        <f>H137*0.0</f>
        <v>0</v>
      </c>
      <c r="I190">
        <f>I137*218.778</f>
        <v>0</v>
      </c>
      <c r="J190">
        <f>J137*157.9032</f>
        <v>0</v>
      </c>
      <c r="K190">
        <f>K137*-118.4274</f>
        <v>0</v>
      </c>
      <c r="L190">
        <f>L137*157.1572</f>
        <v>0</v>
      </c>
      <c r="M190">
        <f>M137*-1.5829</f>
        <v>0</v>
      </c>
      <c r="N190">
        <f>E190+F190+G190+H190+I190+J190+K190+L190</f>
        <v>0</v>
      </c>
    </row>
    <row r="191" spans="3:14">
      <c r="C191">
        <f>46.0</f>
        <v>0</v>
      </c>
      <c r="D191">
        <f>6.0</f>
        <v>0</v>
      </c>
      <c r="E191">
        <f>E137*8.4147</f>
        <v>0</v>
      </c>
      <c r="F191">
        <f>F137*85.59700000000001</f>
        <v>0</v>
      </c>
      <c r="G191">
        <f>G137*12.4379</f>
        <v>0</v>
      </c>
      <c r="H191">
        <f>H137*0.0</f>
        <v>0</v>
      </c>
      <c r="I191">
        <f>I137*171.548</f>
        <v>0</v>
      </c>
      <c r="J191">
        <f>J137*-77.2424</f>
        <v>0</v>
      </c>
      <c r="K191">
        <f>K137*57.9318</f>
        <v>0</v>
      </c>
      <c r="L191">
        <f>L137*175.2095</f>
        <v>0</v>
      </c>
      <c r="M191">
        <f>M137*-4.6185</f>
        <v>0</v>
      </c>
      <c r="N191">
        <f>E191+F191+G191+H191+I191+J191+K191+L191</f>
        <v>0</v>
      </c>
    </row>
    <row r="192" spans="3:14">
      <c r="C192">
        <f>47.0</f>
        <v>0</v>
      </c>
      <c r="D192">
        <f>7.0</f>
        <v>0</v>
      </c>
      <c r="E192">
        <f>E137*5.906000000000001</f>
        <v>0</v>
      </c>
      <c r="F192">
        <f>F137*74.5803</f>
        <v>0</v>
      </c>
      <c r="G192">
        <f>G137*10.974</f>
        <v>0</v>
      </c>
      <c r="H192">
        <f>H137*0.0</f>
        <v>0</v>
      </c>
      <c r="I192">
        <f>I137*145.1758</f>
        <v>0</v>
      </c>
      <c r="J192">
        <f>J137*-107.6773</f>
        <v>0</v>
      </c>
      <c r="K192">
        <f>K137*80.758</f>
        <v>0</v>
      </c>
      <c r="L192">
        <f>L137*153.113</f>
        <v>0</v>
      </c>
      <c r="M192">
        <f>M137*-4.8935</f>
        <v>0</v>
      </c>
      <c r="N192">
        <f>E192+F192+G192+H192+I192+J192+K192+L192</f>
        <v>0</v>
      </c>
    </row>
    <row r="193" spans="3:14">
      <c r="C193">
        <f>48.0</f>
        <v>0</v>
      </c>
      <c r="D193">
        <f>8.0</f>
        <v>0</v>
      </c>
      <c r="E193">
        <f>E137*3.7141</f>
        <v>0</v>
      </c>
      <c r="F193">
        <f>F137*54.4969</f>
        <v>0</v>
      </c>
      <c r="G193">
        <f>G137*8.044</f>
        <v>0</v>
      </c>
      <c r="H193">
        <f>H137*0.0</f>
        <v>0</v>
      </c>
      <c r="I193">
        <f>I137*107.9264</f>
        <v>0</v>
      </c>
      <c r="J193">
        <f>J137*-200.4196</f>
        <v>0</v>
      </c>
      <c r="K193">
        <f>K137*150.3147</f>
        <v>0</v>
      </c>
      <c r="L193">
        <f>L137*111.5552</f>
        <v>0</v>
      </c>
      <c r="M193">
        <f>M137*-5.0622</f>
        <v>0</v>
      </c>
      <c r="N193">
        <f>E193+F193+G193+H193+I193+J193+K193+L193</f>
        <v>0</v>
      </c>
    </row>
    <row r="194" spans="3:14">
      <c r="C194">
        <f>49.0</f>
        <v>0</v>
      </c>
      <c r="D194">
        <f>9.0</f>
        <v>0</v>
      </c>
      <c r="E194">
        <f>E137*2.097</f>
        <v>0</v>
      </c>
      <c r="F194">
        <f>F137*26.2341</f>
        <v>0</v>
      </c>
      <c r="G194">
        <f>G137*3.846</f>
        <v>0</v>
      </c>
      <c r="H194">
        <f>H137*0.0</f>
        <v>0</v>
      </c>
      <c r="I194">
        <f>I137*64.8511</f>
        <v>0</v>
      </c>
      <c r="J194">
        <f>J137*-299.8813</f>
        <v>0</v>
      </c>
      <c r="K194">
        <f>K137*224.91099999999997</f>
        <v>0</v>
      </c>
      <c r="L194">
        <f>L137*54.675</f>
        <v>0</v>
      </c>
      <c r="M194">
        <f>M137*-5.9205</f>
        <v>0</v>
      </c>
      <c r="N194">
        <f>E194+F194+G194+H194+I194+J194+K194+L194</f>
        <v>0</v>
      </c>
    </row>
    <row r="195" spans="3:14">
      <c r="C195">
        <f>50.0</f>
        <v>0</v>
      </c>
      <c r="D195">
        <f>10.0</f>
        <v>0</v>
      </c>
      <c r="E195">
        <f>E137*2.2309</f>
        <v>0</v>
      </c>
      <c r="F195">
        <f>F137*-1.3997</f>
        <v>0</v>
      </c>
      <c r="G195">
        <f>G137*-0.3615</f>
        <v>0</v>
      </c>
      <c r="H195">
        <f>H137*0.0</f>
        <v>0</v>
      </c>
      <c r="I195">
        <f>I137*15.3506</f>
        <v>0</v>
      </c>
      <c r="J195">
        <f>J137*116.8906</f>
        <v>0</v>
      </c>
      <c r="K195">
        <f>K137*-87.66799999999999</f>
        <v>0</v>
      </c>
      <c r="L195">
        <f>L137*7.0828</f>
        <v>0</v>
      </c>
      <c r="M195">
        <f>M137*-14.9501</f>
        <v>0</v>
      </c>
      <c r="N195">
        <f>E195+F195+G195+H195+I195+J195+K195+L195</f>
        <v>0</v>
      </c>
    </row>
    <row r="202" spans="3:14">
      <c r="C202" t="s">
        <v>0</v>
      </c>
      <c r="D202" t="s">
        <v>1</v>
      </c>
      <c r="E202" t="s">
        <v>2</v>
      </c>
      <c r="F202" t="s">
        <v>3</v>
      </c>
      <c r="G202" t="s">
        <v>4</v>
      </c>
      <c r="H202" t="s">
        <v>5</v>
      </c>
      <c r="I202" t="s">
        <v>6</v>
      </c>
      <c r="J202" t="s">
        <v>7</v>
      </c>
      <c r="K202" t="s">
        <v>8</v>
      </c>
      <c r="L202" t="s">
        <v>9</v>
      </c>
      <c r="M202" t="s">
        <v>10</v>
      </c>
      <c r="N202" t="s">
        <v>11</v>
      </c>
    </row>
    <row r="203" spans="3:14">
      <c r="C203">
        <f>0.0</f>
        <v>0</v>
      </c>
      <c r="D203">
        <f>0.0</f>
        <v>0</v>
      </c>
      <c r="E203">
        <f>E201*-4.1339999999999995</f>
        <v>0</v>
      </c>
      <c r="F203">
        <f>F201*-58.023</f>
        <v>0</v>
      </c>
      <c r="G203">
        <f>G201*-8.177</f>
        <v>0</v>
      </c>
      <c r="H203">
        <f>H201*0.0</f>
        <v>0</v>
      </c>
      <c r="I203">
        <f>I201*-0.027999999999999997</f>
        <v>0</v>
      </c>
      <c r="J203">
        <f>J201*641.16</f>
        <v>0</v>
      </c>
      <c r="K203">
        <f>K201*-480.87</f>
        <v>0</v>
      </c>
      <c r="L203">
        <f>L201*54.056000000000004</f>
        <v>0</v>
      </c>
      <c r="M203">
        <f>M201*-122.74799999999999</f>
        <v>0</v>
      </c>
      <c r="N203">
        <f>E203+F203+G203+H203+I203+J203+K203+L203</f>
        <v>0</v>
      </c>
    </row>
    <row r="204" spans="3:14">
      <c r="C204">
        <f>1.0</f>
        <v>0</v>
      </c>
      <c r="D204">
        <f>1.0</f>
        <v>0</v>
      </c>
      <c r="E204">
        <f>E201*-15.186</f>
        <v>0</v>
      </c>
      <c r="F204">
        <f>F201*-98.1</f>
        <v>0</v>
      </c>
      <c r="G204">
        <f>G201*-13.659</f>
        <v>0</v>
      </c>
      <c r="H204">
        <f>H201*0.0</f>
        <v>0</v>
      </c>
      <c r="I204">
        <f>I201*-0.02</f>
        <v>0</v>
      </c>
      <c r="J204">
        <f>J201*445.32800000000003</f>
        <v>0</v>
      </c>
      <c r="K204">
        <f>K201*-333.996</f>
        <v>0</v>
      </c>
      <c r="L204">
        <f>L201*22.320999999999998</f>
        <v>0</v>
      </c>
      <c r="M204">
        <f>M201*-149.578</f>
        <v>0</v>
      </c>
      <c r="N204">
        <f>E204+F204+G204+H204+I204+J204+K204+L204</f>
        <v>0</v>
      </c>
    </row>
    <row r="205" spans="3:14">
      <c r="C205">
        <f>2.0</f>
        <v>0</v>
      </c>
      <c r="D205">
        <f>2.0</f>
        <v>0</v>
      </c>
      <c r="E205">
        <f>E201*-19.12</f>
        <v>0</v>
      </c>
      <c r="F205">
        <f>F201*-98.85600000000001</f>
        <v>0</v>
      </c>
      <c r="G205">
        <f>G201*-13.654000000000002</f>
        <v>0</v>
      </c>
      <c r="H205">
        <f>H201*0.0</f>
        <v>0</v>
      </c>
      <c r="I205">
        <f>I201*-0.019</f>
        <v>0</v>
      </c>
      <c r="J205">
        <f>J201*183.06</f>
        <v>0</v>
      </c>
      <c r="K205">
        <f>K201*-137.295</f>
        <v>0</v>
      </c>
      <c r="L205">
        <f>L201*22.478</f>
        <v>0</v>
      </c>
      <c r="M205">
        <f>M201*-148.56799999999998</f>
        <v>0</v>
      </c>
      <c r="N205">
        <f>E205+F205+G205+H205+I205+J205+K205+L205</f>
        <v>0</v>
      </c>
    </row>
    <row r="206" spans="3:14">
      <c r="C206">
        <f>3.0</f>
        <v>0</v>
      </c>
      <c r="D206">
        <f>3.0</f>
        <v>0</v>
      </c>
      <c r="E206">
        <f>E201*-21.704</f>
        <v>0</v>
      </c>
      <c r="F206">
        <f>F201*-93.359</f>
        <v>0</v>
      </c>
      <c r="G206">
        <f>G201*-12.618</f>
        <v>0</v>
      </c>
      <c r="H206">
        <f>H201*0.0</f>
        <v>0</v>
      </c>
      <c r="I206">
        <f>I201*-0.018000000000000002</f>
        <v>0</v>
      </c>
      <c r="J206">
        <f>J201*38.544000000000004</f>
        <v>0</v>
      </c>
      <c r="K206">
        <f>K201*-28.908</f>
        <v>0</v>
      </c>
      <c r="L206">
        <f>L201*27.595</f>
        <v>0</v>
      </c>
      <c r="M206">
        <f>M201*-142.523</f>
        <v>0</v>
      </c>
      <c r="N206">
        <f>E206+F206+G206+H206+I206+J206+K206+L206</f>
        <v>0</v>
      </c>
    </row>
    <row r="207" spans="3:14">
      <c r="C207">
        <f>4.0</f>
        <v>0</v>
      </c>
      <c r="D207">
        <f>4.0</f>
        <v>0</v>
      </c>
      <c r="E207">
        <f>E201*-25.703000000000003</f>
        <v>0</v>
      </c>
      <c r="F207">
        <f>F201*-80.706</f>
        <v>0</v>
      </c>
      <c r="G207">
        <f>G201*-10.512</f>
        <v>0</v>
      </c>
      <c r="H207">
        <f>H201*0.0</f>
        <v>0</v>
      </c>
      <c r="I207">
        <f>I201*-0.019</f>
        <v>0</v>
      </c>
      <c r="J207">
        <f>J201*-160.41299999999998</f>
        <v>0</v>
      </c>
      <c r="K207">
        <f>K201*120.309</f>
        <v>0</v>
      </c>
      <c r="L207">
        <f>L201*40.146</f>
        <v>0</v>
      </c>
      <c r="M207">
        <f>M201*-129.148</f>
        <v>0</v>
      </c>
      <c r="N207">
        <f>E207+F207+G207+H207+I207+J207+K207+L207</f>
        <v>0</v>
      </c>
    </row>
    <row r="208" spans="3:14">
      <c r="C208">
        <f>5.0</f>
        <v>0</v>
      </c>
      <c r="D208">
        <f>5.0</f>
        <v>0</v>
      </c>
      <c r="E208">
        <f>E201*-28.55</f>
        <v>0</v>
      </c>
      <c r="F208">
        <f>F201*-76.50399999999999</f>
        <v>0</v>
      </c>
      <c r="G208">
        <f>G201*-11.548</f>
        <v>0</v>
      </c>
      <c r="H208">
        <f>H201*0.0</f>
        <v>0</v>
      </c>
      <c r="I208">
        <f>I201*-0.019</f>
        <v>0</v>
      </c>
      <c r="J208">
        <f>J201*282.431</f>
        <v>0</v>
      </c>
      <c r="K208">
        <f>K201*-211.82299999999998</f>
        <v>0</v>
      </c>
      <c r="L208">
        <f>L201*56.718999999999994</f>
        <v>0</v>
      </c>
      <c r="M208">
        <f>M201*-152.03</f>
        <v>0</v>
      </c>
      <c r="N208">
        <f>E208+F208+G208+H208+I208+J208+K208+L208</f>
        <v>0</v>
      </c>
    </row>
    <row r="209" spans="3:14">
      <c r="C209">
        <f>6.0</f>
        <v>0</v>
      </c>
      <c r="D209">
        <f>6.0</f>
        <v>0</v>
      </c>
      <c r="E209">
        <f>E201*-2.415</f>
        <v>0</v>
      </c>
      <c r="F209">
        <f>F201*-66.38600000000001</f>
        <v>0</v>
      </c>
      <c r="G209">
        <f>G201*-9.902999999999999</f>
        <v>0</v>
      </c>
      <c r="H209">
        <f>H201*0.0</f>
        <v>0</v>
      </c>
      <c r="I209">
        <f>I201*-0.019</f>
        <v>0</v>
      </c>
      <c r="J209">
        <f>J201*203.112</f>
        <v>0</v>
      </c>
      <c r="K209">
        <f>K201*-152.334</f>
        <v>0</v>
      </c>
      <c r="L209">
        <f>L201*32.117</f>
        <v>0</v>
      </c>
      <c r="M209">
        <f>M201*-133.458</f>
        <v>0</v>
      </c>
      <c r="N209">
        <f>E209+F209+G209+H209+I209+J209+K209+L209</f>
        <v>0</v>
      </c>
    </row>
    <row r="210" spans="3:14">
      <c r="C210">
        <f>7.0</f>
        <v>0</v>
      </c>
      <c r="D210">
        <f>7.0</f>
        <v>0</v>
      </c>
      <c r="E210">
        <f>E201*-6.155</f>
        <v>0</v>
      </c>
      <c r="F210">
        <f>F201*-45.73</f>
        <v>0</v>
      </c>
      <c r="G210">
        <f>G201*-6.586</f>
        <v>0</v>
      </c>
      <c r="H210">
        <f>H201*0.0</f>
        <v>0</v>
      </c>
      <c r="I210">
        <f>I201*-0.02</f>
        <v>0</v>
      </c>
      <c r="J210">
        <f>J201*83.31200000000001</f>
        <v>0</v>
      </c>
      <c r="K210">
        <f>K201*-62.483999999999995</f>
        <v>0</v>
      </c>
      <c r="L210">
        <f>L201*29.987</f>
        <v>0</v>
      </c>
      <c r="M210">
        <f>M201*-100.145</f>
        <v>0</v>
      </c>
      <c r="N210">
        <f>E210+F210+G210+H210+I210+J210+K210+L210</f>
        <v>0</v>
      </c>
    </row>
    <row r="211" spans="3:14">
      <c r="C211">
        <f>8.0</f>
        <v>0</v>
      </c>
      <c r="D211">
        <f>8.0</f>
        <v>0</v>
      </c>
      <c r="E211">
        <f>E201*-9.887</f>
        <v>0</v>
      </c>
      <c r="F211">
        <f>F201*-25.85</f>
        <v>0</v>
      </c>
      <c r="G211">
        <f>G201*-3.378</f>
        <v>0</v>
      </c>
      <c r="H211">
        <f>H201*0.0</f>
        <v>0</v>
      </c>
      <c r="I211">
        <f>I201*-0.02</f>
        <v>0</v>
      </c>
      <c r="J211">
        <f>J201*-31.401999999999997</f>
        <v>0</v>
      </c>
      <c r="K211">
        <f>K201*23.552</f>
        <v>0</v>
      </c>
      <c r="L211">
        <f>L201*40.143</f>
        <v>0</v>
      </c>
      <c r="M211">
        <f>M201*-75.777</f>
        <v>0</v>
      </c>
      <c r="N211">
        <f>E211+F211+G211+H211+I211+J211+K211+L211</f>
        <v>0</v>
      </c>
    </row>
    <row r="212" spans="3:14">
      <c r="C212">
        <f>9.0</f>
        <v>0</v>
      </c>
      <c r="D212">
        <f>9.0</f>
        <v>0</v>
      </c>
      <c r="E212">
        <f>E201*-16.267</f>
        <v>0</v>
      </c>
      <c r="F212">
        <f>F201*6.34</f>
        <v>0</v>
      </c>
      <c r="G212">
        <f>G201*1.9509999999999998</f>
        <v>0</v>
      </c>
      <c r="H212">
        <f>H201*0.0</f>
        <v>0</v>
      </c>
      <c r="I212">
        <f>I201*-0.021</f>
        <v>0</v>
      </c>
      <c r="J212">
        <f>J201*-126.546</f>
        <v>0</v>
      </c>
      <c r="K212">
        <f>K201*94.91</f>
        <v>0</v>
      </c>
      <c r="L212">
        <f>L201*72.132</f>
        <v>0</v>
      </c>
      <c r="M212">
        <f>M201*-59.441</f>
        <v>0</v>
      </c>
      <c r="N212">
        <f>E212+F212+G212+H212+I212+J212+K212+L212</f>
        <v>0</v>
      </c>
    </row>
    <row r="213" spans="3:14">
      <c r="C213">
        <f>10.0</f>
        <v>0</v>
      </c>
      <c r="D213">
        <f>10.0</f>
        <v>0</v>
      </c>
      <c r="E213">
        <f>E201*-20.646</f>
        <v>0</v>
      </c>
      <c r="F213">
        <f>F201*17.444000000000003</f>
        <v>0</v>
      </c>
      <c r="G213">
        <f>G201*3.84</f>
        <v>0</v>
      </c>
      <c r="H213">
        <f>H201*0.0</f>
        <v>0</v>
      </c>
      <c r="I213">
        <f>I201*-0.021</f>
        <v>0</v>
      </c>
      <c r="J213">
        <f>J201*204.373</f>
        <v>0</v>
      </c>
      <c r="K213">
        <f>K201*-153.279</f>
        <v>0</v>
      </c>
      <c r="L213">
        <f>L201*95.052</f>
        <v>0</v>
      </c>
      <c r="M213">
        <f>M201*-104.686</f>
        <v>0</v>
      </c>
      <c r="N213">
        <f>E213+F213+G213+H213+I213+J213+K213+L213</f>
        <v>0</v>
      </c>
    </row>
    <row r="214" spans="3:14">
      <c r="C214">
        <f>11.0</f>
        <v>0</v>
      </c>
      <c r="D214">
        <f>11.0</f>
        <v>0</v>
      </c>
      <c r="E214">
        <f>E201*16.0</f>
        <v>0</v>
      </c>
      <c r="F214">
        <f>F201*23.49</f>
        <v>0</v>
      </c>
      <c r="G214">
        <f>G201*2.6430000000000002</f>
        <v>0</v>
      </c>
      <c r="H214">
        <f>H201*0.0</f>
        <v>0</v>
      </c>
      <c r="I214">
        <f>I201*-0.022000000000000002</f>
        <v>0</v>
      </c>
      <c r="J214">
        <f>J201*144.971</f>
        <v>0</v>
      </c>
      <c r="K214">
        <f>K201*-108.728</f>
        <v>0</v>
      </c>
      <c r="L214">
        <f>L201*77.962</f>
        <v>0</v>
      </c>
      <c r="M214">
        <f>M201*-71.36399999999999</f>
        <v>0</v>
      </c>
      <c r="N214">
        <f>E214+F214+G214+H214+I214+J214+K214+L214</f>
        <v>0</v>
      </c>
    </row>
    <row r="215" spans="3:14">
      <c r="C215">
        <f>12.0</f>
        <v>0</v>
      </c>
      <c r="D215">
        <f>12.0</f>
        <v>0</v>
      </c>
      <c r="E215">
        <f>E201*9.027000000000001</f>
        <v>0</v>
      </c>
      <c r="F215">
        <f>F201*42.321000000000005</f>
        <v>0</v>
      </c>
      <c r="G215">
        <f>G201*5.857</f>
        <v>0</v>
      </c>
      <c r="H215">
        <f>H201*0.0</f>
        <v>0</v>
      </c>
      <c r="I215">
        <f>I201*-0.021</f>
        <v>0</v>
      </c>
      <c r="J215">
        <f>J201*56.206</f>
        <v>0</v>
      </c>
      <c r="K215">
        <f>K201*-42.153999999999996</f>
        <v>0</v>
      </c>
      <c r="L215">
        <f>L201*75.262</f>
        <v>0</v>
      </c>
      <c r="M215">
        <f>M201*-35.391</f>
        <v>0</v>
      </c>
      <c r="N215">
        <f>E215+F215+G215+H215+I215+J215+K215+L215</f>
        <v>0</v>
      </c>
    </row>
    <row r="216" spans="3:14">
      <c r="C216">
        <f>13.0</f>
        <v>0</v>
      </c>
      <c r="D216">
        <f>13.0</f>
        <v>0</v>
      </c>
      <c r="E216">
        <f>E201*4.129</f>
        <v>0</v>
      </c>
      <c r="F216">
        <f>F201*58.593</f>
        <v>0</v>
      </c>
      <c r="G216">
        <f>G201*8.661</f>
        <v>0</v>
      </c>
      <c r="H216">
        <f>H201*0.0</f>
        <v>0</v>
      </c>
      <c r="I216">
        <f>I201*-0.02</f>
        <v>0</v>
      </c>
      <c r="J216">
        <f>J201*-37.23</f>
        <v>0</v>
      </c>
      <c r="K216">
        <f>K201*27.921999999999997</f>
        <v>0</v>
      </c>
      <c r="L216">
        <f>L201*93.43</f>
        <v>0</v>
      </c>
      <c r="M216">
        <f>M201*-24.145</f>
        <v>0</v>
      </c>
      <c r="N216">
        <f>E216+F216+G216+H216+I216+J216+K216+L216</f>
        <v>0</v>
      </c>
    </row>
    <row r="217" spans="3:14">
      <c r="C217">
        <f>14.0</f>
        <v>0</v>
      </c>
      <c r="D217">
        <f>14.0</f>
        <v>0</v>
      </c>
      <c r="E217">
        <f>E201*-5.235</f>
        <v>0</v>
      </c>
      <c r="F217">
        <f>F201*72.902</f>
        <v>0</v>
      </c>
      <c r="G217">
        <f>G201*11.241</f>
        <v>0</v>
      </c>
      <c r="H217">
        <f>H201*0.0</f>
        <v>0</v>
      </c>
      <c r="I217">
        <f>I201*-0.017</f>
        <v>0</v>
      </c>
      <c r="J217">
        <f>J201*-133.121</f>
        <v>0</v>
      </c>
      <c r="K217">
        <f>K201*99.84100000000001</f>
        <v>0</v>
      </c>
      <c r="L217">
        <f>L201*127.199</f>
        <v>0</v>
      </c>
      <c r="M217">
        <f>M201*-24.098000000000003</f>
        <v>0</v>
      </c>
      <c r="N217">
        <f>E217+F217+G217+H217+I217+J217+K217+L217</f>
        <v>0</v>
      </c>
    </row>
    <row r="218" spans="3:14">
      <c r="C218">
        <f>15.0</f>
        <v>0</v>
      </c>
      <c r="D218">
        <f>15.0</f>
        <v>0</v>
      </c>
      <c r="E218">
        <f>E201*29.08</f>
        <v>0</v>
      </c>
      <c r="F218">
        <f>F201*88.883</f>
        <v>0</v>
      </c>
      <c r="G218">
        <f>G201*12.415</f>
        <v>0</v>
      </c>
      <c r="H218">
        <f>H201*0.0</f>
        <v>0</v>
      </c>
      <c r="I218">
        <f>I201*-0.033</f>
        <v>0</v>
      </c>
      <c r="J218">
        <f>J201*241.055</f>
        <v>0</v>
      </c>
      <c r="K218">
        <f>K201*-180.791</f>
        <v>0</v>
      </c>
      <c r="L218">
        <f>L201*145.024</f>
        <v>0</v>
      </c>
      <c r="M218">
        <f>M201*-44.806000000000004</f>
        <v>0</v>
      </c>
      <c r="N218">
        <f>E218+F218+G218+H218+I218+J218+K218+L218</f>
        <v>0</v>
      </c>
    </row>
    <row r="219" spans="3:14">
      <c r="C219">
        <f>15.91</f>
        <v>0</v>
      </c>
      <c r="D219">
        <f>15.91</f>
        <v>0</v>
      </c>
      <c r="E219">
        <f>E201*24.947</f>
        <v>0</v>
      </c>
      <c r="F219">
        <f>F201*95.052</f>
        <v>0</v>
      </c>
      <c r="G219">
        <f>G201*12.700999999999999</f>
        <v>0</v>
      </c>
      <c r="H219">
        <f>H201*0.0</f>
        <v>0</v>
      </c>
      <c r="I219">
        <f>I201*-0.028999999999999998</f>
        <v>0</v>
      </c>
      <c r="J219">
        <f>J201*177.765</f>
        <v>0</v>
      </c>
      <c r="K219">
        <f>K201*-133.32399999999998</f>
        <v>0</v>
      </c>
      <c r="L219">
        <f>L201*121.316</f>
        <v>0</v>
      </c>
      <c r="M219">
        <f>M201*-26.883000000000003</f>
        <v>0</v>
      </c>
      <c r="N219">
        <f>E219+F219+G219+H219+I219+J219+K219+L219</f>
        <v>0</v>
      </c>
    </row>
    <row r="220" spans="3:14">
      <c r="C220">
        <f>16.82</f>
        <v>0</v>
      </c>
      <c r="D220">
        <f>16.82</f>
        <v>0</v>
      </c>
      <c r="E220">
        <f>E201*18.035999999999998</f>
        <v>0</v>
      </c>
      <c r="F220">
        <f>F201*95.15799999999999</f>
        <v>0</v>
      </c>
      <c r="G220">
        <f>G201*12.987</f>
        <v>0</v>
      </c>
      <c r="H220">
        <f>H201*0.0</f>
        <v>0</v>
      </c>
      <c r="I220">
        <f>I201*-0.021</f>
        <v>0</v>
      </c>
      <c r="J220">
        <f>J201*68.408</f>
        <v>0</v>
      </c>
      <c r="K220">
        <f>K201*-51.306000000000004</f>
        <v>0</v>
      </c>
      <c r="L220">
        <f>L201*123.86399999999999</f>
        <v>0</v>
      </c>
      <c r="M220">
        <f>M201*-8.962</f>
        <v>0</v>
      </c>
      <c r="N220">
        <f>E220+F220+G220+H220+I220+J220+K220+L220</f>
        <v>0</v>
      </c>
    </row>
    <row r="221" spans="3:14">
      <c r="C221">
        <f>17.73</f>
        <v>0</v>
      </c>
      <c r="D221">
        <f>17.73</f>
        <v>0</v>
      </c>
      <c r="E221">
        <f>E201*12.203</f>
        <v>0</v>
      </c>
      <c r="F221">
        <f>F201*88.295</f>
        <v>0</v>
      </c>
      <c r="G221">
        <f>G201*12.462</f>
        <v>0</v>
      </c>
      <c r="H221">
        <f>H201*0.0</f>
        <v>0</v>
      </c>
      <c r="I221">
        <f>I201*-0.012</f>
        <v>0</v>
      </c>
      <c r="J221">
        <f>J201*-91.678</f>
        <v>0</v>
      </c>
      <c r="K221">
        <f>K201*68.759</f>
        <v>0</v>
      </c>
      <c r="L221">
        <f>L201*122.647</f>
        <v>0</v>
      </c>
      <c r="M221">
        <f>M201*-17.581</f>
        <v>0</v>
      </c>
      <c r="N221">
        <f>E221+F221+G221+H221+I221+J221+K221+L221</f>
        <v>0</v>
      </c>
    </row>
    <row r="222" spans="3:14">
      <c r="C222">
        <f>18.64</f>
        <v>0</v>
      </c>
      <c r="D222">
        <f>18.64</f>
        <v>0</v>
      </c>
      <c r="E222">
        <f>E201*4.662</f>
        <v>0</v>
      </c>
      <c r="F222">
        <f>F201*64.753</f>
        <v>0</v>
      </c>
      <c r="G222">
        <f>G201*9.636000000000001</f>
        <v>0</v>
      </c>
      <c r="H222">
        <f>H201*0.0</f>
        <v>0</v>
      </c>
      <c r="I222">
        <f>I201*0.027999999999999997</f>
        <v>0</v>
      </c>
      <c r="J222">
        <f>J201*-269.455</f>
        <v>0</v>
      </c>
      <c r="K222">
        <f>K201*202.09099999999998</f>
        <v>0</v>
      </c>
      <c r="L222">
        <f>L201*109.277</f>
        <v>0</v>
      </c>
      <c r="M222">
        <f>M201*-35.891999999999996</f>
        <v>0</v>
      </c>
      <c r="N222">
        <f>E222+F222+G222+H222+I222+J222+K222+L222</f>
        <v>0</v>
      </c>
    </row>
    <row r="223" spans="3:14">
      <c r="C223">
        <f>19.55</f>
        <v>0</v>
      </c>
      <c r="D223">
        <f>19.55</f>
        <v>0</v>
      </c>
      <c r="E223">
        <f>E201*-7.492999999999999</f>
        <v>0</v>
      </c>
      <c r="F223">
        <f>F201*36.425</f>
        <v>0</v>
      </c>
      <c r="G223">
        <f>G201*5.001</f>
        <v>0</v>
      </c>
      <c r="H223">
        <f>H201*0.0</f>
        <v>0</v>
      </c>
      <c r="I223">
        <f>I201*0.052000000000000005</f>
        <v>0</v>
      </c>
      <c r="J223">
        <f>J201*-393.974</f>
        <v>0</v>
      </c>
      <c r="K223">
        <f>K201*295.48</f>
        <v>0</v>
      </c>
      <c r="L223">
        <f>L201*96.927</f>
        <v>0</v>
      </c>
      <c r="M223">
        <f>M201*-52.508</f>
        <v>0</v>
      </c>
      <c r="N223">
        <f>E223+F223+G223+H223+I223+J223+K223+L223</f>
        <v>0</v>
      </c>
    </row>
    <row r="224" spans="3:14">
      <c r="C224">
        <f>20.0</f>
        <v>0</v>
      </c>
      <c r="D224">
        <f>20.0</f>
        <v>0</v>
      </c>
      <c r="E224">
        <f>E201*6.237</f>
        <v>0</v>
      </c>
      <c r="F224">
        <f>F201*36.425</f>
        <v>0</v>
      </c>
      <c r="G224">
        <f>G201*5.001</f>
        <v>0</v>
      </c>
      <c r="H224">
        <f>H201*0.0</f>
        <v>0</v>
      </c>
      <c r="I224">
        <f>I201*-0.017</f>
        <v>0</v>
      </c>
      <c r="J224">
        <f>J201*82.794</f>
        <v>0</v>
      </c>
      <c r="K224">
        <f>K201*-62.096000000000004</f>
        <v>0</v>
      </c>
      <c r="L224">
        <f>L201*46.897</f>
        <v>0</v>
      </c>
      <c r="M224">
        <f>M201*-13.389000000000001</f>
        <v>0</v>
      </c>
      <c r="N224">
        <f>E224+F224+G224+H224+I224+J224+K224+L224</f>
        <v>0</v>
      </c>
    </row>
    <row r="225" spans="3:14">
      <c r="C225">
        <f>20.0</f>
        <v>0</v>
      </c>
      <c r="D225">
        <f>0.0</f>
        <v>0</v>
      </c>
      <c r="E225">
        <f>E201*-6.097</f>
        <v>0</v>
      </c>
      <c r="F225">
        <f>F201*-35.099000000000004</f>
        <v>0</v>
      </c>
      <c r="G225">
        <f>G201*-4.816</f>
        <v>0</v>
      </c>
      <c r="H225">
        <f>H201*0.0</f>
        <v>0</v>
      </c>
      <c r="I225">
        <f>I201*0.09</f>
        <v>0</v>
      </c>
      <c r="J225">
        <f>J201*-83.406</f>
        <v>0</v>
      </c>
      <c r="K225">
        <f>K201*62.553999999999995</f>
        <v>0</v>
      </c>
      <c r="L225">
        <f>L201*5.645</f>
        <v>0</v>
      </c>
      <c r="M225">
        <f>M201*-43.303000000000004</f>
        <v>0</v>
      </c>
      <c r="N225">
        <f>E225+F225+G225+H225+I225+J225+K225+L225</f>
        <v>0</v>
      </c>
    </row>
    <row r="226" spans="3:14">
      <c r="C226">
        <f>20.45</f>
        <v>0</v>
      </c>
      <c r="D226">
        <f>0.45</f>
        <v>0</v>
      </c>
      <c r="E226">
        <f>E201*7.063</f>
        <v>0</v>
      </c>
      <c r="F226">
        <f>F201*-35.099000000000004</f>
        <v>0</v>
      </c>
      <c r="G226">
        <f>G201*-4.816</f>
        <v>0</v>
      </c>
      <c r="H226">
        <f>H201*0.0</f>
        <v>0</v>
      </c>
      <c r="I226">
        <f>I201*0.45399999999999996</f>
        <v>0</v>
      </c>
      <c r="J226">
        <f>J201*403.00699999999995</f>
        <v>0</v>
      </c>
      <c r="K226">
        <f>K201*-302.255</f>
        <v>0</v>
      </c>
      <c r="L226">
        <f>L201*46.211000000000006</f>
        <v>0</v>
      </c>
      <c r="M226">
        <f>M201*-67.131</f>
        <v>0</v>
      </c>
      <c r="N226">
        <f>E226+F226+G226+H226+I226+J226+K226+L226</f>
        <v>0</v>
      </c>
    </row>
    <row r="227" spans="3:14">
      <c r="C227">
        <f>21.36</f>
        <v>0</v>
      </c>
      <c r="D227">
        <f>1.36</f>
        <v>0</v>
      </c>
      <c r="E227">
        <f>E201*-4.833</f>
        <v>0</v>
      </c>
      <c r="F227">
        <f>F201*-58.058</f>
        <v>0</v>
      </c>
      <c r="G227">
        <f>G201*-8.654</f>
        <v>0</v>
      </c>
      <c r="H227">
        <f>H201*0.0</f>
        <v>0</v>
      </c>
      <c r="I227">
        <f>I201*0.49200000000000005</f>
        <v>0</v>
      </c>
      <c r="J227">
        <f>J201*277.564</f>
        <v>0</v>
      </c>
      <c r="K227">
        <f>K201*-208.173</f>
        <v>0</v>
      </c>
      <c r="L227">
        <f>L201*32.292</f>
        <v>0</v>
      </c>
      <c r="M227">
        <f>M201*-102.85</f>
        <v>0</v>
      </c>
      <c r="N227">
        <f>E227+F227+G227+H227+I227+J227+K227+L227</f>
        <v>0</v>
      </c>
    </row>
    <row r="228" spans="3:14">
      <c r="C228">
        <f>22.27</f>
        <v>0</v>
      </c>
      <c r="D228">
        <f>2.27</f>
        <v>0</v>
      </c>
      <c r="E228">
        <f>E201*-12.199000000000002</f>
        <v>0</v>
      </c>
      <c r="F228">
        <f>F201*-80.7</f>
        <v>0</v>
      </c>
      <c r="G228">
        <f>G201*-11.360999999999999</f>
        <v>0</v>
      </c>
      <c r="H228">
        <f>H201*0.0</f>
        <v>0</v>
      </c>
      <c r="I228">
        <f>I201*0.685</f>
        <v>0</v>
      </c>
      <c r="J228">
        <f>J201*98.164</f>
        <v>0</v>
      </c>
      <c r="K228">
        <f>K201*-73.623</f>
        <v>0</v>
      </c>
      <c r="L228">
        <f>L201*14.639000000000001</f>
        <v>0</v>
      </c>
      <c r="M228">
        <f>M201*-118.219</f>
        <v>0</v>
      </c>
      <c r="N228">
        <f>E228+F228+G228+H228+I228+J228+K228+L228</f>
        <v>0</v>
      </c>
    </row>
    <row r="229" spans="3:14">
      <c r="C229">
        <f>23.18</f>
        <v>0</v>
      </c>
      <c r="D229">
        <f>3.18</f>
        <v>0</v>
      </c>
      <c r="E229">
        <f>E201*-17.89</f>
        <v>0</v>
      </c>
      <c r="F229">
        <f>F201*-87.352</f>
        <v>0</v>
      </c>
      <c r="G229">
        <f>G201*-11.864</f>
        <v>0</v>
      </c>
      <c r="H229">
        <f>H201*0.0</f>
        <v>0</v>
      </c>
      <c r="I229">
        <f>I201*0.9990000000000001</f>
        <v>0</v>
      </c>
      <c r="J229">
        <f>J201*-64.285</f>
        <v>0</v>
      </c>
      <c r="K229">
        <f>K201*48.213</f>
        <v>0</v>
      </c>
      <c r="L229">
        <f>L201*10.69</f>
        <v>0</v>
      </c>
      <c r="M229">
        <f>M201*-119.211</f>
        <v>0</v>
      </c>
      <c r="N229">
        <f>E229+F229+G229+H229+I229+J229+K229+L229</f>
        <v>0</v>
      </c>
    </row>
    <row r="230" spans="3:14">
      <c r="C230">
        <f>24.09</f>
        <v>0</v>
      </c>
      <c r="D230">
        <f>4.09</f>
        <v>0</v>
      </c>
      <c r="E230">
        <f>E201*-24.648000000000003</f>
        <v>0</v>
      </c>
      <c r="F230">
        <f>F201*-87.309</f>
        <v>0</v>
      </c>
      <c r="G230">
        <f>G201*-11.594000000000001</f>
        <v>0</v>
      </c>
      <c r="H230">
        <f>H201*0.0</f>
        <v>0</v>
      </c>
      <c r="I230">
        <f>I201*1.399</f>
        <v>0</v>
      </c>
      <c r="J230">
        <f>J201*-175.632</f>
        <v>0</v>
      </c>
      <c r="K230">
        <f>K201*131.724</f>
        <v>0</v>
      </c>
      <c r="L230">
        <f>L201*27.205</f>
        <v>0</v>
      </c>
      <c r="M230">
        <f>M201*-114.117</f>
        <v>0</v>
      </c>
      <c r="N230">
        <f>E230+F230+G230+H230+I230+J230+K230+L230</f>
        <v>0</v>
      </c>
    </row>
    <row r="231" spans="3:14">
      <c r="C231">
        <f>25.0</f>
        <v>0</v>
      </c>
      <c r="D231">
        <f>5.0</f>
        <v>0</v>
      </c>
      <c r="E231">
        <f>E201*-28.706</f>
        <v>0</v>
      </c>
      <c r="F231">
        <f>F201*-81.53699999999999</f>
        <v>0</v>
      </c>
      <c r="G231">
        <f>G201*-10.997</f>
        <v>0</v>
      </c>
      <c r="H231">
        <f>H201*0.0</f>
        <v>0</v>
      </c>
      <c r="I231">
        <f>I201*1.62</f>
        <v>0</v>
      </c>
      <c r="J231">
        <f>J201*-239.984</f>
        <v>0</v>
      </c>
      <c r="K231">
        <f>K201*179.988</f>
        <v>0</v>
      </c>
      <c r="L231">
        <f>L201*43.107</f>
        <v>0</v>
      </c>
      <c r="M231">
        <f>M201*-146.659</f>
        <v>0</v>
      </c>
      <c r="N231">
        <f>E231+F231+G231+H231+I231+J231+K231+L231</f>
        <v>0</v>
      </c>
    </row>
    <row r="232" spans="3:14">
      <c r="C232">
        <f>26.0</f>
        <v>0</v>
      </c>
      <c r="D232">
        <f>6.0</f>
        <v>0</v>
      </c>
      <c r="E232">
        <f>E201*5.185</f>
        <v>0</v>
      </c>
      <c r="F232">
        <f>F201*-63.428999999999995</f>
        <v>0</v>
      </c>
      <c r="G232">
        <f>G201*-9.871</f>
        <v>0</v>
      </c>
      <c r="H232">
        <f>H201*0.0</f>
        <v>0</v>
      </c>
      <c r="I232">
        <f>I201*1.6</f>
        <v>0</v>
      </c>
      <c r="J232">
        <f>J201*140.516</f>
        <v>0</v>
      </c>
      <c r="K232">
        <f>K201*-105.387</f>
        <v>0</v>
      </c>
      <c r="L232">
        <f>L201*21.145</f>
        <v>0</v>
      </c>
      <c r="M232">
        <f>M201*-118.363</f>
        <v>0</v>
      </c>
      <c r="N232">
        <f>E232+F232+G232+H232+I232+J232+K232+L232</f>
        <v>0</v>
      </c>
    </row>
    <row r="233" spans="3:14">
      <c r="C233">
        <f>27.0</f>
        <v>0</v>
      </c>
      <c r="D233">
        <f>7.0</f>
        <v>0</v>
      </c>
      <c r="E233">
        <f>E201*-4.14</f>
        <v>0</v>
      </c>
      <c r="F233">
        <f>F201*-49.583</f>
        <v>0</v>
      </c>
      <c r="G233">
        <f>G201*-7.3629999999999995</f>
        <v>0</v>
      </c>
      <c r="H233">
        <f>H201*0.0</f>
        <v>0</v>
      </c>
      <c r="I233">
        <f>I201*2.141</f>
        <v>0</v>
      </c>
      <c r="J233">
        <f>J201*43.68899999999999</f>
        <v>0</v>
      </c>
      <c r="K233">
        <f>K201*-32.766999999999996</f>
        <v>0</v>
      </c>
      <c r="L233">
        <f>L201*14.402999999999999</f>
        <v>0</v>
      </c>
      <c r="M233">
        <f>M201*-87.26</f>
        <v>0</v>
      </c>
      <c r="N233">
        <f>E233+F233+G233+H233+I233+J233+K233+L233</f>
        <v>0</v>
      </c>
    </row>
    <row r="234" spans="3:14">
      <c r="C234">
        <f>28.0</f>
        <v>0</v>
      </c>
      <c r="D234">
        <f>8.0</f>
        <v>0</v>
      </c>
      <c r="E234">
        <f>E201*-9.216000000000001</f>
        <v>0</v>
      </c>
      <c r="F234">
        <f>F201*-33.548</f>
        <v>0</v>
      </c>
      <c r="G234">
        <f>G201*-4.588</f>
        <v>0</v>
      </c>
      <c r="H234">
        <f>H201*0.0</f>
        <v>0</v>
      </c>
      <c r="I234">
        <f>I201*2.685</f>
        <v>0</v>
      </c>
      <c r="J234">
        <f>J201*-47.214</f>
        <v>0</v>
      </c>
      <c r="K234">
        <f>K201*35.411</f>
        <v>0</v>
      </c>
      <c r="L234">
        <f>L201*22.357</f>
        <v>0</v>
      </c>
      <c r="M234">
        <f>M201*-58.64</f>
        <v>0</v>
      </c>
      <c r="N234">
        <f>E234+F234+G234+H234+I234+J234+K234+L234</f>
        <v>0</v>
      </c>
    </row>
    <row r="235" spans="3:14">
      <c r="C235">
        <f>29.0</f>
        <v>0</v>
      </c>
      <c r="D235">
        <f>9.0</f>
        <v>0</v>
      </c>
      <c r="E235">
        <f>E201*-16.598</f>
        <v>0</v>
      </c>
      <c r="F235">
        <f>F201*-14.774000000000001</f>
        <v>0</v>
      </c>
      <c r="G235">
        <f>G201*-1.3619999999999999</f>
        <v>0</v>
      </c>
      <c r="H235">
        <f>H201*0.0</f>
        <v>0</v>
      </c>
      <c r="I235">
        <f>I201*3.24</f>
        <v>0</v>
      </c>
      <c r="J235">
        <f>J201*-130.62</f>
        <v>0</v>
      </c>
      <c r="K235">
        <f>K201*97.965</f>
        <v>0</v>
      </c>
      <c r="L235">
        <f>L201*60.955</f>
        <v>0</v>
      </c>
      <c r="M235">
        <f>M201*-46.927</f>
        <v>0</v>
      </c>
      <c r="N235">
        <f>E235+F235+G235+H235+I235+J235+K235+L235</f>
        <v>0</v>
      </c>
    </row>
    <row r="236" spans="3:14">
      <c r="C236">
        <f>30.0</f>
        <v>0</v>
      </c>
      <c r="D236">
        <f>10.0</f>
        <v>0</v>
      </c>
      <c r="E236">
        <f>E201*-21.394000000000002</f>
        <v>0</v>
      </c>
      <c r="F236">
        <f>F201*-8.168</f>
        <v>0</v>
      </c>
      <c r="G236">
        <f>G201*-2.5340000000000003</f>
        <v>0</v>
      </c>
      <c r="H236">
        <f>H201*0.0</f>
        <v>0</v>
      </c>
      <c r="I236">
        <f>I201*3.8810000000000002</f>
        <v>0</v>
      </c>
      <c r="J236">
        <f>J201*190.15400000000002</f>
        <v>0</v>
      </c>
      <c r="K236">
        <f>K201*-142.615</f>
        <v>0</v>
      </c>
      <c r="L236">
        <f>L201*87.162</f>
        <v>0</v>
      </c>
      <c r="M236">
        <f>M201*-88.45700000000001</f>
        <v>0</v>
      </c>
      <c r="N236">
        <f>E236+F236+G236+H236+I236+J236+K236+L236</f>
        <v>0</v>
      </c>
    </row>
    <row r="237" spans="3:14">
      <c r="C237">
        <f>31.0</f>
        <v>0</v>
      </c>
      <c r="D237">
        <f>11.0</f>
        <v>0</v>
      </c>
      <c r="E237">
        <f>E201*16.051</f>
        <v>0</v>
      </c>
      <c r="F237">
        <f>F201*14.192</f>
        <v>0</v>
      </c>
      <c r="G237">
        <f>G201*1.2990000000000002</f>
        <v>0</v>
      </c>
      <c r="H237">
        <f>H201*0.0</f>
        <v>0</v>
      </c>
      <c r="I237">
        <f>I201*4.012</f>
        <v>0</v>
      </c>
      <c r="J237">
        <f>J201*134.85</f>
        <v>0</v>
      </c>
      <c r="K237">
        <f>K201*-101.13799999999999</f>
        <v>0</v>
      </c>
      <c r="L237">
        <f>L201*46.556000000000004</f>
        <v>0</v>
      </c>
      <c r="M237">
        <f>M201*-61.867</f>
        <v>0</v>
      </c>
      <c r="N237">
        <f>E237+F237+G237+H237+I237+J237+K237+L237</f>
        <v>0</v>
      </c>
    </row>
    <row r="238" spans="3:14">
      <c r="C238">
        <f>32.0</f>
        <v>0</v>
      </c>
      <c r="D238">
        <f>12.0</f>
        <v>0</v>
      </c>
      <c r="E238">
        <f>E201*8.652000000000001</f>
        <v>0</v>
      </c>
      <c r="F238">
        <f>F201*33.909</f>
        <v>0</v>
      </c>
      <c r="G238">
        <f>G201*4.664</f>
        <v>0</v>
      </c>
      <c r="H238">
        <f>H201*0.0</f>
        <v>0</v>
      </c>
      <c r="I238">
        <f>I201*3.86</f>
        <v>0</v>
      </c>
      <c r="J238">
        <f>J201*52.2</f>
        <v>0</v>
      </c>
      <c r="K238">
        <f>K201*-39.15</f>
        <v>0</v>
      </c>
      <c r="L238">
        <f>L201*58.20399999999999</f>
        <v>0</v>
      </c>
      <c r="M238">
        <f>M201*-24.066</f>
        <v>0</v>
      </c>
      <c r="N238">
        <f>E238+F238+G238+H238+I238+J238+K238+L238</f>
        <v>0</v>
      </c>
    </row>
    <row r="239" spans="3:14">
      <c r="C239">
        <f>33.0</f>
        <v>0</v>
      </c>
      <c r="D239">
        <f>13.0</f>
        <v>0</v>
      </c>
      <c r="E239">
        <f>E201*3.55</f>
        <v>0</v>
      </c>
      <c r="F239">
        <f>F201*51.652</f>
        <v>0</v>
      </c>
      <c r="G239">
        <f>G201*7.69</f>
        <v>0</v>
      </c>
      <c r="H239">
        <f>H201*0.0</f>
        <v>0</v>
      </c>
      <c r="I239">
        <f>I201*2.873</f>
        <v>0</v>
      </c>
      <c r="J239">
        <f>J201*-36.25</f>
        <v>0</v>
      </c>
      <c r="K239">
        <f>K201*27.188000000000002</f>
        <v>0</v>
      </c>
      <c r="L239">
        <f>L201*88.355</f>
        <v>0</v>
      </c>
      <c r="M239">
        <f>M201*-16.612000000000002</f>
        <v>0</v>
      </c>
      <c r="N239">
        <f>E239+F239+G239+H239+I239+J239+K239+L239</f>
        <v>0</v>
      </c>
    </row>
    <row r="240" spans="3:14">
      <c r="C240">
        <f>34.0</f>
        <v>0</v>
      </c>
      <c r="D240">
        <f>14.0</f>
        <v>0</v>
      </c>
      <c r="E240">
        <f>E201*-5.8</f>
        <v>0</v>
      </c>
      <c r="F240">
        <f>F201*68.222</f>
        <v>0</v>
      </c>
      <c r="G240">
        <f>G201*10.599</f>
        <v>0</v>
      </c>
      <c r="H240">
        <f>H201*0.0</f>
        <v>0</v>
      </c>
      <c r="I240">
        <f>I201*-1.85</f>
        <v>0</v>
      </c>
      <c r="J240">
        <f>J201*-130.417</f>
        <v>0</v>
      </c>
      <c r="K240">
        <f>K201*97.81299999999999</f>
        <v>0</v>
      </c>
      <c r="L240">
        <f>L201*120.904</f>
        <v>0</v>
      </c>
      <c r="M240">
        <f>M201*-23.682</f>
        <v>0</v>
      </c>
      <c r="N240">
        <f>E240+F240+G240+H240+I240+J240+K240+L240</f>
        <v>0</v>
      </c>
    </row>
    <row r="241" spans="3:14">
      <c r="C241">
        <f>35.0</f>
        <v>0</v>
      </c>
      <c r="D241">
        <f>15.0</f>
        <v>0</v>
      </c>
      <c r="E241">
        <f>E201*27.983</f>
        <v>0</v>
      </c>
      <c r="F241">
        <f>F201*77.767</f>
        <v>0</v>
      </c>
      <c r="G241">
        <f>G201*11.978</f>
        <v>0</v>
      </c>
      <c r="H241">
        <f>H201*0.0</f>
        <v>0</v>
      </c>
      <c r="I241">
        <f>I201*13.265</f>
        <v>0</v>
      </c>
      <c r="J241">
        <f>J201*243.081</f>
        <v>0</v>
      </c>
      <c r="K241">
        <f>K201*-182.31</f>
        <v>0</v>
      </c>
      <c r="L241">
        <f>L201*141.106</f>
        <v>0</v>
      </c>
      <c r="M241">
        <f>M201*-43.026</f>
        <v>0</v>
      </c>
      <c r="N241">
        <f>E241+F241+G241+H241+I241+J241+K241+L241</f>
        <v>0</v>
      </c>
    </row>
    <row r="242" spans="3:14">
      <c r="C242">
        <f>35.91</f>
        <v>0</v>
      </c>
      <c r="D242">
        <f>15.91</f>
        <v>0</v>
      </c>
      <c r="E242">
        <f>E201*23.956999999999997</f>
        <v>0</v>
      </c>
      <c r="F242">
        <f>F201*87.09200000000001</f>
        <v>0</v>
      </c>
      <c r="G242">
        <f>G201*11.588</f>
        <v>0</v>
      </c>
      <c r="H242">
        <f>H201*0.0</f>
        <v>0</v>
      </c>
      <c r="I242">
        <f>I201*10.209</f>
        <v>0</v>
      </c>
      <c r="J242">
        <f>J201*180.093</f>
        <v>0</v>
      </c>
      <c r="K242">
        <f>K201*-135.07</f>
        <v>0</v>
      </c>
      <c r="L242">
        <f>L201*112.434</f>
        <v>0</v>
      </c>
      <c r="M242">
        <f>M201*-25.005</f>
        <v>0</v>
      </c>
      <c r="N242">
        <f>E242+F242+G242+H242+I242+J242+K242+L242</f>
        <v>0</v>
      </c>
    </row>
    <row r="243" spans="3:14">
      <c r="C243">
        <f>36.82</f>
        <v>0</v>
      </c>
      <c r="D243">
        <f>16.82</f>
        <v>0</v>
      </c>
      <c r="E243">
        <f>E201*17.319000000000003</f>
        <v>0</v>
      </c>
      <c r="F243">
        <f>F201*89.15700000000001</f>
        <v>0</v>
      </c>
      <c r="G243">
        <f>G201*12.387</f>
        <v>0</v>
      </c>
      <c r="H243">
        <f>H201*0.0</f>
        <v>0</v>
      </c>
      <c r="I243">
        <f>I201*4.04</f>
        <v>0</v>
      </c>
      <c r="J243">
        <f>J201*70.969</f>
        <v>0</v>
      </c>
      <c r="K243">
        <f>K201*-53.227</f>
        <v>0</v>
      </c>
      <c r="L243">
        <f>L201*119.604</f>
        <v>0</v>
      </c>
      <c r="M243">
        <f>M201*-8.786</f>
        <v>0</v>
      </c>
      <c r="N243">
        <f>E243+F243+G243+H243+I243+J243+K243+L243</f>
        <v>0</v>
      </c>
    </row>
    <row r="244" spans="3:14">
      <c r="C244">
        <f>37.73</f>
        <v>0</v>
      </c>
      <c r="D244">
        <f>17.73</f>
        <v>0</v>
      </c>
      <c r="E244">
        <f>E201*11.869000000000002</f>
        <v>0</v>
      </c>
      <c r="F244">
        <f>F201*86.132</f>
        <v>0</v>
      </c>
      <c r="G244">
        <f>G201*12.172</f>
        <v>0</v>
      </c>
      <c r="H244">
        <f>H201*0.0</f>
        <v>0</v>
      </c>
      <c r="I244">
        <f>I201*-10.251</f>
        <v>0</v>
      </c>
      <c r="J244">
        <f>J201*-89.611</f>
        <v>0</v>
      </c>
      <c r="K244">
        <f>K201*67.208</f>
        <v>0</v>
      </c>
      <c r="L244">
        <f>L201*119.139</f>
        <v>0</v>
      </c>
      <c r="M244">
        <f>M201*-13.792</f>
        <v>0</v>
      </c>
      <c r="N244">
        <f>E244+F244+G244+H244+I244+J244+K244+L244</f>
        <v>0</v>
      </c>
    </row>
    <row r="245" spans="3:14">
      <c r="C245">
        <f>38.64</f>
        <v>0</v>
      </c>
      <c r="D245">
        <f>18.64</f>
        <v>0</v>
      </c>
      <c r="E245">
        <f>E201*4.942</f>
        <v>0</v>
      </c>
      <c r="F245">
        <f>F201*68.615</f>
        <v>0</v>
      </c>
      <c r="G245">
        <f>G201*10.199</f>
        <v>0</v>
      </c>
      <c r="H245">
        <f>H201*0.0</f>
        <v>0</v>
      </c>
      <c r="I245">
        <f>I201*-32.196999999999996</f>
        <v>0</v>
      </c>
      <c r="J245">
        <f>J201*-268.522</f>
        <v>0</v>
      </c>
      <c r="K245">
        <f>K201*201.392</f>
        <v>0</v>
      </c>
      <c r="L245">
        <f>L201*104.729</f>
        <v>0</v>
      </c>
      <c r="M245">
        <f>M201*-23.475</f>
        <v>0</v>
      </c>
      <c r="N245">
        <f>E245+F245+G245+H245+I245+J245+K245+L245</f>
        <v>0</v>
      </c>
    </row>
    <row r="246" spans="3:14">
      <c r="C246">
        <f>39.55</f>
        <v>0</v>
      </c>
      <c r="D246">
        <f>19.55</f>
        <v>0</v>
      </c>
      <c r="E246">
        <f>E201*-6.212000000000001</f>
        <v>0</v>
      </c>
      <c r="F246">
        <f>F201*32.562</f>
        <v>0</v>
      </c>
      <c r="G246">
        <f>G201*5.132000000000001</f>
        <v>0</v>
      </c>
      <c r="H246">
        <f>H201*0.0</f>
        <v>0</v>
      </c>
      <c r="I246">
        <f>I201*-48.723</f>
        <v>0</v>
      </c>
      <c r="J246">
        <f>J201*-393.95</f>
        <v>0</v>
      </c>
      <c r="K246">
        <f>K201*295.46299999999997</f>
        <v>0</v>
      </c>
      <c r="L246">
        <f>L201*70.346</f>
        <v>0</v>
      </c>
      <c r="M246">
        <f>M201*-33.585</f>
        <v>0</v>
      </c>
      <c r="N246">
        <f>E246+F246+G246+H246+I246+J246+K246+L246</f>
        <v>0</v>
      </c>
    </row>
    <row r="247" spans="3:14">
      <c r="C247">
        <f>40.0</f>
        <v>0</v>
      </c>
      <c r="D247">
        <f>20.0</f>
        <v>0</v>
      </c>
      <c r="E247">
        <f>E201*5.82</f>
        <v>0</v>
      </c>
      <c r="F247">
        <f>F201*32.562</f>
        <v>0</v>
      </c>
      <c r="G247">
        <f>G201*4.454</f>
        <v>0</v>
      </c>
      <c r="H247">
        <f>H201*0.0</f>
        <v>0</v>
      </c>
      <c r="I247">
        <f>I201*12.45</f>
        <v>0</v>
      </c>
      <c r="J247">
        <f>J201*83.48899999999999</f>
        <v>0</v>
      </c>
      <c r="K247">
        <f>K201*-62.617</f>
        <v>0</v>
      </c>
      <c r="L247">
        <f>L201*43.255</f>
        <v>0</v>
      </c>
      <c r="M247">
        <f>M201*-8.597000000000001</f>
        <v>0</v>
      </c>
      <c r="N247">
        <f>E247+F247+G247+H247+I247+J247+K247+L247</f>
        <v>0</v>
      </c>
    </row>
    <row r="248" spans="3:14">
      <c r="C248">
        <f>40.0</f>
        <v>0</v>
      </c>
      <c r="D248">
        <f>0.0</f>
        <v>0</v>
      </c>
      <c r="E248">
        <f>E201*-4.591</f>
        <v>0</v>
      </c>
      <c r="F248">
        <f>F201*-16.854</f>
        <v>0</v>
      </c>
      <c r="G248">
        <f>G201*-2.19</f>
        <v>0</v>
      </c>
      <c r="H248">
        <f>H201*0.0</f>
        <v>0</v>
      </c>
      <c r="I248">
        <f>I201*-39.012</f>
        <v>0</v>
      </c>
      <c r="J248">
        <f>J201*-78.501</f>
        <v>0</v>
      </c>
      <c r="K248">
        <f>K201*58.876000000000005</f>
        <v>0</v>
      </c>
      <c r="L248">
        <f>L201*6.41</f>
        <v>0</v>
      </c>
      <c r="M248">
        <f>M201*-24.833000000000002</f>
        <v>0</v>
      </c>
      <c r="N248">
        <f>E248+F248+G248+H248+I248+J248+K248+L248</f>
        <v>0</v>
      </c>
    </row>
    <row r="249" spans="3:14">
      <c r="C249">
        <f>40.45</f>
        <v>0</v>
      </c>
      <c r="D249">
        <f>0.45</f>
        <v>0</v>
      </c>
      <c r="E249">
        <f>E201*8.627</f>
        <v>0</v>
      </c>
      <c r="F249">
        <f>F201*-16.854</f>
        <v>0</v>
      </c>
      <c r="G249">
        <f>G201*-2.19</f>
        <v>0</v>
      </c>
      <c r="H249">
        <f>H201*0.0</f>
        <v>0</v>
      </c>
      <c r="I249">
        <f>I201*-39.012</f>
        <v>0</v>
      </c>
      <c r="J249">
        <f>J201*425.041</f>
        <v>0</v>
      </c>
      <c r="K249">
        <f>K201*-318.781</f>
        <v>0</v>
      </c>
      <c r="L249">
        <f>L201*43.836000000000006</f>
        <v>0</v>
      </c>
      <c r="M249">
        <f>M201*-38.123000000000005</f>
        <v>0</v>
      </c>
      <c r="N249">
        <f>E249+F249+G249+H249+I249+J249+K249+L249</f>
        <v>0</v>
      </c>
    </row>
    <row r="250" spans="3:14">
      <c r="C250">
        <f>41.36</f>
        <v>0</v>
      </c>
      <c r="D250">
        <f>1.36</f>
        <v>0</v>
      </c>
      <c r="E250">
        <f>E201*3.097</f>
        <v>0</v>
      </c>
      <c r="F250">
        <f>F201*-7.211</f>
        <v>0</v>
      </c>
      <c r="G250">
        <f>G201*-1.2790000000000001</f>
        <v>0</v>
      </c>
      <c r="H250">
        <f>H201*0.0</f>
        <v>0</v>
      </c>
      <c r="I250">
        <f>I201*-67.641</f>
        <v>0</v>
      </c>
      <c r="J250">
        <f>J201*307.717</f>
        <v>0</v>
      </c>
      <c r="K250">
        <f>K201*-230.78799999999998</f>
        <v>0</v>
      </c>
      <c r="L250">
        <f>L201*30.915</f>
        <v>0</v>
      </c>
      <c r="M250">
        <f>M201*-44.93600000000001</f>
        <v>0</v>
      </c>
      <c r="N250">
        <f>E250+F250+G250+H250+I250+J250+K250+L250</f>
        <v>0</v>
      </c>
    </row>
    <row r="251" spans="3:14">
      <c r="C251">
        <f>42.27</f>
        <v>0</v>
      </c>
      <c r="D251">
        <f>2.27</f>
        <v>0</v>
      </c>
      <c r="E251">
        <f>E201*-6.7379999999999995</f>
        <v>0</v>
      </c>
      <c r="F251">
        <f>F201*-17.070999999999998</f>
        <v>0</v>
      </c>
      <c r="G251">
        <f>G201*-2.18</f>
        <v>0</v>
      </c>
      <c r="H251">
        <f>H201*0.0</f>
        <v>0</v>
      </c>
      <c r="I251">
        <f>I201*-87.119</f>
        <v>0</v>
      </c>
      <c r="J251">
        <f>J201*137.089</f>
        <v>0</v>
      </c>
      <c r="K251">
        <f>K201*-102.81700000000001</f>
        <v>0</v>
      </c>
      <c r="L251">
        <f>L201*13.696</f>
        <v>0</v>
      </c>
      <c r="M251">
        <f>M201*-44.957</f>
        <v>0</v>
      </c>
      <c r="N251">
        <f>E251+F251+G251+H251+I251+J251+K251+L251</f>
        <v>0</v>
      </c>
    </row>
    <row r="252" spans="3:14">
      <c r="C252">
        <f>43.18</f>
        <v>0</v>
      </c>
      <c r="D252">
        <f>3.18</f>
        <v>0</v>
      </c>
      <c r="E252">
        <f>E201*-10.484000000000002</f>
        <v>0</v>
      </c>
      <c r="F252">
        <f>F201*-18.585</f>
        <v>0</v>
      </c>
      <c r="G252">
        <f>G201*-2.211</f>
        <v>0</v>
      </c>
      <c r="H252">
        <f>H201*0.0</f>
        <v>0</v>
      </c>
      <c r="I252">
        <f>I201*-90.21700000000001</f>
        <v>0</v>
      </c>
      <c r="J252">
        <f>J201*-34.045</f>
        <v>0</v>
      </c>
      <c r="K252">
        <f>K201*25.534000000000002</f>
        <v>0</v>
      </c>
      <c r="L252">
        <f>L201*22.147</f>
        <v>0</v>
      </c>
      <c r="M252">
        <f>M201*-40.496</f>
        <v>0</v>
      </c>
      <c r="N252">
        <f>E252+F252+G252+H252+I252+J252+K252+L252</f>
        <v>0</v>
      </c>
    </row>
    <row r="253" spans="3:14">
      <c r="C253">
        <f>44.09</f>
        <v>0</v>
      </c>
      <c r="D253">
        <f>4.09</f>
        <v>0</v>
      </c>
      <c r="E253">
        <f>E201*-14.7</f>
        <v>0</v>
      </c>
      <c r="F253">
        <f>F201*-16.188</f>
        <v>0</v>
      </c>
      <c r="G253">
        <f>G201*-1.4709999999999999</f>
        <v>0</v>
      </c>
      <c r="H253">
        <f>H201*0.0</f>
        <v>0</v>
      </c>
      <c r="I253">
        <f>I201*-91.542</f>
        <v>0</v>
      </c>
      <c r="J253">
        <f>J201*-167.62599999999998</f>
        <v>0</v>
      </c>
      <c r="K253">
        <f>K201*125.72</f>
        <v>0</v>
      </c>
      <c r="L253">
        <f>L201*47.012</f>
        <v>0</v>
      </c>
      <c r="M253">
        <f>M201*-39.27</f>
        <v>0</v>
      </c>
      <c r="N253">
        <f>E253+F253+G253+H253+I253+J253+K253+L253</f>
        <v>0</v>
      </c>
    </row>
    <row r="254" spans="3:14">
      <c r="C254">
        <f>45.0</f>
        <v>0</v>
      </c>
      <c r="D254">
        <f>5.0</f>
        <v>0</v>
      </c>
      <c r="E254">
        <f>E201*-17.265</f>
        <v>0</v>
      </c>
      <c r="F254">
        <f>F201*-9.274</f>
        <v>0</v>
      </c>
      <c r="G254">
        <f>G201*-1.186</f>
        <v>0</v>
      </c>
      <c r="H254">
        <f>H201*0.0</f>
        <v>0</v>
      </c>
      <c r="I254">
        <f>I201*-93.553</f>
        <v>0</v>
      </c>
      <c r="J254">
        <f>J201*310.95599999999996</f>
        <v>0</v>
      </c>
      <c r="K254">
        <f>K201*-233.217</f>
        <v>0</v>
      </c>
      <c r="L254">
        <f>L201*64.567</f>
        <v>0</v>
      </c>
      <c r="M254">
        <f>M201*-60.785</f>
        <v>0</v>
      </c>
      <c r="N254">
        <f>E254+F254+G254+H254+I254+J254+K254+L254</f>
        <v>0</v>
      </c>
    </row>
    <row r="255" spans="3:14">
      <c r="C255">
        <f>46.0</f>
        <v>0</v>
      </c>
      <c r="D255">
        <f>6.0</f>
        <v>0</v>
      </c>
      <c r="E255">
        <f>E201*10.187000000000001</f>
        <v>0</v>
      </c>
      <c r="F255">
        <f>F201*7.6610000000000005</f>
        <v>0</v>
      </c>
      <c r="G255">
        <f>G201*0.611</f>
        <v>0</v>
      </c>
      <c r="H255">
        <f>H201*0.0</f>
        <v>0</v>
      </c>
      <c r="I255">
        <f>I201*58.753</f>
        <v>0</v>
      </c>
      <c r="J255">
        <f>J201*223.61700000000002</f>
        <v>0</v>
      </c>
      <c r="K255">
        <f>K201*-167.713</f>
        <v>0</v>
      </c>
      <c r="L255">
        <f>L201*28.186</f>
        <v>0</v>
      </c>
      <c r="M255">
        <f>M201*-41.613</f>
        <v>0</v>
      </c>
      <c r="N255">
        <f>E255+F255+G255+H255+I255+J255+K255+L255</f>
        <v>0</v>
      </c>
    </row>
    <row r="256" spans="3:14">
      <c r="C256">
        <f>47.0</f>
        <v>0</v>
      </c>
      <c r="D256">
        <f>7.0</f>
        <v>0</v>
      </c>
      <c r="E256">
        <f>E201*7.002000000000001</f>
        <v>0</v>
      </c>
      <c r="F256">
        <f>F201*16.837</f>
        <v>0</v>
      </c>
      <c r="G256">
        <f>G201*2.193</f>
        <v>0</v>
      </c>
      <c r="H256">
        <f>H201*0.0</f>
        <v>0</v>
      </c>
      <c r="I256">
        <f>I201*67.764</f>
        <v>0</v>
      </c>
      <c r="J256">
        <f>J201*78.3</f>
        <v>0</v>
      </c>
      <c r="K256">
        <f>K201*-58.725</f>
        <v>0</v>
      </c>
      <c r="L256">
        <f>L201*37.838</f>
        <v>0</v>
      </c>
      <c r="M256">
        <f>M201*-15.954</f>
        <v>0</v>
      </c>
      <c r="N256">
        <f>E256+F256+G256+H256+I256+J256+K256+L256</f>
        <v>0</v>
      </c>
    </row>
    <row r="257" spans="3:14">
      <c r="C257">
        <f>48.0</f>
        <v>0</v>
      </c>
      <c r="D257">
        <f>8.0</f>
        <v>0</v>
      </c>
      <c r="E257">
        <f>E201*5.609</f>
        <v>0</v>
      </c>
      <c r="F257">
        <f>F201*24.916999999999998</f>
        <v>0</v>
      </c>
      <c r="G257">
        <f>G201*3.535</f>
        <v>0</v>
      </c>
      <c r="H257">
        <f>H201*0.0</f>
        <v>0</v>
      </c>
      <c r="I257">
        <f>I201*75.102</f>
        <v>0</v>
      </c>
      <c r="J257">
        <f>J201*-134.46</f>
        <v>0</v>
      </c>
      <c r="K257">
        <f>K201*100.845</f>
        <v>0</v>
      </c>
      <c r="L257">
        <f>L201*53.448</f>
        <v>0</v>
      </c>
      <c r="M257">
        <f>M201*-9.013</f>
        <v>0</v>
      </c>
      <c r="N257">
        <f>E257+F257+G257+H257+I257+J257+K257+L257</f>
        <v>0</v>
      </c>
    </row>
    <row r="258" spans="3:14">
      <c r="C258">
        <f>49.0</f>
        <v>0</v>
      </c>
      <c r="D258">
        <f>9.0</f>
        <v>0</v>
      </c>
      <c r="E258">
        <f>E201*3.69</f>
        <v>0</v>
      </c>
      <c r="F258">
        <f>F201*30.851</f>
        <v>0</v>
      </c>
      <c r="G258">
        <f>G201*4.519</f>
        <v>0</v>
      </c>
      <c r="H258">
        <f>H201*0.0</f>
        <v>0</v>
      </c>
      <c r="I258">
        <f>I201*73.36</f>
        <v>0</v>
      </c>
      <c r="J258">
        <f>J201*-405.82199999999995</f>
        <v>0</v>
      </c>
      <c r="K258">
        <f>K201*304.367</f>
        <v>0</v>
      </c>
      <c r="L258">
        <f>L201*64.779</f>
        <v>0</v>
      </c>
      <c r="M258">
        <f>M201*-6.74</f>
        <v>0</v>
      </c>
      <c r="N258">
        <f>E258+F258+G258+H258+I258+J258+K258+L258</f>
        <v>0</v>
      </c>
    </row>
    <row r="259" spans="3:14">
      <c r="C259">
        <f>50.0</f>
        <v>0</v>
      </c>
      <c r="D259">
        <f>10.0</f>
        <v>0</v>
      </c>
      <c r="E259">
        <f>E201*-2.332</f>
        <v>0</v>
      </c>
      <c r="F259">
        <f>F201*21.401999999999997</f>
        <v>0</v>
      </c>
      <c r="G259">
        <f>G201*3.201</f>
        <v>0</v>
      </c>
      <c r="H259">
        <f>H201*0.0</f>
        <v>0</v>
      </c>
      <c r="I259">
        <f>I201*25.039</f>
        <v>0</v>
      </c>
      <c r="J259">
        <f>J201*-609.0269999999999</f>
        <v>0</v>
      </c>
      <c r="K259">
        <f>K201*456.77099999999996</f>
        <v>0</v>
      </c>
      <c r="L259">
        <f>L201*57.093</f>
        <v>0</v>
      </c>
      <c r="M259">
        <f>M201*-11.498</f>
        <v>0</v>
      </c>
      <c r="N259">
        <f>E259+F259+G259+H259+I259+J259+K259+L259</f>
        <v>0</v>
      </c>
    </row>
    <row r="266" spans="3:14">
      <c r="C266" t="s">
        <v>0</v>
      </c>
      <c r="D266" t="s">
        <v>1</v>
      </c>
      <c r="E266" t="s">
        <v>2</v>
      </c>
      <c r="F266" t="s">
        <v>3</v>
      </c>
      <c r="G266" t="s">
        <v>4</v>
      </c>
      <c r="H266" t="s">
        <v>5</v>
      </c>
      <c r="I266" t="s">
        <v>6</v>
      </c>
      <c r="J266" t="s">
        <v>7</v>
      </c>
      <c r="K266" t="s">
        <v>8</v>
      </c>
      <c r="L266" t="s">
        <v>9</v>
      </c>
      <c r="M266" t="s">
        <v>10</v>
      </c>
      <c r="N266" t="s">
        <v>11</v>
      </c>
    </row>
    <row r="267" spans="3:14">
      <c r="C267">
        <f>0.0</f>
        <v>0</v>
      </c>
      <c r="D267">
        <f>0.0</f>
        <v>0</v>
      </c>
      <c r="E267">
        <f>E265*-30.428</f>
        <v>0</v>
      </c>
      <c r="F267">
        <f>F265*-22.05</f>
        <v>0</v>
      </c>
      <c r="G267">
        <f>G265*-1.178</f>
        <v>0</v>
      </c>
      <c r="H267">
        <f>H265*0.0</f>
        <v>0</v>
      </c>
      <c r="I267">
        <f>I265*-0.182</f>
        <v>0</v>
      </c>
      <c r="J267">
        <f>J265*517.158</f>
        <v>0</v>
      </c>
      <c r="K267">
        <f>K265*-387.869</f>
        <v>0</v>
      </c>
      <c r="L267">
        <f>L265*446.542</f>
        <v>0</v>
      </c>
      <c r="M267">
        <f>M265*-446.04699999999997</f>
        <v>0</v>
      </c>
      <c r="N267">
        <f>E267+F267+G267+H267+I267+J267+K267+L267</f>
        <v>0</v>
      </c>
    </row>
    <row r="268" spans="3:14">
      <c r="C268">
        <f>1.0</f>
        <v>0</v>
      </c>
      <c r="D268">
        <f>1.0</f>
        <v>0</v>
      </c>
      <c r="E268">
        <f>E265*-29.75</f>
        <v>0</v>
      </c>
      <c r="F268">
        <f>F265*-40.146</f>
        <v>0</v>
      </c>
      <c r="G268">
        <f>G265*-3.989</f>
        <v>0</v>
      </c>
      <c r="H268">
        <f>H265*0.0</f>
        <v>0</v>
      </c>
      <c r="I268">
        <f>I265*-0.17600000000000002</f>
        <v>0</v>
      </c>
      <c r="J268">
        <f>J265*445.791</f>
        <v>0</v>
      </c>
      <c r="K268">
        <f>K265*-334.343</f>
        <v>0</v>
      </c>
      <c r="L268">
        <f>L265*434.282</f>
        <v>0</v>
      </c>
      <c r="M268">
        <f>M265*-431.897</f>
        <v>0</v>
      </c>
      <c r="N268">
        <f>E268+F268+G268+H268+I268+J268+K268+L268</f>
        <v>0</v>
      </c>
    </row>
    <row r="269" spans="3:14">
      <c r="C269">
        <f>2.0</f>
        <v>0</v>
      </c>
      <c r="D269">
        <f>2.0</f>
        <v>0</v>
      </c>
      <c r="E269">
        <f>E265*-27.331999999999997</f>
        <v>0</v>
      </c>
      <c r="F269">
        <f>F265*-51.901</f>
        <v>0</v>
      </c>
      <c r="G269">
        <f>G265*-5.959</f>
        <v>0</v>
      </c>
      <c r="H269">
        <f>H265*0.0</f>
        <v>0</v>
      </c>
      <c r="I269">
        <f>I265*-0.162</f>
        <v>0</v>
      </c>
      <c r="J269">
        <f>J265*242.398</f>
        <v>0</v>
      </c>
      <c r="K269">
        <f>K265*-181.798</f>
        <v>0</v>
      </c>
      <c r="L269">
        <f>L265*393.07800000000003</f>
        <v>0</v>
      </c>
      <c r="M269">
        <f>M265*-421.52099999999996</f>
        <v>0</v>
      </c>
      <c r="N269">
        <f>E269+F269+G269+H269+I269+J269+K269+L269</f>
        <v>0</v>
      </c>
    </row>
    <row r="270" spans="3:14">
      <c r="C270">
        <f>3.0</f>
        <v>0</v>
      </c>
      <c r="D270">
        <f>3.0</f>
        <v>0</v>
      </c>
      <c r="E270">
        <f>E265*-23.05</f>
        <v>0</v>
      </c>
      <c r="F270">
        <f>F265*-70.393</f>
        <v>0</v>
      </c>
      <c r="G270">
        <f>G265*-8.988999999999999</f>
        <v>0</v>
      </c>
      <c r="H270">
        <f>H265*0.0</f>
        <v>0</v>
      </c>
      <c r="I270">
        <f>I265*-0.15</f>
        <v>0</v>
      </c>
      <c r="J270">
        <f>J265*145.821</f>
        <v>0</v>
      </c>
      <c r="K270">
        <f>K265*-109.366</f>
        <v>0</v>
      </c>
      <c r="L270">
        <f>L265*362.565</f>
        <v>0</v>
      </c>
      <c r="M270">
        <f>M265*-429.99</f>
        <v>0</v>
      </c>
      <c r="N270">
        <f>E270+F270+G270+H270+I270+J270+K270+L270</f>
        <v>0</v>
      </c>
    </row>
    <row r="271" spans="3:14">
      <c r="C271">
        <f>4.0</f>
        <v>0</v>
      </c>
      <c r="D271">
        <f>4.0</f>
        <v>0</v>
      </c>
      <c r="E271">
        <f>E265*-17.545</f>
        <v>0</v>
      </c>
      <c r="F271">
        <f>F265*-90.499</f>
        <v>0</v>
      </c>
      <c r="G271">
        <f>G265*-12.335</f>
        <v>0</v>
      </c>
      <c r="H271">
        <f>H265*0.0</f>
        <v>0</v>
      </c>
      <c r="I271">
        <f>I265*-0.14</f>
        <v>0</v>
      </c>
      <c r="J271">
        <f>J265*159.332</f>
        <v>0</v>
      </c>
      <c r="K271">
        <f>K265*-119.499</f>
        <v>0</v>
      </c>
      <c r="L271">
        <f>L265*341.565</f>
        <v>0</v>
      </c>
      <c r="M271">
        <f>M265*-440.44</f>
        <v>0</v>
      </c>
      <c r="N271">
        <f>E271+F271+G271+H271+I271+J271+K271+L271</f>
        <v>0</v>
      </c>
    </row>
    <row r="272" spans="3:14">
      <c r="C272">
        <f>5.0</f>
        <v>0</v>
      </c>
      <c r="D272">
        <f>5.0</f>
        <v>0</v>
      </c>
      <c r="E272">
        <f>E265*-12.415</f>
        <v>0</v>
      </c>
      <c r="F272">
        <f>F265*-88.11</f>
        <v>0</v>
      </c>
      <c r="G272">
        <f>G265*-12.288</f>
        <v>0</v>
      </c>
      <c r="H272">
        <f>H265*0.0</f>
        <v>0</v>
      </c>
      <c r="I272">
        <f>I265*-0.129</f>
        <v>0</v>
      </c>
      <c r="J272">
        <f>J265*161.852</f>
        <v>0</v>
      </c>
      <c r="K272">
        <f>K265*-121.389</f>
        <v>0</v>
      </c>
      <c r="L272">
        <f>L265*319.96</f>
        <v>0</v>
      </c>
      <c r="M272">
        <f>M265*-433.264</f>
        <v>0</v>
      </c>
      <c r="N272">
        <f>E272+F272+G272+H272+I272+J272+K272+L272</f>
        <v>0</v>
      </c>
    </row>
    <row r="273" spans="3:14">
      <c r="C273">
        <f>6.0</f>
        <v>0</v>
      </c>
      <c r="D273">
        <f>6.0</f>
        <v>0</v>
      </c>
      <c r="E273">
        <f>E265*-11.088</f>
        <v>0</v>
      </c>
      <c r="F273">
        <f>F265*-87.943</f>
        <v>0</v>
      </c>
      <c r="G273">
        <f>G265*-12.318</f>
        <v>0</v>
      </c>
      <c r="H273">
        <f>H265*0.0</f>
        <v>0</v>
      </c>
      <c r="I273">
        <f>I265*-0.121</f>
        <v>0</v>
      </c>
      <c r="J273">
        <f>J265*136.708</f>
        <v>0</v>
      </c>
      <c r="K273">
        <f>K265*-102.531</f>
        <v>0</v>
      </c>
      <c r="L273">
        <f>L265*310.935</f>
        <v>0</v>
      </c>
      <c r="M273">
        <f>M265*-414.35400000000004</f>
        <v>0</v>
      </c>
      <c r="N273">
        <f>E273+F273+G273+H273+I273+J273+K273+L273</f>
        <v>0</v>
      </c>
    </row>
    <row r="274" spans="3:14">
      <c r="C274">
        <f>7.0</f>
        <v>0</v>
      </c>
      <c r="D274">
        <f>7.0</f>
        <v>0</v>
      </c>
      <c r="E274">
        <f>E265*-11.649000000000001</f>
        <v>0</v>
      </c>
      <c r="F274">
        <f>F265*-93.566</f>
        <v>0</v>
      </c>
      <c r="G274">
        <f>G265*-13.116</f>
        <v>0</v>
      </c>
      <c r="H274">
        <f>H265*0.0</f>
        <v>0</v>
      </c>
      <c r="I274">
        <f>I265*-0.11</f>
        <v>0</v>
      </c>
      <c r="J274">
        <f>J265*71.097</f>
        <v>0</v>
      </c>
      <c r="K274">
        <f>K265*-53.323</f>
        <v>0</v>
      </c>
      <c r="L274">
        <f>L265*293.002</f>
        <v>0</v>
      </c>
      <c r="M274">
        <f>M265*-403.38</f>
        <v>0</v>
      </c>
      <c r="N274">
        <f>E274+F274+G274+H274+I274+J274+K274+L274</f>
        <v>0</v>
      </c>
    </row>
    <row r="275" spans="3:14">
      <c r="C275">
        <f>8.0</f>
        <v>0</v>
      </c>
      <c r="D275">
        <f>8.0</f>
        <v>0</v>
      </c>
      <c r="E275">
        <f>E265*-10.015</f>
        <v>0</v>
      </c>
      <c r="F275">
        <f>F265*-93.678</f>
        <v>0</v>
      </c>
      <c r="G275">
        <f>G265*-13.315999999999999</f>
        <v>0</v>
      </c>
      <c r="H275">
        <f>H265*0.0</f>
        <v>0</v>
      </c>
      <c r="I275">
        <f>I265*-0.102</f>
        <v>0</v>
      </c>
      <c r="J275">
        <f>J265*45.783</f>
        <v>0</v>
      </c>
      <c r="K275">
        <f>K265*-34.338</f>
        <v>0</v>
      </c>
      <c r="L275">
        <f>L265*277.846</f>
        <v>0</v>
      </c>
      <c r="M275">
        <f>M265*-391.115</f>
        <v>0</v>
      </c>
      <c r="N275">
        <f>E275+F275+G275+H275+I275+J275+K275+L275</f>
        <v>0</v>
      </c>
    </row>
    <row r="276" spans="3:14">
      <c r="C276">
        <f>9.0</f>
        <v>0</v>
      </c>
      <c r="D276">
        <f>9.0</f>
        <v>0</v>
      </c>
      <c r="E276">
        <f>E265*-4.971</f>
        <v>0</v>
      </c>
      <c r="F276">
        <f>F265*-100.35799999999999</f>
        <v>0</v>
      </c>
      <c r="G276">
        <f>G265*-14.617</f>
        <v>0</v>
      </c>
      <c r="H276">
        <f>H265*0.0</f>
        <v>0</v>
      </c>
      <c r="I276">
        <f>I265*-0.091</f>
        <v>0</v>
      </c>
      <c r="J276">
        <f>J265*72.306</f>
        <v>0</v>
      </c>
      <c r="K276">
        <f>K265*-54.23</f>
        <v>0</v>
      </c>
      <c r="L276">
        <f>L265*258.533</f>
        <v>0</v>
      </c>
      <c r="M276">
        <f>M265*-383.61</f>
        <v>0</v>
      </c>
      <c r="N276">
        <f>E276+F276+G276+H276+I276+J276+K276+L276</f>
        <v>0</v>
      </c>
    </row>
    <row r="277" spans="3:14">
      <c r="C277">
        <f>10.0</f>
        <v>0</v>
      </c>
      <c r="D277">
        <f>10.0</f>
        <v>0</v>
      </c>
      <c r="E277">
        <f>E265*-0.863</f>
        <v>0</v>
      </c>
      <c r="F277">
        <f>F265*-102.568</f>
        <v>0</v>
      </c>
      <c r="G277">
        <f>G265*-15.052</f>
        <v>0</v>
      </c>
      <c r="H277">
        <f>H265*0.0</f>
        <v>0</v>
      </c>
      <c r="I277">
        <f>I265*-0.078</f>
        <v>0</v>
      </c>
      <c r="J277">
        <f>J265*78.107</f>
        <v>0</v>
      </c>
      <c r="K277">
        <f>K265*-58.58</f>
        <v>0</v>
      </c>
      <c r="L277">
        <f>L265*238.132</f>
        <v>0</v>
      </c>
      <c r="M277">
        <f>M265*-376.606</f>
        <v>0</v>
      </c>
      <c r="N277">
        <f>E277+F277+G277+H277+I277+J277+K277+L277</f>
        <v>0</v>
      </c>
    </row>
    <row r="278" spans="3:14">
      <c r="C278">
        <f>11.0</f>
        <v>0</v>
      </c>
      <c r="D278">
        <f>11.0</f>
        <v>0</v>
      </c>
      <c r="E278">
        <f>E265*-3.952</f>
        <v>0</v>
      </c>
      <c r="F278">
        <f>F265*-105.08</f>
        <v>0</v>
      </c>
      <c r="G278">
        <f>G265*-15.315</f>
        <v>0</v>
      </c>
      <c r="H278">
        <f>H265*0.0</f>
        <v>0</v>
      </c>
      <c r="I278">
        <f>I265*-0.069</f>
        <v>0</v>
      </c>
      <c r="J278">
        <f>J265*63.358999999999995</f>
        <v>0</v>
      </c>
      <c r="K278">
        <f>K265*-47.52</f>
        <v>0</v>
      </c>
      <c r="L278">
        <f>L265*217.247</f>
        <v>0</v>
      </c>
      <c r="M278">
        <f>M265*-355.285</f>
        <v>0</v>
      </c>
      <c r="N278">
        <f>E278+F278+G278+H278+I278+J278+K278+L278</f>
        <v>0</v>
      </c>
    </row>
    <row r="279" spans="3:14">
      <c r="C279">
        <f>12.0</f>
        <v>0</v>
      </c>
      <c r="D279">
        <f>12.0</f>
        <v>0</v>
      </c>
      <c r="E279">
        <f>E265*-7.894</f>
        <v>0</v>
      </c>
      <c r="F279">
        <f>F265*-105.226</f>
        <v>0</v>
      </c>
      <c r="G279">
        <f>G265*-15.04</f>
        <v>0</v>
      </c>
      <c r="H279">
        <f>H265*0.0</f>
        <v>0</v>
      </c>
      <c r="I279">
        <f>I265*-0.055</f>
        <v>0</v>
      </c>
      <c r="J279">
        <f>J265*21.958000000000002</f>
        <v>0</v>
      </c>
      <c r="K279">
        <f>K265*-16.468</f>
        <v>0</v>
      </c>
      <c r="L279">
        <f>L265*190.143</f>
        <v>0</v>
      </c>
      <c r="M279">
        <f>M265*-321.673</f>
        <v>0</v>
      </c>
      <c r="N279">
        <f>E279+F279+G279+H279+I279+J279+K279+L279</f>
        <v>0</v>
      </c>
    </row>
    <row r="280" spans="3:14">
      <c r="C280">
        <f>13.0</f>
        <v>0</v>
      </c>
      <c r="D280">
        <f>13.0</f>
        <v>0</v>
      </c>
      <c r="E280">
        <f>E265*-8.802</f>
        <v>0</v>
      </c>
      <c r="F280">
        <f>F265*-110.81</f>
        <v>0</v>
      </c>
      <c r="G280">
        <f>G265*-15.744000000000002</f>
        <v>0</v>
      </c>
      <c r="H280">
        <f>H265*0.0</f>
        <v>0</v>
      </c>
      <c r="I280">
        <f>I265*-0.044000000000000004</f>
        <v>0</v>
      </c>
      <c r="J280">
        <f>J265*14.124</f>
        <v>0</v>
      </c>
      <c r="K280">
        <f>K265*-10.593</f>
        <v>0</v>
      </c>
      <c r="L280">
        <f>L265*162.884</f>
        <v>0</v>
      </c>
      <c r="M280">
        <f>M265*-301.925</f>
        <v>0</v>
      </c>
      <c r="N280">
        <f>E280+F280+G280+H280+I280+J280+K280+L280</f>
        <v>0</v>
      </c>
    </row>
    <row r="281" spans="3:14">
      <c r="C281">
        <f>14.0</f>
        <v>0</v>
      </c>
      <c r="D281">
        <f>14.0</f>
        <v>0</v>
      </c>
      <c r="E281">
        <f>E265*-5.784</f>
        <v>0</v>
      </c>
      <c r="F281">
        <f>F265*-106.615</f>
        <v>0</v>
      </c>
      <c r="G281">
        <f>G265*-15.304</f>
        <v>0</v>
      </c>
      <c r="H281">
        <f>H265*0.0</f>
        <v>0</v>
      </c>
      <c r="I281">
        <f>I265*-0.036000000000000004</f>
        <v>0</v>
      </c>
      <c r="J281">
        <f>J265*46.446000000000005</f>
        <v>0</v>
      </c>
      <c r="K281">
        <f>K265*-34.835</f>
        <v>0</v>
      </c>
      <c r="L281">
        <f>L265*142.069</f>
        <v>0</v>
      </c>
      <c r="M281">
        <f>M265*-279.274</f>
        <v>0</v>
      </c>
      <c r="N281">
        <f>E281+F281+G281+H281+I281+J281+K281+L281</f>
        <v>0</v>
      </c>
    </row>
    <row r="282" spans="3:14">
      <c r="C282">
        <f>15.0</f>
        <v>0</v>
      </c>
      <c r="D282">
        <f>15.0</f>
        <v>0</v>
      </c>
      <c r="E282">
        <f>E265*-3.583</f>
        <v>0</v>
      </c>
      <c r="F282">
        <f>F265*-108.639</f>
        <v>0</v>
      </c>
      <c r="G282">
        <f>G265*-15.732000000000001</f>
        <v>0</v>
      </c>
      <c r="H282">
        <f>H265*0.0</f>
        <v>0</v>
      </c>
      <c r="I282">
        <f>I265*-0.022000000000000002</f>
        <v>0</v>
      </c>
      <c r="J282">
        <f>J265*53.537</f>
        <v>0</v>
      </c>
      <c r="K282">
        <f>K265*-40.153</f>
        <v>0</v>
      </c>
      <c r="L282">
        <f>L265*125.801</f>
        <v>0</v>
      </c>
      <c r="M282">
        <f>M265*-266.108</f>
        <v>0</v>
      </c>
      <c r="N282">
        <f>E282+F282+G282+H282+I282+J282+K282+L282</f>
        <v>0</v>
      </c>
    </row>
    <row r="283" spans="3:14">
      <c r="C283">
        <f>15.91</f>
        <v>0</v>
      </c>
      <c r="D283">
        <f>15.91</f>
        <v>0</v>
      </c>
      <c r="E283">
        <f>E265*-5.672999999999999</f>
        <v>0</v>
      </c>
      <c r="F283">
        <f>F265*-116.25</f>
        <v>0</v>
      </c>
      <c r="G283">
        <f>G265*-16.683</f>
        <v>0</v>
      </c>
      <c r="H283">
        <f>H265*0.0</f>
        <v>0</v>
      </c>
      <c r="I283">
        <f>I265*-0.013999999999999999</f>
        <v>0</v>
      </c>
      <c r="J283">
        <f>J265*36.255</f>
        <v>0</v>
      </c>
      <c r="K283">
        <f>K265*-27.191999999999997</f>
        <v>0</v>
      </c>
      <c r="L283">
        <f>L265*96.709</f>
        <v>0</v>
      </c>
      <c r="M283">
        <f>M265*-242.335</f>
        <v>0</v>
      </c>
      <c r="N283">
        <f>E283+F283+G283+H283+I283+J283+K283+L283</f>
        <v>0</v>
      </c>
    </row>
    <row r="284" spans="3:14">
      <c r="C284">
        <f>16.82</f>
        <v>0</v>
      </c>
      <c r="D284">
        <f>16.82</f>
        <v>0</v>
      </c>
      <c r="E284">
        <f>E265*-9.15</f>
        <v>0</v>
      </c>
      <c r="F284">
        <f>F265*-99.756</f>
        <v>0</v>
      </c>
      <c r="G284">
        <f>G265*-14.015</f>
        <v>0</v>
      </c>
      <c r="H284">
        <f>H265*0.0</f>
        <v>0</v>
      </c>
      <c r="I284">
        <f>I265*-0.0020329999999999997</f>
        <v>0</v>
      </c>
      <c r="J284">
        <f>J265*-8.212</f>
        <v>0</v>
      </c>
      <c r="K284">
        <f>K265*6.159</f>
        <v>0</v>
      </c>
      <c r="L284">
        <f>L265*72.533</f>
        <v>0</v>
      </c>
      <c r="M284">
        <f>M265*-187.78400000000002</f>
        <v>0</v>
      </c>
      <c r="N284">
        <f>E284+F284+G284+H284+I284+J284+K284+L284</f>
        <v>0</v>
      </c>
    </row>
    <row r="285" spans="3:14">
      <c r="C285">
        <f>17.73</f>
        <v>0</v>
      </c>
      <c r="D285">
        <f>17.73</f>
        <v>0</v>
      </c>
      <c r="E285">
        <f>E265*-10.865</f>
        <v>0</v>
      </c>
      <c r="F285">
        <f>F265*-87.88</f>
        <v>0</v>
      </c>
      <c r="G285">
        <f>G265*-12.168</f>
        <v>0</v>
      </c>
      <c r="H285">
        <f>H265*0.0</f>
        <v>0</v>
      </c>
      <c r="I285">
        <f>I265*0.00487</f>
        <v>0</v>
      </c>
      <c r="J285">
        <f>J265*21.563000000000002</f>
        <v>0</v>
      </c>
      <c r="K285">
        <f>K265*-16.172</f>
        <v>0</v>
      </c>
      <c r="L285">
        <f>L265*45.57899999999999</f>
        <v>0</v>
      </c>
      <c r="M285">
        <f>M265*-142.466</f>
        <v>0</v>
      </c>
      <c r="N285">
        <f>E285+F285+G285+H285+I285+J285+K285+L285</f>
        <v>0</v>
      </c>
    </row>
    <row r="286" spans="3:14">
      <c r="C286">
        <f>18.64</f>
        <v>0</v>
      </c>
      <c r="D286">
        <f>18.64</f>
        <v>0</v>
      </c>
      <c r="E286">
        <f>E265*-9.465</f>
        <v>0</v>
      </c>
      <c r="F286">
        <f>F265*-69.382</f>
        <v>0</v>
      </c>
      <c r="G286">
        <f>G265*-9.607999999999999</f>
        <v>0</v>
      </c>
      <c r="H286">
        <f>H265*0.0</f>
        <v>0</v>
      </c>
      <c r="I286">
        <f>I265*0.0045969999999999995</f>
        <v>0</v>
      </c>
      <c r="J286">
        <f>J265*108.833</f>
        <v>0</v>
      </c>
      <c r="K286">
        <f>K265*-81.625</f>
        <v>0</v>
      </c>
      <c r="L286">
        <f>L265*20.197</f>
        <v>0</v>
      </c>
      <c r="M286">
        <f>M265*-103.611</f>
        <v>0</v>
      </c>
      <c r="N286">
        <f>E286+F286+G286+H286+I286+J286+K286+L286</f>
        <v>0</v>
      </c>
    </row>
    <row r="287" spans="3:14">
      <c r="C287">
        <f>19.55</f>
        <v>0</v>
      </c>
      <c r="D287">
        <f>19.55</f>
        <v>0</v>
      </c>
      <c r="E287">
        <f>E265*-3.397</f>
        <v>0</v>
      </c>
      <c r="F287">
        <f>F265*-20.208</f>
        <v>0</v>
      </c>
      <c r="G287">
        <f>G265*-2.752</f>
        <v>0</v>
      </c>
      <c r="H287">
        <f>H265*0.0</f>
        <v>0</v>
      </c>
      <c r="I287">
        <f>I265*0.004396</f>
        <v>0</v>
      </c>
      <c r="J287">
        <f>J265*175.106</f>
        <v>0</v>
      </c>
      <c r="K287">
        <f>K265*-131.329</f>
        <v>0</v>
      </c>
      <c r="L287">
        <f>L265*11.94</f>
        <v>0</v>
      </c>
      <c r="M287">
        <f>M265*-32.809</f>
        <v>0</v>
      </c>
      <c r="N287">
        <f>E287+F287+G287+H287+I287+J287+K287+L287</f>
        <v>0</v>
      </c>
    </row>
    <row r="288" spans="3:14">
      <c r="C288">
        <f>20.0</f>
        <v>0</v>
      </c>
      <c r="D288">
        <f>20.0</f>
        <v>0</v>
      </c>
      <c r="E288">
        <f>E265*-2.167</f>
        <v>0</v>
      </c>
      <c r="F288">
        <f>F265*-18.113</f>
        <v>0</v>
      </c>
      <c r="G288">
        <f>G265*-2.562</f>
        <v>0</v>
      </c>
      <c r="H288">
        <f>H265*0.0</f>
        <v>0</v>
      </c>
      <c r="I288">
        <f>I265*-0.0026850000000000003</f>
        <v>0</v>
      </c>
      <c r="J288">
        <f>J265*175.106</f>
        <v>0</v>
      </c>
      <c r="K288">
        <f>K265*-131.329</f>
        <v>0</v>
      </c>
      <c r="L288">
        <f>L265*5.457000000000001</f>
        <v>0</v>
      </c>
      <c r="M288">
        <f>M265*-25.322</f>
        <v>0</v>
      </c>
      <c r="N288">
        <f>E288+F288+G288+H288+I288+J288+K288+L288</f>
        <v>0</v>
      </c>
    </row>
    <row r="289" spans="3:14">
      <c r="C289">
        <f>20.0</f>
        <v>0</v>
      </c>
      <c r="D289">
        <f>0.0</f>
        <v>0</v>
      </c>
      <c r="E289">
        <f>E265*-1.851</f>
        <v>0</v>
      </c>
      <c r="F289">
        <f>F265*-19.743</f>
        <v>0</v>
      </c>
      <c r="G289">
        <f>G265*-2.8139999999999996</f>
        <v>0</v>
      </c>
      <c r="H289">
        <f>H265*0.0</f>
        <v>0</v>
      </c>
      <c r="I289">
        <f>I265*0.522</f>
        <v>0</v>
      </c>
      <c r="J289">
        <f>J265*170.608</f>
        <v>0</v>
      </c>
      <c r="K289">
        <f>K265*-127.956</f>
        <v>0</v>
      </c>
      <c r="L289">
        <f>L265*1.966</f>
        <v>0</v>
      </c>
      <c r="M289">
        <f>M265*-29.201999999999998</f>
        <v>0</v>
      </c>
      <c r="N289">
        <f>E289+F289+G289+H289+I289+J289+K289+L289</f>
        <v>0</v>
      </c>
    </row>
    <row r="290" spans="3:14">
      <c r="C290">
        <f>20.45</f>
        <v>0</v>
      </c>
      <c r="D290">
        <f>0.45</f>
        <v>0</v>
      </c>
      <c r="E290">
        <f>E265*-5.621</f>
        <v>0</v>
      </c>
      <c r="F290">
        <f>F265*-19.743</f>
        <v>0</v>
      </c>
      <c r="G290">
        <f>G265*-2.8139999999999996</f>
        <v>0</v>
      </c>
      <c r="H290">
        <f>H265*0.0</f>
        <v>0</v>
      </c>
      <c r="I290">
        <f>I265*-3.6660000000000004</f>
        <v>0</v>
      </c>
      <c r="J290">
        <f>J265*182.00400000000002</f>
        <v>0</v>
      </c>
      <c r="K290">
        <f>K265*-136.503</f>
        <v>0</v>
      </c>
      <c r="L290">
        <f>L265*53.091</f>
        <v>0</v>
      </c>
      <c r="M290">
        <f>M265*-52.226000000000006</f>
        <v>0</v>
      </c>
      <c r="N290">
        <f>E290+F290+G290+H290+I290+J290+K290+L290</f>
        <v>0</v>
      </c>
    </row>
    <row r="291" spans="3:14">
      <c r="C291">
        <f>21.36</f>
        <v>0</v>
      </c>
      <c r="D291">
        <f>1.36</f>
        <v>0</v>
      </c>
      <c r="E291">
        <f>E265*-11.354000000000001</f>
        <v>0</v>
      </c>
      <c r="F291">
        <f>F265*-52.422</f>
        <v>0</v>
      </c>
      <c r="G291">
        <f>G265*-7.039</f>
        <v>0</v>
      </c>
      <c r="H291">
        <f>H265*0.0</f>
        <v>0</v>
      </c>
      <c r="I291">
        <f>I265*-3.719</f>
        <v>0</v>
      </c>
      <c r="J291">
        <f>J265*144.69</f>
        <v>0</v>
      </c>
      <c r="K291">
        <f>K265*-108.51700000000001</f>
        <v>0</v>
      </c>
      <c r="L291">
        <f>L265*48.971000000000004</f>
        <v>0</v>
      </c>
      <c r="M291">
        <f>M265*-97.846</f>
        <v>0</v>
      </c>
      <c r="N291">
        <f>E291+F291+G291+H291+I291+J291+K291+L291</f>
        <v>0</v>
      </c>
    </row>
    <row r="292" spans="3:14">
      <c r="C292">
        <f>22.27</f>
        <v>0</v>
      </c>
      <c r="D292">
        <f>2.27</f>
        <v>0</v>
      </c>
      <c r="E292">
        <f>E265*-12.569</f>
        <v>0</v>
      </c>
      <c r="F292">
        <f>F265*-72.695</f>
        <v>0</v>
      </c>
      <c r="G292">
        <f>G265*-9.859</f>
        <v>0</v>
      </c>
      <c r="H292">
        <f>H265*0.0</f>
        <v>0</v>
      </c>
      <c r="I292">
        <f>I265*-3.969</f>
        <v>0</v>
      </c>
      <c r="J292">
        <f>J265*53.503</f>
        <v>0</v>
      </c>
      <c r="K292">
        <f>K265*-40.126999999999995</f>
        <v>0</v>
      </c>
      <c r="L292">
        <f>L265*31.653000000000002</f>
        <v>0</v>
      </c>
      <c r="M292">
        <f>M265*-125.706</f>
        <v>0</v>
      </c>
      <c r="N292">
        <f>E292+F292+G292+H292+I292+J292+K292+L292</f>
        <v>0</v>
      </c>
    </row>
    <row r="293" spans="3:14">
      <c r="C293">
        <f>23.18</f>
        <v>0</v>
      </c>
      <c r="D293">
        <f>3.18</f>
        <v>0</v>
      </c>
      <c r="E293">
        <f>E265*-10.712</f>
        <v>0</v>
      </c>
      <c r="F293">
        <f>F265*-86.587</f>
        <v>0</v>
      </c>
      <c r="G293">
        <f>G265*-11.998</f>
        <v>0</v>
      </c>
      <c r="H293">
        <f>H265*0.0</f>
        <v>0</v>
      </c>
      <c r="I293">
        <f>I265*-4.5360000000000005</f>
        <v>0</v>
      </c>
      <c r="J293">
        <f>J265*23.92</f>
        <v>0</v>
      </c>
      <c r="K293">
        <f>K265*-17.94</f>
        <v>0</v>
      </c>
      <c r="L293">
        <f>L265*40.711999999999996</f>
        <v>0</v>
      </c>
      <c r="M293">
        <f>M265*-155.852</f>
        <v>0</v>
      </c>
      <c r="N293">
        <f>E293+F293+G293+H293+I293+J293+K293+L293</f>
        <v>0</v>
      </c>
    </row>
    <row r="294" spans="3:14">
      <c r="C294">
        <f>24.09</f>
        <v>0</v>
      </c>
      <c r="D294">
        <f>4.09</f>
        <v>0</v>
      </c>
      <c r="E294">
        <f>E265*-7.095</f>
        <v>0</v>
      </c>
      <c r="F294">
        <f>F265*-104.635</f>
        <v>0</v>
      </c>
      <c r="G294">
        <f>G265*-14.888</f>
        <v>0</v>
      </c>
      <c r="H294">
        <f>H265*0.0</f>
        <v>0</v>
      </c>
      <c r="I294">
        <f>I265*-5.164</f>
        <v>0</v>
      </c>
      <c r="J294">
        <f>J265*62.303999999999995</f>
        <v>0</v>
      </c>
      <c r="K294">
        <f>K265*-46.728</f>
        <v>0</v>
      </c>
      <c r="L294">
        <f>L265*49.452</f>
        <v>0</v>
      </c>
      <c r="M294">
        <f>M265*-190.96200000000002</f>
        <v>0</v>
      </c>
      <c r="N294">
        <f>E294+F294+G294+H294+I294+J294+K294+L294</f>
        <v>0</v>
      </c>
    </row>
    <row r="295" spans="3:14">
      <c r="C295">
        <f>25.0</f>
        <v>0</v>
      </c>
      <c r="D295">
        <f>5.0</f>
        <v>0</v>
      </c>
      <c r="E295">
        <f>E265*-4.913</f>
        <v>0</v>
      </c>
      <c r="F295">
        <f>F265*-99.94</f>
        <v>0</v>
      </c>
      <c r="G295">
        <f>G265*-14.354000000000001</f>
        <v>0</v>
      </c>
      <c r="H295">
        <f>H265*0.0</f>
        <v>0</v>
      </c>
      <c r="I295">
        <f>I265*-6.186</f>
        <v>0</v>
      </c>
      <c r="J295">
        <f>J265*77.179</f>
        <v>0</v>
      </c>
      <c r="K295">
        <f>K265*-57.88399999999999</f>
        <v>0</v>
      </c>
      <c r="L295">
        <f>L265*61.089</f>
        <v>0</v>
      </c>
      <c r="M295">
        <f>M265*-198.928</f>
        <v>0</v>
      </c>
      <c r="N295">
        <f>E295+F295+G295+H295+I295+J295+K295+L295</f>
        <v>0</v>
      </c>
    </row>
    <row r="296" spans="3:14">
      <c r="C296">
        <f>26.0</f>
        <v>0</v>
      </c>
      <c r="D296">
        <f>6.0</f>
        <v>0</v>
      </c>
      <c r="E296">
        <f>E265*-6.8870000000000005</f>
        <v>0</v>
      </c>
      <c r="F296">
        <f>F265*-101.23100000000001</f>
        <v>0</v>
      </c>
      <c r="G296">
        <f>G265*-14.407</f>
        <v>0</v>
      </c>
      <c r="H296">
        <f>H265*0.0</f>
        <v>0</v>
      </c>
      <c r="I296">
        <f>I265*-6.9670000000000005</f>
        <v>0</v>
      </c>
      <c r="J296">
        <f>J265*68.065</f>
        <v>0</v>
      </c>
      <c r="K296">
        <f>K265*-51.049</f>
        <v>0</v>
      </c>
      <c r="L296">
        <f>L265*60.097</f>
        <v>0</v>
      </c>
      <c r="M296">
        <f>M265*-192.297</f>
        <v>0</v>
      </c>
      <c r="N296">
        <f>E296+F296+G296+H296+I296+J296+K296+L296</f>
        <v>0</v>
      </c>
    </row>
    <row r="297" spans="3:14">
      <c r="C297">
        <f>27.0</f>
        <v>0</v>
      </c>
      <c r="D297">
        <f>7.0</f>
        <v>0</v>
      </c>
      <c r="E297">
        <f>E265*-9.59</f>
        <v>0</v>
      </c>
      <c r="F297">
        <f>F265*-108.061</f>
        <v>0</v>
      </c>
      <c r="G297">
        <f>G265*-15.232999999999999</f>
        <v>0</v>
      </c>
      <c r="H297">
        <f>H265*0.0</f>
        <v>0</v>
      </c>
      <c r="I297">
        <f>I265*-8.129</f>
        <v>0</v>
      </c>
      <c r="J297">
        <f>J265*31.254</f>
        <v>0</v>
      </c>
      <c r="K297">
        <f>K265*-23.441</f>
        <v>0</v>
      </c>
      <c r="L297">
        <f>L265*55.722</f>
        <v>0</v>
      </c>
      <c r="M297">
        <f>M265*-196.112</f>
        <v>0</v>
      </c>
      <c r="N297">
        <f>E297+F297+G297+H297+I297+J297+K297+L297</f>
        <v>0</v>
      </c>
    </row>
    <row r="298" spans="3:14">
      <c r="C298">
        <f>28.0</f>
        <v>0</v>
      </c>
      <c r="D298">
        <f>8.0</f>
        <v>0</v>
      </c>
      <c r="E298">
        <f>E265*-8.581</f>
        <v>0</v>
      </c>
      <c r="F298">
        <f>F265*-105.917</f>
        <v>0</v>
      </c>
      <c r="G298">
        <f>G265*-15.034</f>
        <v>0</v>
      </c>
      <c r="H298">
        <f>H265*0.0</f>
        <v>0</v>
      </c>
      <c r="I298">
        <f>I265*-9.638</f>
        <v>0</v>
      </c>
      <c r="J298">
        <f>J265*31.296999999999997</f>
        <v>0</v>
      </c>
      <c r="K298">
        <f>K265*-23.473000000000003</f>
        <v>0</v>
      </c>
      <c r="L298">
        <f>L265*57.953</f>
        <v>0</v>
      </c>
      <c r="M298">
        <f>M265*-194.614</f>
        <v>0</v>
      </c>
      <c r="N298">
        <f>E298+F298+G298+H298+I298+J298+K298+L298</f>
        <v>0</v>
      </c>
    </row>
    <row r="299" spans="3:14">
      <c r="C299">
        <f>29.0</f>
        <v>0</v>
      </c>
      <c r="D299">
        <f>9.0</f>
        <v>0</v>
      </c>
      <c r="E299">
        <f>E265*-4.253</f>
        <v>0</v>
      </c>
      <c r="F299">
        <f>F265*-109.135</f>
        <v>0</v>
      </c>
      <c r="G299">
        <f>G265*-15.814</f>
        <v>0</v>
      </c>
      <c r="H299">
        <f>H265*0.0</f>
        <v>0</v>
      </c>
      <c r="I299">
        <f>I265*-11.387</f>
        <v>0</v>
      </c>
      <c r="J299">
        <f>J265*65.107</f>
        <v>0</v>
      </c>
      <c r="K299">
        <f>K265*-48.83</f>
        <v>0</v>
      </c>
      <c r="L299">
        <f>L265*63.735</f>
        <v>0</v>
      </c>
      <c r="M299">
        <f>M265*-208.739</f>
        <v>0</v>
      </c>
      <c r="N299">
        <f>E299+F299+G299+H299+I299+J299+K299+L299</f>
        <v>0</v>
      </c>
    </row>
    <row r="300" spans="3:14">
      <c r="C300">
        <f>30.0</f>
        <v>0</v>
      </c>
      <c r="D300">
        <f>10.0</f>
        <v>0</v>
      </c>
      <c r="E300">
        <f>E265*-0.428</f>
        <v>0</v>
      </c>
      <c r="F300">
        <f>F265*-108.67200000000001</f>
        <v>0</v>
      </c>
      <c r="G300">
        <f>G265*-15.857000000000001</f>
        <v>0</v>
      </c>
      <c r="H300">
        <f>H265*0.0</f>
        <v>0</v>
      </c>
      <c r="I300">
        <f>I265*-13.526</f>
        <v>0</v>
      </c>
      <c r="J300">
        <f>J265*73.807</f>
        <v>0</v>
      </c>
      <c r="K300">
        <f>K265*-55.355</f>
        <v>0</v>
      </c>
      <c r="L300">
        <f>L265*65.268</f>
        <v>0</v>
      </c>
      <c r="M300">
        <f>M265*-211.812</f>
        <v>0</v>
      </c>
      <c r="N300">
        <f>E300+F300+G300+H300+I300+J300+K300+L300</f>
        <v>0</v>
      </c>
    </row>
    <row r="301" spans="3:14">
      <c r="C301">
        <f>31.0</f>
        <v>0</v>
      </c>
      <c r="D301">
        <f>11.0</f>
        <v>0</v>
      </c>
      <c r="E301">
        <f>E265*-3.845</f>
        <v>0</v>
      </c>
      <c r="F301">
        <f>F265*-108.867</f>
        <v>0</v>
      </c>
      <c r="G301">
        <f>G265*-15.784</f>
        <v>0</v>
      </c>
      <c r="H301">
        <f>H265*0.0</f>
        <v>0</v>
      </c>
      <c r="I301">
        <f>I265*-15.548</f>
        <v>0</v>
      </c>
      <c r="J301">
        <f>J265*63.15</f>
        <v>0</v>
      </c>
      <c r="K301">
        <f>K265*-47.363</f>
        <v>0</v>
      </c>
      <c r="L301">
        <f>L265*62.427</f>
        <v>0</v>
      </c>
      <c r="M301">
        <f>M265*-206.798</f>
        <v>0</v>
      </c>
      <c r="N301">
        <f>E301+F301+G301+H301+I301+J301+K301+L301</f>
        <v>0</v>
      </c>
    </row>
    <row r="302" spans="3:14">
      <c r="C302">
        <f>32.0</f>
        <v>0</v>
      </c>
      <c r="D302">
        <f>12.0</f>
        <v>0</v>
      </c>
      <c r="E302">
        <f>E265*-7.825</f>
        <v>0</v>
      </c>
      <c r="F302">
        <f>F265*-105.525</f>
        <v>0</v>
      </c>
      <c r="G302">
        <f>G265*-14.999</f>
        <v>0</v>
      </c>
      <c r="H302">
        <f>H265*0.0</f>
        <v>0</v>
      </c>
      <c r="I302">
        <f>I265*-17.71</f>
        <v>0</v>
      </c>
      <c r="J302">
        <f>J265*26.329</f>
        <v>0</v>
      </c>
      <c r="K302">
        <f>K265*-19.747</f>
        <v>0</v>
      </c>
      <c r="L302">
        <f>L265*53.97</f>
        <v>0</v>
      </c>
      <c r="M302">
        <f>M265*-188.24099999999999</f>
        <v>0</v>
      </c>
      <c r="N302">
        <f>E302+F302+G302+H302+I302+J302+K302+L302</f>
        <v>0</v>
      </c>
    </row>
    <row r="303" spans="3:14">
      <c r="C303">
        <f>33.0</f>
        <v>0</v>
      </c>
      <c r="D303">
        <f>13.0</f>
        <v>0</v>
      </c>
      <c r="E303">
        <f>E265*-8.652999999999999</f>
        <v>0</v>
      </c>
      <c r="F303">
        <f>F265*-108.137</f>
        <v>0</v>
      </c>
      <c r="G303">
        <f>G265*-15.280999999999999</f>
        <v>0</v>
      </c>
      <c r="H303">
        <f>H265*0.0</f>
        <v>0</v>
      </c>
      <c r="I303">
        <f>I265*-18.892</f>
        <v>0</v>
      </c>
      <c r="J303">
        <f>J265*20.616</f>
        <v>0</v>
      </c>
      <c r="K303">
        <f>K265*-15.462</f>
        <v>0</v>
      </c>
      <c r="L303">
        <f>L265*49.04</f>
        <v>0</v>
      </c>
      <c r="M303">
        <f>M265*-187.206</f>
        <v>0</v>
      </c>
      <c r="N303">
        <f>E303+F303+G303+H303+I303+J303+K303+L303</f>
        <v>0</v>
      </c>
    </row>
    <row r="304" spans="3:14">
      <c r="C304">
        <f>34.0</f>
        <v>0</v>
      </c>
      <c r="D304">
        <f>14.0</f>
        <v>0</v>
      </c>
      <c r="E304">
        <f>E265*-5.612</f>
        <v>0</v>
      </c>
      <c r="F304">
        <f>F265*-102.87100000000001</f>
        <v>0</v>
      </c>
      <c r="G304">
        <f>G265*-14.698</f>
        <v>0</v>
      </c>
      <c r="H304">
        <f>H265*0.0</f>
        <v>0</v>
      </c>
      <c r="I304">
        <f>I265*-19.137999999999998</f>
        <v>0</v>
      </c>
      <c r="J304">
        <f>J265*52.332</f>
        <v>0</v>
      </c>
      <c r="K304">
        <f>K265*-39.249</f>
        <v>0</v>
      </c>
      <c r="L304">
        <f>L265*52.931999999999995</f>
        <v>0</v>
      </c>
      <c r="M304">
        <f>M265*-185.715</f>
        <v>0</v>
      </c>
      <c r="N304">
        <f>E304+F304+G304+H304+I304+J304+K304+L304</f>
        <v>0</v>
      </c>
    </row>
    <row r="305" spans="3:14">
      <c r="C305">
        <f>35.0</f>
        <v>0</v>
      </c>
      <c r="D305">
        <f>15.0</f>
        <v>0</v>
      </c>
      <c r="E305">
        <f>E265*-3.281</f>
        <v>0</v>
      </c>
      <c r="F305">
        <f>F265*-103.508</f>
        <v>0</v>
      </c>
      <c r="G305">
        <f>G265*-14.940999999999999</f>
        <v>0</v>
      </c>
      <c r="H305">
        <f>H265*0.0</f>
        <v>0</v>
      </c>
      <c r="I305">
        <f>I265*-21.256999999999998</f>
        <v>0</v>
      </c>
      <c r="J305">
        <f>J265*58.926</f>
        <v>0</v>
      </c>
      <c r="K305">
        <f>K265*-44.195</f>
        <v>0</v>
      </c>
      <c r="L305">
        <f>L265*53.346000000000004</f>
        <v>0</v>
      </c>
      <c r="M305">
        <f>M265*-193.076</f>
        <v>0</v>
      </c>
      <c r="N305">
        <f>E305+F305+G305+H305+I305+J305+K305+L305</f>
        <v>0</v>
      </c>
    </row>
    <row r="306" spans="3:14">
      <c r="C306">
        <f>35.91</f>
        <v>0</v>
      </c>
      <c r="D306">
        <f>15.91</f>
        <v>0</v>
      </c>
      <c r="E306">
        <f>E265*-5.083</f>
        <v>0</v>
      </c>
      <c r="F306">
        <f>F265*-108.70299999999999</f>
        <v>0</v>
      </c>
      <c r="G306">
        <f>G265*-15.564</f>
        <v>0</v>
      </c>
      <c r="H306">
        <f>H265*0.0</f>
        <v>0</v>
      </c>
      <c r="I306">
        <f>I265*-22.991999999999997</f>
        <v>0</v>
      </c>
      <c r="J306">
        <f>J265*40.095</f>
        <v>0</v>
      </c>
      <c r="K306">
        <f>K265*-30.070999999999998</f>
        <v>0</v>
      </c>
      <c r="L306">
        <f>L265*41.602</f>
        <v>0</v>
      </c>
      <c r="M306">
        <f>M265*-185.02599999999998</f>
        <v>0</v>
      </c>
      <c r="N306">
        <f>E306+F306+G306+H306+I306+J306+K306+L306</f>
        <v>0</v>
      </c>
    </row>
    <row r="307" spans="3:14">
      <c r="C307">
        <f>36.82</f>
        <v>0</v>
      </c>
      <c r="D307">
        <f>16.82</f>
        <v>0</v>
      </c>
      <c r="E307">
        <f>E265*-8.397</f>
        <v>0</v>
      </c>
      <c r="F307">
        <f>F265*-90.74799999999999</f>
        <v>0</v>
      </c>
      <c r="G307">
        <f>G265*-12.7</f>
        <v>0</v>
      </c>
      <c r="H307">
        <f>H265*0.0</f>
        <v>0</v>
      </c>
      <c r="I307">
        <f>I265*-23.744</f>
        <v>0</v>
      </c>
      <c r="J307">
        <f>J265*-5.984</f>
        <v>0</v>
      </c>
      <c r="K307">
        <f>K265*4.488</f>
        <v>0</v>
      </c>
      <c r="L307">
        <f>L265*30.932</f>
        <v>0</v>
      </c>
      <c r="M307">
        <f>M265*-145.686</f>
        <v>0</v>
      </c>
      <c r="N307">
        <f>E307+F307+G307+H307+I307+J307+K307+L307</f>
        <v>0</v>
      </c>
    </row>
    <row r="308" spans="3:14">
      <c r="C308">
        <f>37.73</f>
        <v>0</v>
      </c>
      <c r="D308">
        <f>17.73</f>
        <v>0</v>
      </c>
      <c r="E308">
        <f>E265*-10.054</f>
        <v>0</v>
      </c>
      <c r="F308">
        <f>F265*-78.748</f>
        <v>0</v>
      </c>
      <c r="G308">
        <f>G265*-10.847000000000001</f>
        <v>0</v>
      </c>
      <c r="H308">
        <f>H265*0.0</f>
        <v>0</v>
      </c>
      <c r="I308">
        <f>I265*-21.974</f>
        <v>0</v>
      </c>
      <c r="J308">
        <f>J265*22.686</f>
        <v>0</v>
      </c>
      <c r="K308">
        <f>K265*-17.015</f>
        <v>0</v>
      </c>
      <c r="L308">
        <f>L265*19.782</f>
        <v>0</v>
      </c>
      <c r="M308">
        <f>M265*-114.421</f>
        <v>0</v>
      </c>
      <c r="N308">
        <f>E308+F308+G308+H308+I308+J308+K308+L308</f>
        <v>0</v>
      </c>
    </row>
    <row r="309" spans="3:14">
      <c r="C309">
        <f>38.64</f>
        <v>0</v>
      </c>
      <c r="D309">
        <f>18.64</f>
        <v>0</v>
      </c>
      <c r="E309">
        <f>E265*-8.857000000000001</f>
        <v>0</v>
      </c>
      <c r="F309">
        <f>F265*-62.808</f>
        <v>0</v>
      </c>
      <c r="G309">
        <f>G265*-8.662</f>
        <v>0</v>
      </c>
      <c r="H309">
        <f>H265*0.0</f>
        <v>0</v>
      </c>
      <c r="I309">
        <f>I265*-14.363</f>
        <v>0</v>
      </c>
      <c r="J309">
        <f>J265*109.26299999999999</f>
        <v>0</v>
      </c>
      <c r="K309">
        <f>K265*-81.947</f>
        <v>0</v>
      </c>
      <c r="L309">
        <f>L265*12.3</f>
        <v>0</v>
      </c>
      <c r="M309">
        <f>M265*-90.68</f>
        <v>0</v>
      </c>
      <c r="N309">
        <f>E309+F309+G309+H309+I309+J309+K309+L309</f>
        <v>0</v>
      </c>
    </row>
    <row r="310" spans="3:14">
      <c r="C310">
        <f>39.55</f>
        <v>0</v>
      </c>
      <c r="D310">
        <f>19.55</f>
        <v>0</v>
      </c>
      <c r="E310">
        <f>E265*-3.197</f>
        <v>0</v>
      </c>
      <c r="F310">
        <f>F265*-18.049</f>
        <v>0</v>
      </c>
      <c r="G310">
        <f>G265*-2.4419999999999997</f>
        <v>0</v>
      </c>
      <c r="H310">
        <f>H265*0.0</f>
        <v>0</v>
      </c>
      <c r="I310">
        <f>I265*-4.369</f>
        <v>0</v>
      </c>
      <c r="J310">
        <f>J265*174.982</f>
        <v>0</v>
      </c>
      <c r="K310">
        <f>K265*-131.236</f>
        <v>0</v>
      </c>
      <c r="L310">
        <f>L265*8.211</f>
        <v>0</v>
      </c>
      <c r="M310">
        <f>M265*-29.031999999999996</f>
        <v>0</v>
      </c>
      <c r="N310">
        <f>E310+F310+G310+H310+I310+J310+K310+L310</f>
        <v>0</v>
      </c>
    </row>
    <row r="311" spans="3:14">
      <c r="C311">
        <f>40.0</f>
        <v>0</v>
      </c>
      <c r="D311">
        <f>20.0</f>
        <v>0</v>
      </c>
      <c r="E311">
        <f>E265*-2.049</f>
        <v>0</v>
      </c>
      <c r="F311">
        <f>F265*-17.004</f>
        <v>0</v>
      </c>
      <c r="G311">
        <f>G265*-2.404</f>
        <v>0</v>
      </c>
      <c r="H311">
        <f>H265*0.0</f>
        <v>0</v>
      </c>
      <c r="I311">
        <f>I265*-1.761</f>
        <v>0</v>
      </c>
      <c r="J311">
        <f>J265*174.982</f>
        <v>0</v>
      </c>
      <c r="K311">
        <f>K265*-131.236</f>
        <v>0</v>
      </c>
      <c r="L311">
        <f>L265*5.539</f>
        <v>0</v>
      </c>
      <c r="M311">
        <f>M265*-25.116</f>
        <v>0</v>
      </c>
      <c r="N311">
        <f>E311+F311+G311+H311+I311+J311+K311+L311</f>
        <v>0</v>
      </c>
    </row>
    <row r="312" spans="3:14">
      <c r="C312">
        <f>40.0</f>
        <v>0</v>
      </c>
      <c r="D312">
        <f>0.0</f>
        <v>0</v>
      </c>
      <c r="E312">
        <f>E265*-1.459</f>
        <v>0</v>
      </c>
      <c r="F312">
        <f>F265*-11.367</f>
        <v>0</v>
      </c>
      <c r="G312">
        <f>G265*-1.5959999999999999</f>
        <v>0</v>
      </c>
      <c r="H312">
        <f>H265*0.0</f>
        <v>0</v>
      </c>
      <c r="I312">
        <f>I265*-17.96</f>
        <v>0</v>
      </c>
      <c r="J312">
        <f>J265*165.96099999999998</f>
        <v>0</v>
      </c>
      <c r="K312">
        <f>K265*-124.471</f>
        <v>0</v>
      </c>
      <c r="L312">
        <f>L265*1.053</f>
        <v>0</v>
      </c>
      <c r="M312">
        <f>M265*-20.899</f>
        <v>0</v>
      </c>
      <c r="N312">
        <f>E312+F312+G312+H312+I312+J312+K312+L312</f>
        <v>0</v>
      </c>
    </row>
    <row r="313" spans="3:14">
      <c r="C313">
        <f>40.45</f>
        <v>0</v>
      </c>
      <c r="D313">
        <f>0.45</f>
        <v>0</v>
      </c>
      <c r="E313">
        <f>E265*-3.5869999999999997</f>
        <v>0</v>
      </c>
      <c r="F313">
        <f>F265*-11.367</f>
        <v>0</v>
      </c>
      <c r="G313">
        <f>G265*-1.5959999999999999</f>
        <v>0</v>
      </c>
      <c r="H313">
        <f>H265*0.0</f>
        <v>0</v>
      </c>
      <c r="I313">
        <f>I265*-62.924</f>
        <v>0</v>
      </c>
      <c r="J313">
        <f>J265*165.96099999999998</f>
        <v>0</v>
      </c>
      <c r="K313">
        <f>K265*-124.471</f>
        <v>0</v>
      </c>
      <c r="L313">
        <f>L265*32.471</f>
        <v>0</v>
      </c>
      <c r="M313">
        <f>M265*-31.698</f>
        <v>0</v>
      </c>
      <c r="N313">
        <f>E313+F313+G313+H313+I313+J313+K313+L313</f>
        <v>0</v>
      </c>
    </row>
    <row r="314" spans="3:14">
      <c r="C314">
        <f>41.36</f>
        <v>0</v>
      </c>
      <c r="D314">
        <f>1.36</f>
        <v>0</v>
      </c>
      <c r="E314">
        <f>E265*-6.707999999999999</f>
        <v>0</v>
      </c>
      <c r="F314">
        <f>F265*-25.241</f>
        <v>0</v>
      </c>
      <c r="G314">
        <f>G265*-3.33</f>
        <v>0</v>
      </c>
      <c r="H314">
        <f>H265*0.0</f>
        <v>0</v>
      </c>
      <c r="I314">
        <f>I265*-99.40700000000001</f>
        <v>0</v>
      </c>
      <c r="J314">
        <f>J265*97.208</f>
        <v>0</v>
      </c>
      <c r="K314">
        <f>K265*-72.906</f>
        <v>0</v>
      </c>
      <c r="L314">
        <f>L265*27.351</f>
        <v>0</v>
      </c>
      <c r="M314">
        <f>M265*-61.434</f>
        <v>0</v>
      </c>
      <c r="N314">
        <f>E314+F314+G314+H314+I314+J314+K314+L314</f>
        <v>0</v>
      </c>
    </row>
    <row r="315" spans="3:14">
      <c r="C315">
        <f>42.27</f>
        <v>0</v>
      </c>
      <c r="D315">
        <f>2.27</f>
        <v>0</v>
      </c>
      <c r="E315">
        <f>E265*-6.9270000000000005</f>
        <v>0</v>
      </c>
      <c r="F315">
        <f>F265*-39.952</f>
        <v>0</v>
      </c>
      <c r="G315">
        <f>G265*-5.422000000000001</f>
        <v>0</v>
      </c>
      <c r="H315">
        <f>H265*0.0</f>
        <v>0</v>
      </c>
      <c r="I315">
        <f>I265*-104.63600000000001</f>
        <v>0</v>
      </c>
      <c r="J315">
        <f>J265*-37.383</f>
        <v>0</v>
      </c>
      <c r="K315">
        <f>K265*28.037</f>
        <v>0</v>
      </c>
      <c r="L315">
        <f>L265*14.957</f>
        <v>0</v>
      </c>
      <c r="M315">
        <f>M265*-84.008</f>
        <v>0</v>
      </c>
      <c r="N315">
        <f>E315+F315+G315+H315+I315+J315+K315+L315</f>
        <v>0</v>
      </c>
    </row>
    <row r="316" spans="3:14">
      <c r="C316">
        <f>43.18</f>
        <v>0</v>
      </c>
      <c r="D316">
        <f>3.18</f>
        <v>0</v>
      </c>
      <c r="E316">
        <f>E265*-5.585</f>
        <v>0</v>
      </c>
      <c r="F316">
        <f>F265*-49.211000000000006</f>
        <v>0</v>
      </c>
      <c r="G316">
        <f>G265*-6.928999999999999</f>
        <v>0</v>
      </c>
      <c r="H316">
        <f>H265*0.0</f>
        <v>0</v>
      </c>
      <c r="I316">
        <f>I265*-102.779</f>
        <v>0</v>
      </c>
      <c r="J316">
        <f>J265*-55.544</f>
        <v>0</v>
      </c>
      <c r="K316">
        <f>K265*41.658</f>
        <v>0</v>
      </c>
      <c r="L316">
        <f>L265*19.569000000000003</f>
        <v>0</v>
      </c>
      <c r="M316">
        <f>M265*-107.215</f>
        <v>0</v>
      </c>
      <c r="N316">
        <f>E316+F316+G316+H316+I316+J316+K316+L316</f>
        <v>0</v>
      </c>
    </row>
    <row r="317" spans="3:14">
      <c r="C317">
        <f>44.09</f>
        <v>0</v>
      </c>
      <c r="D317">
        <f>4.09</f>
        <v>0</v>
      </c>
      <c r="E317">
        <f>E265*-2.178</f>
        <v>0</v>
      </c>
      <c r="F317">
        <f>F265*-52.088</f>
        <v>0</v>
      </c>
      <c r="G317">
        <f>G265*-7.648</f>
        <v>0</v>
      </c>
      <c r="H317">
        <f>H265*0.0</f>
        <v>0</v>
      </c>
      <c r="I317">
        <f>I265*-87.522</f>
        <v>0</v>
      </c>
      <c r="J317">
        <f>J265*-43.938</f>
        <v>0</v>
      </c>
      <c r="K317">
        <f>K265*32.953</f>
        <v>0</v>
      </c>
      <c r="L317">
        <f>L265*26.296999999999997</f>
        <v>0</v>
      </c>
      <c r="M317">
        <f>M265*-123.95</f>
        <v>0</v>
      </c>
      <c r="N317">
        <f>E317+F317+G317+H317+I317+J317+K317+L317</f>
        <v>0</v>
      </c>
    </row>
    <row r="318" spans="3:14">
      <c r="C318">
        <f>45.0</f>
        <v>0</v>
      </c>
      <c r="D318">
        <f>5.0</f>
        <v>0</v>
      </c>
      <c r="E318">
        <f>E265*1.291</f>
        <v>0</v>
      </c>
      <c r="F318">
        <f>F265*-51.196999999999996</f>
        <v>0</v>
      </c>
      <c r="G318">
        <f>G265*-7.635</f>
        <v>0</v>
      </c>
      <c r="H318">
        <f>H265*0.0</f>
        <v>0</v>
      </c>
      <c r="I318">
        <f>I265*-76.236</f>
        <v>0</v>
      </c>
      <c r="J318">
        <f>J265*-38.473</f>
        <v>0</v>
      </c>
      <c r="K318">
        <f>K265*28.855</f>
        <v>0</v>
      </c>
      <c r="L318">
        <f>L265*28.695999999999998</f>
        <v>0</v>
      </c>
      <c r="M318">
        <f>M265*-125.54700000000001</f>
        <v>0</v>
      </c>
      <c r="N318">
        <f>E318+F318+G318+H318+I318+J318+K318+L318</f>
        <v>0</v>
      </c>
    </row>
    <row r="319" spans="3:14">
      <c r="C319">
        <f>46.0</f>
        <v>0</v>
      </c>
      <c r="D319">
        <f>6.0</f>
        <v>0</v>
      </c>
      <c r="E319">
        <f>E265*0.632</f>
        <v>0</v>
      </c>
      <c r="F319">
        <f>F265*-49.457</f>
        <v>0</v>
      </c>
      <c r="G319">
        <f>G265*-7.401</f>
        <v>0</v>
      </c>
      <c r="H319">
        <f>H265*0.0</f>
        <v>0</v>
      </c>
      <c r="I319">
        <f>I265*-80.99600000000001</f>
        <v>0</v>
      </c>
      <c r="J319">
        <f>J265*-93.522</f>
        <v>0</v>
      </c>
      <c r="K319">
        <f>K265*70.141</f>
        <v>0</v>
      </c>
      <c r="L319">
        <f>L265*26.522</f>
        <v>0</v>
      </c>
      <c r="M319">
        <f>M265*-123.051</f>
        <v>0</v>
      </c>
      <c r="N319">
        <f>E319+F319+G319+H319+I319+J319+K319+L319</f>
        <v>0</v>
      </c>
    </row>
    <row r="320" spans="3:14">
      <c r="C320">
        <f>47.0</f>
        <v>0</v>
      </c>
      <c r="D320">
        <f>7.0</f>
        <v>0</v>
      </c>
      <c r="E320">
        <f>E265*-3.21</f>
        <v>0</v>
      </c>
      <c r="F320">
        <f>F265*-45.681000000000004</f>
        <v>0</v>
      </c>
      <c r="G320">
        <f>G265*-6.6770000000000005</f>
        <v>0</v>
      </c>
      <c r="H320">
        <f>H265*0.0</f>
        <v>0</v>
      </c>
      <c r="I320">
        <f>I265*-91.24600000000001</f>
        <v>0</v>
      </c>
      <c r="J320">
        <f>J265*-124.985</f>
        <v>0</v>
      </c>
      <c r="K320">
        <f>K265*93.73899999999999</f>
        <v>0</v>
      </c>
      <c r="L320">
        <f>L265*19.567</f>
        <v>0</v>
      </c>
      <c r="M320">
        <f>M265*-106.834</f>
        <v>0</v>
      </c>
      <c r="N320">
        <f>E320+F320+G320+H320+I320+J320+K320+L320</f>
        <v>0</v>
      </c>
    </row>
    <row r="321" spans="3:14">
      <c r="C321">
        <f>48.0</f>
        <v>0</v>
      </c>
      <c r="D321">
        <f>8.0</f>
        <v>0</v>
      </c>
      <c r="E321">
        <f>E265*-4.363</f>
        <v>0</v>
      </c>
      <c r="F321">
        <f>F265*-37.69</f>
        <v>0</v>
      </c>
      <c r="G321">
        <f>G265*-5.4110000000000005</f>
        <v>0</v>
      </c>
      <c r="H321">
        <f>H265*0.0</f>
        <v>0</v>
      </c>
      <c r="I321">
        <f>I265*-91.135</f>
        <v>0</v>
      </c>
      <c r="J321">
        <f>J265*-104.66</f>
        <v>0</v>
      </c>
      <c r="K321">
        <f>K265*78.495</f>
        <v>0</v>
      </c>
      <c r="L321">
        <f>L265*12.519</f>
        <v>0</v>
      </c>
      <c r="M321">
        <f>M265*-85.537</f>
        <v>0</v>
      </c>
      <c r="N321">
        <f>E321+F321+G321+H321+I321+J321+K321+L321</f>
        <v>0</v>
      </c>
    </row>
    <row r="322" spans="3:14">
      <c r="C322">
        <f>49.0</f>
        <v>0</v>
      </c>
      <c r="D322">
        <f>9.0</f>
        <v>0</v>
      </c>
      <c r="E322">
        <f>E265*-4.285</f>
        <v>0</v>
      </c>
      <c r="F322">
        <f>F265*-25.776999999999997</f>
        <v>0</v>
      </c>
      <c r="G322">
        <f>G265*-3.64</f>
        <v>0</v>
      </c>
      <c r="H322">
        <f>H265*0.0</f>
        <v>0</v>
      </c>
      <c r="I322">
        <f>I265*-74.83</f>
        <v>0</v>
      </c>
      <c r="J322">
        <f>J265*125.337</f>
        <v>0</v>
      </c>
      <c r="K322">
        <f>K265*-94.00299999999999</f>
        <v>0</v>
      </c>
      <c r="L322">
        <f>L265*5.784</f>
        <v>0</v>
      </c>
      <c r="M322">
        <f>M265*-57.736000000000004</f>
        <v>0</v>
      </c>
      <c r="N322">
        <f>E322+F322+G322+H322+I322+J322+K322+L322</f>
        <v>0</v>
      </c>
    </row>
    <row r="323" spans="3:14">
      <c r="C323">
        <f>50.0</f>
        <v>0</v>
      </c>
      <c r="D323">
        <f>10.0</f>
        <v>0</v>
      </c>
      <c r="E323">
        <f>E265*-3.326</f>
        <v>0</v>
      </c>
      <c r="F323">
        <f>F265*-13.796</f>
        <v>0</v>
      </c>
      <c r="G323">
        <f>G265*-1.87</f>
        <v>0</v>
      </c>
      <c r="H323">
        <f>H265*0.0</f>
        <v>0</v>
      </c>
      <c r="I323">
        <f>I265*-52.707</f>
        <v>0</v>
      </c>
      <c r="J323">
        <f>J265*184.67</f>
        <v>0</v>
      </c>
      <c r="K323">
        <f>K265*-138.502</f>
        <v>0</v>
      </c>
      <c r="L323">
        <f>L265*2.326</f>
        <v>0</v>
      </c>
      <c r="M323">
        <f>M265*-29.671</f>
        <v>0</v>
      </c>
      <c r="N323">
        <f>E323+F323+G323+H323+I323+J323+K323+L323</f>
        <v>0</v>
      </c>
    </row>
    <row r="330" spans="3:14">
      <c r="C330" t="s">
        <v>0</v>
      </c>
      <c r="D330" t="s">
        <v>1</v>
      </c>
      <c r="E330" t="s">
        <v>2</v>
      </c>
      <c r="F330" t="s">
        <v>3</v>
      </c>
      <c r="G330" t="s">
        <v>4</v>
      </c>
      <c r="H330" t="s">
        <v>5</v>
      </c>
      <c r="I330" t="s">
        <v>6</v>
      </c>
      <c r="J330" t="s">
        <v>7</v>
      </c>
      <c r="K330" t="s">
        <v>8</v>
      </c>
      <c r="L330" t="s">
        <v>9</v>
      </c>
      <c r="M330" t="s">
        <v>10</v>
      </c>
      <c r="N330" t="s">
        <v>11</v>
      </c>
    </row>
    <row r="331" spans="3:14">
      <c r="C331">
        <f>0.0</f>
        <v>0</v>
      </c>
      <c r="D331">
        <f>0.0</f>
        <v>0</v>
      </c>
      <c r="E331">
        <f>E329*-7.4743</f>
        <v>0</v>
      </c>
      <c r="F331">
        <f>F329*2.3825</f>
        <v>0</v>
      </c>
      <c r="G331">
        <f>G329*0.778</f>
        <v>0</v>
      </c>
      <c r="H331">
        <f>H329*0.0</f>
        <v>0</v>
      </c>
      <c r="I331">
        <f>I329*-0.0197</f>
        <v>0</v>
      </c>
      <c r="J331">
        <f>J329*23.8861</f>
        <v>0</v>
      </c>
      <c r="K331">
        <f>K329*-17.9146</f>
        <v>0</v>
      </c>
      <c r="L331">
        <f>L329*81.2744</f>
        <v>0</v>
      </c>
      <c r="M331">
        <f>M329*-60.4272</f>
        <v>0</v>
      </c>
      <c r="N331">
        <f>E331+F331+G331+H331+I331+J331+K331+L331</f>
        <v>0</v>
      </c>
    </row>
    <row r="332" spans="3:14">
      <c r="C332">
        <f>1.0</f>
        <v>0</v>
      </c>
      <c r="D332">
        <f>1.0</f>
        <v>0</v>
      </c>
      <c r="E332">
        <f>E329*-7.0033</f>
        <v>0</v>
      </c>
      <c r="F332">
        <f>F329*-4.6229</f>
        <v>0</v>
      </c>
      <c r="G332">
        <f>G329*0.1041</f>
        <v>0</v>
      </c>
      <c r="H332">
        <f>H329*0.0</f>
        <v>0</v>
      </c>
      <c r="I332">
        <f>I329*-0.0224</f>
        <v>0</v>
      </c>
      <c r="J332">
        <f>J329*30.8534</f>
        <v>0</v>
      </c>
      <c r="K332">
        <f>K329*-23.1401</f>
        <v>0</v>
      </c>
      <c r="L332">
        <f>L329*83.1619</f>
        <v>0</v>
      </c>
      <c r="M332">
        <f>M329*-63.3992</f>
        <v>0</v>
      </c>
      <c r="N332">
        <f>E332+F332+G332+H332+I332+J332+K332+L332</f>
        <v>0</v>
      </c>
    </row>
    <row r="333" spans="3:14">
      <c r="C333">
        <f>2.0</f>
        <v>0</v>
      </c>
      <c r="D333">
        <f>2.0</f>
        <v>0</v>
      </c>
      <c r="E333">
        <f>E329*-6.4536</f>
        <v>0</v>
      </c>
      <c r="F333">
        <f>F329*-5.9685</f>
        <v>0</v>
      </c>
      <c r="G333">
        <f>G329*-0.2979</f>
        <v>0</v>
      </c>
      <c r="H333">
        <f>H329*0.0</f>
        <v>0</v>
      </c>
      <c r="I333">
        <f>I329*-0.0264</f>
        <v>0</v>
      </c>
      <c r="J333">
        <f>J329*51.7659</f>
        <v>0</v>
      </c>
      <c r="K333">
        <f>K329*-38.8244</f>
        <v>0</v>
      </c>
      <c r="L333">
        <f>L329*82.8349</f>
        <v>0</v>
      </c>
      <c r="M333">
        <f>M329*-69.8588</f>
        <v>0</v>
      </c>
      <c r="N333">
        <f>E333+F333+G333+H333+I333+J333+K333+L333</f>
        <v>0</v>
      </c>
    </row>
    <row r="334" spans="3:14">
      <c r="C334">
        <f>3.0</f>
        <v>0</v>
      </c>
      <c r="D334">
        <f>3.0</f>
        <v>0</v>
      </c>
      <c r="E334">
        <f>E329*-5.1527</f>
        <v>0</v>
      </c>
      <c r="F334">
        <f>F329*-6.4198</f>
        <v>0</v>
      </c>
      <c r="G334">
        <f>G329*-0.473</f>
        <v>0</v>
      </c>
      <c r="H334">
        <f>H329*0.0</f>
        <v>0</v>
      </c>
      <c r="I334">
        <f>I329*-0.03</f>
        <v>0</v>
      </c>
      <c r="J334">
        <f>J329*65.8338</f>
        <v>0</v>
      </c>
      <c r="K334">
        <f>K329*-49.3753</f>
        <v>0</v>
      </c>
      <c r="L334">
        <f>L329*81.1166</f>
        <v>0</v>
      </c>
      <c r="M334">
        <f>M329*-85.9251</f>
        <v>0</v>
      </c>
      <c r="N334">
        <f>E334+F334+G334+H334+I334+J334+K334+L334</f>
        <v>0</v>
      </c>
    </row>
    <row r="335" spans="3:14">
      <c r="C335">
        <f>4.0</f>
        <v>0</v>
      </c>
      <c r="D335">
        <f>4.0</f>
        <v>0</v>
      </c>
      <c r="E335">
        <f>E329*-3.0157</f>
        <v>0</v>
      </c>
      <c r="F335">
        <f>F329*-5.9265</f>
        <v>0</v>
      </c>
      <c r="G335">
        <f>G329*-0.5641</f>
        <v>0</v>
      </c>
      <c r="H335">
        <f>H329*0.0</f>
        <v>0</v>
      </c>
      <c r="I335">
        <f>I329*-0.0335</f>
        <v>0</v>
      </c>
      <c r="J335">
        <f>J329*75.62899999999999</f>
        <v>0</v>
      </c>
      <c r="K335">
        <f>K329*-56.7218</f>
        <v>0</v>
      </c>
      <c r="L335">
        <f>L329*77.7223</f>
        <v>0</v>
      </c>
      <c r="M335">
        <f>M329*-79.5549</f>
        <v>0</v>
      </c>
      <c r="N335">
        <f>E335+F335+G335+H335+I335+J335+K335+L335</f>
        <v>0</v>
      </c>
    </row>
    <row r="336" spans="3:14">
      <c r="C336">
        <f>5.0</f>
        <v>0</v>
      </c>
      <c r="D336">
        <f>5.0</f>
        <v>0</v>
      </c>
      <c r="E336">
        <f>E329*-9.0011</f>
        <v>0</v>
      </c>
      <c r="F336">
        <f>F329*-4.7017</f>
        <v>0</v>
      </c>
      <c r="G336">
        <f>G329*-0.6197</f>
        <v>0</v>
      </c>
      <c r="H336">
        <f>H329*0.0</f>
        <v>0</v>
      </c>
      <c r="I336">
        <f>I329*-0.037000000000000005</f>
        <v>0</v>
      </c>
      <c r="J336">
        <f>J329*82.0943</f>
        <v>0</v>
      </c>
      <c r="K336">
        <f>K329*-61.5707</f>
        <v>0</v>
      </c>
      <c r="L336">
        <f>L329*82.4092</f>
        <v>0</v>
      </c>
      <c r="M336">
        <f>M329*-96.6885</f>
        <v>0</v>
      </c>
      <c r="N336">
        <f>E336+F336+G336+H336+I336+J336+K336+L336</f>
        <v>0</v>
      </c>
    </row>
    <row r="337" spans="3:14">
      <c r="C337">
        <f>6.0</f>
        <v>0</v>
      </c>
      <c r="D337">
        <f>6.0</f>
        <v>0</v>
      </c>
      <c r="E337">
        <f>E329*-7.0903</f>
        <v>0</v>
      </c>
      <c r="F337">
        <f>F329*-6.2373</f>
        <v>0</v>
      </c>
      <c r="G337">
        <f>G329*-0.1204</f>
        <v>0</v>
      </c>
      <c r="H337">
        <f>H329*0.0</f>
        <v>0</v>
      </c>
      <c r="I337">
        <f>I329*-0.0386</f>
        <v>0</v>
      </c>
      <c r="J337">
        <f>J329*17.6391</f>
        <v>0</v>
      </c>
      <c r="K337">
        <f>K329*-13.2293</f>
        <v>0</v>
      </c>
      <c r="L337">
        <f>L329*78.043</f>
        <v>0</v>
      </c>
      <c r="M337">
        <f>M329*-65.0764</f>
        <v>0</v>
      </c>
      <c r="N337">
        <f>E337+F337+G337+H337+I337+J337+K337+L337</f>
        <v>0</v>
      </c>
    </row>
    <row r="338" spans="3:14">
      <c r="C338">
        <f>7.0</f>
        <v>0</v>
      </c>
      <c r="D338">
        <f>7.0</f>
        <v>0</v>
      </c>
      <c r="E338">
        <f>E329*-4.1943</f>
        <v>0</v>
      </c>
      <c r="F338">
        <f>F329*-4.7894</f>
        <v>0</v>
      </c>
      <c r="G338">
        <f>G329*-0.1619</f>
        <v>0</v>
      </c>
      <c r="H338">
        <f>H329*0.0</f>
        <v>0</v>
      </c>
      <c r="I338">
        <f>I329*-0.0398</f>
        <v>0</v>
      </c>
      <c r="J338">
        <f>J329*22.636</f>
        <v>0</v>
      </c>
      <c r="K338">
        <f>K329*-16.977</f>
        <v>0</v>
      </c>
      <c r="L338">
        <f>L329*71.5957</f>
        <v>0</v>
      </c>
      <c r="M338">
        <f>M329*-62.7752</f>
        <v>0</v>
      </c>
      <c r="N338">
        <f>E338+F338+G338+H338+I338+J338+K338+L338</f>
        <v>0</v>
      </c>
    </row>
    <row r="339" spans="3:14">
      <c r="C339">
        <f>8.0</f>
        <v>0</v>
      </c>
      <c r="D339">
        <f>8.0</f>
        <v>0</v>
      </c>
      <c r="E339">
        <f>E329*-1.5036</f>
        <v>0</v>
      </c>
      <c r="F339">
        <f>F329*-3.3501</f>
        <v>0</v>
      </c>
      <c r="G339">
        <f>G329*-0.1914</f>
        <v>0</v>
      </c>
      <c r="H339">
        <f>H329*0.0</f>
        <v>0</v>
      </c>
      <c r="I339">
        <f>I329*-0.0414</f>
        <v>0</v>
      </c>
      <c r="J339">
        <f>J329*26.8063</f>
        <v>0</v>
      </c>
      <c r="K339">
        <f>K329*-20.1048</f>
        <v>0</v>
      </c>
      <c r="L339">
        <f>L329*67.137</f>
        <v>0</v>
      </c>
      <c r="M339">
        <f>M329*-60.4384</f>
        <v>0</v>
      </c>
      <c r="N339">
        <f>E339+F339+G339+H339+I339+J339+K339+L339</f>
        <v>0</v>
      </c>
    </row>
    <row r="340" spans="3:14">
      <c r="C340">
        <f>9.0</f>
        <v>0</v>
      </c>
      <c r="D340">
        <f>9.0</f>
        <v>0</v>
      </c>
      <c r="E340">
        <f>E329*2.5544</f>
        <v>0</v>
      </c>
      <c r="F340">
        <f>F329*2.2202</f>
        <v>0</v>
      </c>
      <c r="G340">
        <f>G329*-0.2171</f>
        <v>0</v>
      </c>
      <c r="H340">
        <f>H329*0.0</f>
        <v>0</v>
      </c>
      <c r="I340">
        <f>I329*-0.0433</f>
        <v>0</v>
      </c>
      <c r="J340">
        <f>J329*31.2208</f>
        <v>0</v>
      </c>
      <c r="K340">
        <f>K329*-23.4156</f>
        <v>0</v>
      </c>
      <c r="L340">
        <f>L329*60.5326</f>
        <v>0</v>
      </c>
      <c r="M340">
        <f>M329*-57.6951</f>
        <v>0</v>
      </c>
      <c r="N340">
        <f>E340+F340+G340+H340+I340+J340+K340+L340</f>
        <v>0</v>
      </c>
    </row>
    <row r="341" spans="3:14">
      <c r="C341">
        <f>10.0</f>
        <v>0</v>
      </c>
      <c r="D341">
        <f>10.0</f>
        <v>0</v>
      </c>
      <c r="E341">
        <f>E329*-5.8173</f>
        <v>0</v>
      </c>
      <c r="F341">
        <f>F329*-1.1271</f>
        <v>0</v>
      </c>
      <c r="G341">
        <f>G329*-0.1958</f>
        <v>0</v>
      </c>
      <c r="H341">
        <f>H329*0.0</f>
        <v>0</v>
      </c>
      <c r="I341">
        <f>I329*-0.0449</f>
        <v>0</v>
      </c>
      <c r="J341">
        <f>J329*36.0427</f>
        <v>0</v>
      </c>
      <c r="K341">
        <f>K329*-27.031999999999996</f>
        <v>0</v>
      </c>
      <c r="L341">
        <f>L329*54.9137</f>
        <v>0</v>
      </c>
      <c r="M341">
        <f>M329*-52.9155</f>
        <v>0</v>
      </c>
      <c r="N341">
        <f>E341+F341+G341+H341+I341+J341+K341+L341</f>
        <v>0</v>
      </c>
    </row>
    <row r="342" spans="3:14">
      <c r="C342">
        <f>11.0</f>
        <v>0</v>
      </c>
      <c r="D342">
        <f>11.0</f>
        <v>0</v>
      </c>
      <c r="E342">
        <f>E329*-3.9015</f>
        <v>0</v>
      </c>
      <c r="F342">
        <f>F329*-3.3625</f>
        <v>0</v>
      </c>
      <c r="G342">
        <f>G329*0.134</f>
        <v>0</v>
      </c>
      <c r="H342">
        <f>H329*0.0</f>
        <v>0</v>
      </c>
      <c r="I342">
        <f>I329*-0.0448</f>
        <v>0</v>
      </c>
      <c r="J342">
        <f>J329*-13.5065</f>
        <v>0</v>
      </c>
      <c r="K342">
        <f>K329*10.1298</f>
        <v>0</v>
      </c>
      <c r="L342">
        <f>L329*47.0584</f>
        <v>0</v>
      </c>
      <c r="M342">
        <f>M329*-53.7023</f>
        <v>0</v>
      </c>
      <c r="N342">
        <f>E342+F342+G342+H342+I342+J342+K342+L342</f>
        <v>0</v>
      </c>
    </row>
    <row r="343" spans="3:14">
      <c r="C343">
        <f>12.0</f>
        <v>0</v>
      </c>
      <c r="D343">
        <f>12.0</f>
        <v>0</v>
      </c>
      <c r="E343">
        <f>E329*-1.0844</f>
        <v>0</v>
      </c>
      <c r="F343">
        <f>F329*-2.1216</f>
        <v>0</v>
      </c>
      <c r="G343">
        <f>G329*0.0632</f>
        <v>0</v>
      </c>
      <c r="H343">
        <f>H329*0.0</f>
        <v>0</v>
      </c>
      <c r="I343">
        <f>I329*-0.0442</f>
        <v>0</v>
      </c>
      <c r="J343">
        <f>J329*-8.5994</f>
        <v>0</v>
      </c>
      <c r="K343">
        <f>K329*6.4495</f>
        <v>0</v>
      </c>
      <c r="L343">
        <f>L329*49.3994</f>
        <v>0</v>
      </c>
      <c r="M343">
        <f>M329*-60.6219</f>
        <v>0</v>
      </c>
      <c r="N343">
        <f>E343+F343+G343+H343+I343+J343+K343+L343</f>
        <v>0</v>
      </c>
    </row>
    <row r="344" spans="3:14">
      <c r="C344">
        <f>13.0</f>
        <v>0</v>
      </c>
      <c r="D344">
        <f>13.0</f>
        <v>0</v>
      </c>
      <c r="E344">
        <f>E329*2.605</f>
        <v>0</v>
      </c>
      <c r="F344">
        <f>F329*1.7515</f>
        <v>0</v>
      </c>
      <c r="G344">
        <f>G329*-0.1493</f>
        <v>0</v>
      </c>
      <c r="H344">
        <f>H329*0.0</f>
        <v>0</v>
      </c>
      <c r="I344">
        <f>I329*-0.0438</f>
        <v>0</v>
      </c>
      <c r="J344">
        <f>J329*-3.6059</f>
        <v>0</v>
      </c>
      <c r="K344">
        <f>K329*2.7044</f>
        <v>0</v>
      </c>
      <c r="L344">
        <f>L329*53.1315</f>
        <v>0</v>
      </c>
      <c r="M344">
        <f>M329*-65.9546</f>
        <v>0</v>
      </c>
      <c r="N344">
        <f>E344+F344+G344+H344+I344+J344+K344+L344</f>
        <v>0</v>
      </c>
    </row>
    <row r="345" spans="3:14">
      <c r="C345">
        <f>14.0</f>
        <v>0</v>
      </c>
      <c r="D345">
        <f>14.0</f>
        <v>0</v>
      </c>
      <c r="E345">
        <f>E329*5.3705</f>
        <v>0</v>
      </c>
      <c r="F345">
        <f>F329*1.8154</f>
        <v>0</v>
      </c>
      <c r="G345">
        <f>G329*-0.3798</f>
        <v>0</v>
      </c>
      <c r="H345">
        <f>H329*0.0</f>
        <v>0</v>
      </c>
      <c r="I345">
        <f>I329*-0.0438</f>
        <v>0</v>
      </c>
      <c r="J345">
        <f>J329*3.2107</f>
        <v>0</v>
      </c>
      <c r="K345">
        <f>K329*-2.408</f>
        <v>0</v>
      </c>
      <c r="L345">
        <f>L329*57.4627</f>
        <v>0</v>
      </c>
      <c r="M345">
        <f>M329*-74.4567</f>
        <v>0</v>
      </c>
      <c r="N345">
        <f>E345+F345+G345+H345+I345+J345+K345+L345</f>
        <v>0</v>
      </c>
    </row>
    <row r="346" spans="3:14">
      <c r="C346">
        <f>15.0</f>
        <v>0</v>
      </c>
      <c r="D346">
        <f>15.0</f>
        <v>0</v>
      </c>
      <c r="E346">
        <f>E329*7.2276</f>
        <v>0</v>
      </c>
      <c r="F346">
        <f>F329*-4.7339</f>
        <v>0</v>
      </c>
      <c r="G346">
        <f>G329*-0.5324</f>
        <v>0</v>
      </c>
      <c r="H346">
        <f>H329*0.0</f>
        <v>0</v>
      </c>
      <c r="I346">
        <f>I329*-0.0427</f>
        <v>0</v>
      </c>
      <c r="J346">
        <f>J329*-51.4318</f>
        <v>0</v>
      </c>
      <c r="K346">
        <f>K329*38.5739</f>
        <v>0</v>
      </c>
      <c r="L346">
        <f>L329*94.6758</f>
        <v>0</v>
      </c>
      <c r="M346">
        <f>M329*-80.1884</f>
        <v>0</v>
      </c>
      <c r="N346">
        <f>E346+F346+G346+H346+I346+J346+K346+L346</f>
        <v>0</v>
      </c>
    </row>
    <row r="347" spans="3:14">
      <c r="C347">
        <f>15.91</f>
        <v>0</v>
      </c>
      <c r="D347">
        <f>15.91</f>
        <v>0</v>
      </c>
      <c r="E347">
        <f>E329*-0.7879999999999999</f>
        <v>0</v>
      </c>
      <c r="F347">
        <f>F329*-7.6332</f>
        <v>0</v>
      </c>
      <c r="G347">
        <f>G329*-0.7923</f>
        <v>0</v>
      </c>
      <c r="H347">
        <f>H329*0.0</f>
        <v>0</v>
      </c>
      <c r="I347">
        <f>I329*-0.0352</f>
        <v>0</v>
      </c>
      <c r="J347">
        <f>J329*-46.0675</f>
        <v>0</v>
      </c>
      <c r="K347">
        <f>K329*34.5506</f>
        <v>0</v>
      </c>
      <c r="L347">
        <f>L329*75.8633</f>
        <v>0</v>
      </c>
      <c r="M347">
        <f>M329*-87.4746</f>
        <v>0</v>
      </c>
      <c r="N347">
        <f>E347+F347+G347+H347+I347+J347+K347+L347</f>
        <v>0</v>
      </c>
    </row>
    <row r="348" spans="3:14">
      <c r="C348">
        <f>16.82</f>
        <v>0</v>
      </c>
      <c r="D348">
        <f>16.82</f>
        <v>0</v>
      </c>
      <c r="E348">
        <f>E329*2.6407</f>
        <v>0</v>
      </c>
      <c r="F348">
        <f>F329*-8.5649</f>
        <v>0</v>
      </c>
      <c r="G348">
        <f>G329*-1.2111</f>
        <v>0</v>
      </c>
      <c r="H348">
        <f>H329*0.0</f>
        <v>0</v>
      </c>
      <c r="I348">
        <f>I329*-0.033</f>
        <v>0</v>
      </c>
      <c r="J348">
        <f>J329*-40.6498</f>
        <v>0</v>
      </c>
      <c r="K348">
        <f>K329*30.4873</f>
        <v>0</v>
      </c>
      <c r="L348">
        <f>L329*75.4449</f>
        <v>0</v>
      </c>
      <c r="M348">
        <f>M329*-95.6357</f>
        <v>0</v>
      </c>
      <c r="N348">
        <f>E348+F348+G348+H348+I348+J348+K348+L348</f>
        <v>0</v>
      </c>
    </row>
    <row r="349" spans="3:14">
      <c r="C349">
        <f>17.73</f>
        <v>0</v>
      </c>
      <c r="D349">
        <f>17.73</f>
        <v>0</v>
      </c>
      <c r="E349">
        <f>E329*4.6769</f>
        <v>0</v>
      </c>
      <c r="F349">
        <f>F329*-10.5093</f>
        <v>0</v>
      </c>
      <c r="G349">
        <f>G329*-1.7646</f>
        <v>0</v>
      </c>
      <c r="H349">
        <f>H329*0.0</f>
        <v>0</v>
      </c>
      <c r="I349">
        <f>I329*-0.0322</f>
        <v>0</v>
      </c>
      <c r="J349">
        <f>J329*-35.0956</f>
        <v>0</v>
      </c>
      <c r="K349">
        <f>K329*26.3217</f>
        <v>0</v>
      </c>
      <c r="L349">
        <f>L329*78.5568</f>
        <v>0</v>
      </c>
      <c r="M349">
        <f>M329*-106.3565</f>
        <v>0</v>
      </c>
      <c r="N349">
        <f>E349+F349+G349+H349+I349+J349+K349+L349</f>
        <v>0</v>
      </c>
    </row>
    <row r="350" spans="3:14">
      <c r="C350">
        <f>18.64</f>
        <v>0</v>
      </c>
      <c r="D350">
        <f>18.64</f>
        <v>0</v>
      </c>
      <c r="E350">
        <f>E329*6.5125</f>
        <v>0</v>
      </c>
      <c r="F350">
        <f>F329*-13.0422</f>
        <v>0</v>
      </c>
      <c r="G350">
        <f>G329*-2.2777</f>
        <v>0</v>
      </c>
      <c r="H350">
        <f>H329*0.0</f>
        <v>0</v>
      </c>
      <c r="I350">
        <f>I329*-0.0334</f>
        <v>0</v>
      </c>
      <c r="J350">
        <f>J329*-28.0116</f>
        <v>0</v>
      </c>
      <c r="K350">
        <f>K329*21.0087</f>
        <v>0</v>
      </c>
      <c r="L350">
        <f>L329*69.0089</f>
        <v>0</v>
      </c>
      <c r="M350">
        <f>M329*-117.5597</f>
        <v>0</v>
      </c>
      <c r="N350">
        <f>E350+F350+G350+H350+I350+J350+K350+L350</f>
        <v>0</v>
      </c>
    </row>
    <row r="351" spans="3:14">
      <c r="C351">
        <f>19.55</f>
        <v>0</v>
      </c>
      <c r="D351">
        <f>19.55</f>
        <v>0</v>
      </c>
      <c r="E351">
        <f>E329*7.5791</f>
        <v>0</v>
      </c>
      <c r="F351">
        <f>F329*-13.5925</f>
        <v>0</v>
      </c>
      <c r="G351">
        <f>G329*-2.3877</f>
        <v>0</v>
      </c>
      <c r="H351">
        <f>H329*0.0</f>
        <v>0</v>
      </c>
      <c r="I351">
        <f>I329*-0.0342</f>
        <v>0</v>
      </c>
      <c r="J351">
        <f>J329*-41.8468</f>
        <v>0</v>
      </c>
      <c r="K351">
        <f>K329*31.3851</f>
        <v>0</v>
      </c>
      <c r="L351">
        <f>L329*94.7197</f>
        <v>0</v>
      </c>
      <c r="M351">
        <f>M329*-120.1429</f>
        <v>0</v>
      </c>
      <c r="N351">
        <f>E351+F351+G351+H351+I351+J351+K351+L351</f>
        <v>0</v>
      </c>
    </row>
    <row r="352" spans="3:14">
      <c r="C352">
        <f>20.0</f>
        <v>0</v>
      </c>
      <c r="D352">
        <f>20.0</f>
        <v>0</v>
      </c>
      <c r="E352">
        <f>E329*1.0775</f>
        <v>0</v>
      </c>
      <c r="F352">
        <f>F329*-13.8768</f>
        <v>0</v>
      </c>
      <c r="G352">
        <f>G329*-1.7843</f>
        <v>0</v>
      </c>
      <c r="H352">
        <f>H329*0.0</f>
        <v>0</v>
      </c>
      <c r="I352">
        <f>I329*-0.0187</f>
        <v>0</v>
      </c>
      <c r="J352">
        <f>J329*-41.8468</f>
        <v>0</v>
      </c>
      <c r="K352">
        <f>K329*31.3851</f>
        <v>0</v>
      </c>
      <c r="L352">
        <f>L329*94.7198</f>
        <v>0</v>
      </c>
      <c r="M352">
        <f>M329*-67.9792</f>
        <v>0</v>
      </c>
      <c r="N352">
        <f>E352+F352+G352+H352+I352+J352+K352+L352</f>
        <v>0</v>
      </c>
    </row>
    <row r="353" spans="3:14">
      <c r="C353">
        <f>20.0</f>
        <v>0</v>
      </c>
      <c r="D353">
        <f>0.0</f>
        <v>0</v>
      </c>
      <c r="E353">
        <f>E329*-0.9874</f>
        <v>0</v>
      </c>
      <c r="F353">
        <f>F329*12.4492</f>
        <v>0</v>
      </c>
      <c r="G353">
        <f>G329*1.5733</f>
        <v>0</v>
      </c>
      <c r="H353">
        <f>H329*0.0</f>
        <v>0</v>
      </c>
      <c r="I353">
        <f>I329*-0.7141</f>
        <v>0</v>
      </c>
      <c r="J353">
        <f>J329*40.0759</f>
        <v>0</v>
      </c>
      <c r="K353">
        <f>K329*-30.057</f>
        <v>0</v>
      </c>
      <c r="L353">
        <f>L329*70.0341</f>
        <v>0</v>
      </c>
      <c r="M353">
        <f>M329*-52.1809</f>
        <v>0</v>
      </c>
      <c r="N353">
        <f>E353+F353+G353+H353+I353+J353+K353+L353</f>
        <v>0</v>
      </c>
    </row>
    <row r="354" spans="3:14">
      <c r="C354">
        <f>20.45</f>
        <v>0</v>
      </c>
      <c r="D354">
        <f>0.45</f>
        <v>0</v>
      </c>
      <c r="E354">
        <f>E329*-7.4298</f>
        <v>0</v>
      </c>
      <c r="F354">
        <f>F329*11.8996</f>
        <v>0</v>
      </c>
      <c r="G354">
        <f>G329*2.1348</f>
        <v>0</v>
      </c>
      <c r="H354">
        <f>H329*0.0</f>
        <v>0</v>
      </c>
      <c r="I354">
        <f>I329*-0.9990000000000001</f>
        <v>0</v>
      </c>
      <c r="J354">
        <f>J329*40.0759</f>
        <v>0</v>
      </c>
      <c r="K354">
        <f>K329*-30.057</f>
        <v>0</v>
      </c>
      <c r="L354">
        <f>L329*126.4488</f>
        <v>0</v>
      </c>
      <c r="M354">
        <f>M329*-79.3569</f>
        <v>0</v>
      </c>
      <c r="N354">
        <f>E354+F354+G354+H354+I354+J354+K354+L354</f>
        <v>0</v>
      </c>
    </row>
    <row r="355" spans="3:14">
      <c r="C355">
        <f>21.36</f>
        <v>0</v>
      </c>
      <c r="D355">
        <f>1.36</f>
        <v>0</v>
      </c>
      <c r="E355">
        <f>E329*-6.4186</f>
        <v>0</v>
      </c>
      <c r="F355">
        <f>F329*12.4155</f>
        <v>0</v>
      </c>
      <c r="G355">
        <f>G329*2.0992</f>
        <v>0</v>
      </c>
      <c r="H355">
        <f>H329*0.0</f>
        <v>0</v>
      </c>
      <c r="I355">
        <f>I329*-1.016</f>
        <v>0</v>
      </c>
      <c r="J355">
        <f>J329*27.4169</f>
        <v>0</v>
      </c>
      <c r="K355">
        <f>K329*-20.5627</f>
        <v>0</v>
      </c>
      <c r="L355">
        <f>L329*124.7655</f>
        <v>0</v>
      </c>
      <c r="M355">
        <f>M329*-78.5011</f>
        <v>0</v>
      </c>
      <c r="N355">
        <f>E355+F355+G355+H355+I355+J355+K355+L355</f>
        <v>0</v>
      </c>
    </row>
    <row r="356" spans="3:14">
      <c r="C356">
        <f>22.27</f>
        <v>0</v>
      </c>
      <c r="D356">
        <f>2.27</f>
        <v>0</v>
      </c>
      <c r="E356">
        <f>E329*-4.7003</f>
        <v>0</v>
      </c>
      <c r="F356">
        <f>F329*10.8055</f>
        <v>0</v>
      </c>
      <c r="G356">
        <f>G329*1.7480000000000002</f>
        <v>0</v>
      </c>
      <c r="H356">
        <f>H329*0.0</f>
        <v>0</v>
      </c>
      <c r="I356">
        <f>I329*-1.0295</f>
        <v>0</v>
      </c>
      <c r="J356">
        <f>J329*36.3411</f>
        <v>0</v>
      </c>
      <c r="K356">
        <f>K329*-27.2558</f>
        <v>0</v>
      </c>
      <c r="L356">
        <f>L329*114.3764</f>
        <v>0</v>
      </c>
      <c r="M356">
        <f>M329*-79.3189</f>
        <v>0</v>
      </c>
      <c r="N356">
        <f>E356+F356+G356+H356+I356+J356+K356+L356</f>
        <v>0</v>
      </c>
    </row>
    <row r="357" spans="3:14">
      <c r="C357">
        <f>23.18</f>
        <v>0</v>
      </c>
      <c r="D357">
        <f>3.18</f>
        <v>0</v>
      </c>
      <c r="E357">
        <f>E329*-2.7578</f>
        <v>0</v>
      </c>
      <c r="F357">
        <f>F329*9.4375</f>
        <v>0</v>
      </c>
      <c r="G357">
        <f>G329*1.307</f>
        <v>0</v>
      </c>
      <c r="H357">
        <f>H329*0.0</f>
        <v>0</v>
      </c>
      <c r="I357">
        <f>I329*-1.0809</f>
        <v>0</v>
      </c>
      <c r="J357">
        <f>J329*43.227</f>
        <v>0</v>
      </c>
      <c r="K357">
        <f>K329*-32.4203</f>
        <v>0</v>
      </c>
      <c r="L357">
        <f>L329*104.3046</f>
        <v>0</v>
      </c>
      <c r="M357">
        <f>M329*-82.9953</f>
        <v>0</v>
      </c>
      <c r="N357">
        <f>E357+F357+G357+H357+I357+J357+K357+L357</f>
        <v>0</v>
      </c>
    </row>
    <row r="358" spans="3:14">
      <c r="C358">
        <f>24.09</f>
        <v>0</v>
      </c>
      <c r="D358">
        <f>4.09</f>
        <v>0</v>
      </c>
      <c r="E358">
        <f>E329*0.5660000000000001</f>
        <v>0</v>
      </c>
      <c r="F358">
        <f>F329*8.8139</f>
        <v>0</v>
      </c>
      <c r="G358">
        <f>G329*0.9556</f>
        <v>0</v>
      </c>
      <c r="H358">
        <f>H329*0.0</f>
        <v>0</v>
      </c>
      <c r="I358">
        <f>I329*-1.1628</f>
        <v>0</v>
      </c>
      <c r="J358">
        <f>J329*49.6143</f>
        <v>0</v>
      </c>
      <c r="K358">
        <f>K329*-37.2108</f>
        <v>0</v>
      </c>
      <c r="L358">
        <f>L329*96.3935</f>
        <v>0</v>
      </c>
      <c r="M358">
        <f>M329*-83.8031</f>
        <v>0</v>
      </c>
      <c r="N358">
        <f>E358+F358+G358+H358+I358+J358+K358+L358</f>
        <v>0</v>
      </c>
    </row>
    <row r="359" spans="3:14">
      <c r="C359">
        <f>25.0</f>
        <v>0</v>
      </c>
      <c r="D359">
        <f>5.0</f>
        <v>0</v>
      </c>
      <c r="E359">
        <f>E329*-7.4496</f>
        <v>0</v>
      </c>
      <c r="F359">
        <f>F329*5.9882</f>
        <v>0</v>
      </c>
      <c r="G359">
        <f>G329*0.7299</f>
        <v>0</v>
      </c>
      <c r="H359">
        <f>H329*0.0</f>
        <v>0</v>
      </c>
      <c r="I359">
        <f>I329*-1.2109999999999999</f>
        <v>0</v>
      </c>
      <c r="J359">
        <f>J329*55.3628</f>
        <v>0</v>
      </c>
      <c r="K359">
        <f>K329*-41.5221</f>
        <v>0</v>
      </c>
      <c r="L359">
        <f>L329*90.7916</f>
        <v>0</v>
      </c>
      <c r="M359">
        <f>M329*-81.9539</f>
        <v>0</v>
      </c>
      <c r="N359">
        <f>E359+F359+G359+H359+I359+J359+K359+L359</f>
        <v>0</v>
      </c>
    </row>
    <row r="360" spans="3:14">
      <c r="C360">
        <f>26.0</f>
        <v>0</v>
      </c>
      <c r="D360">
        <f>6.0</f>
        <v>0</v>
      </c>
      <c r="E360">
        <f>E329*-5.6186</f>
        <v>0</v>
      </c>
      <c r="F360">
        <f>F329*2.5657</f>
        <v>0</v>
      </c>
      <c r="G360">
        <f>G329*0.5802</f>
        <v>0</v>
      </c>
      <c r="H360">
        <f>H329*0.0</f>
        <v>0</v>
      </c>
      <c r="I360">
        <f>I329*-1.2681</f>
        <v>0</v>
      </c>
      <c r="J360">
        <f>J329*2.4656</f>
        <v>0</v>
      </c>
      <c r="K360">
        <f>K329*-1.8492</f>
        <v>0</v>
      </c>
      <c r="L360">
        <f>L329*84.98</f>
        <v>0</v>
      </c>
      <c r="M360">
        <f>M329*-67.2682</f>
        <v>0</v>
      </c>
      <c r="N360">
        <f>E360+F360+G360+H360+I360+J360+K360+L360</f>
        <v>0</v>
      </c>
    </row>
    <row r="361" spans="3:14">
      <c r="C361">
        <f>27.0</f>
        <v>0</v>
      </c>
      <c r="D361">
        <f>7.0</f>
        <v>0</v>
      </c>
      <c r="E361">
        <f>E329*-2.9141</f>
        <v>0</v>
      </c>
      <c r="F361">
        <f>F329*2.6169</f>
        <v>0</v>
      </c>
      <c r="G361">
        <f>G329*0.3433</f>
        <v>0</v>
      </c>
      <c r="H361">
        <f>H329*0.0</f>
        <v>0</v>
      </c>
      <c r="I361">
        <f>I329*-1.3797</f>
        <v>0</v>
      </c>
      <c r="J361">
        <f>J329*8.888</f>
        <v>0</v>
      </c>
      <c r="K361">
        <f>K329*-6.666</f>
        <v>0</v>
      </c>
      <c r="L361">
        <f>L329*74.7075</f>
        <v>0</v>
      </c>
      <c r="M361">
        <f>M329*-72.8645</f>
        <v>0</v>
      </c>
      <c r="N361">
        <f>E361+F361+G361+H361+I361+J361+K361+L361</f>
        <v>0</v>
      </c>
    </row>
    <row r="362" spans="3:14">
      <c r="C362">
        <f>28.0</f>
        <v>0</v>
      </c>
      <c r="D362">
        <f>8.0</f>
        <v>0</v>
      </c>
      <c r="E362">
        <f>E329*0.6541</f>
        <v>0</v>
      </c>
      <c r="F362">
        <f>F329*2.9842</f>
        <v>0</v>
      </c>
      <c r="G362">
        <f>G329*0.1497</f>
        <v>0</v>
      </c>
      <c r="H362">
        <f>H329*0.0</f>
        <v>0</v>
      </c>
      <c r="I362">
        <f>I329*-1.5681</f>
        <v>0</v>
      </c>
      <c r="J362">
        <f>J329*14.8797</f>
        <v>0</v>
      </c>
      <c r="K362">
        <f>K329*-11.1598</f>
        <v>0</v>
      </c>
      <c r="L362">
        <f>L329*68.4728</f>
        <v>0</v>
      </c>
      <c r="M362">
        <f>M329*-58.9036</f>
        <v>0</v>
      </c>
      <c r="N362">
        <f>E362+F362+G362+H362+I362+J362+K362+L362</f>
        <v>0</v>
      </c>
    </row>
    <row r="363" spans="3:14">
      <c r="C363">
        <f>29.0</f>
        <v>0</v>
      </c>
      <c r="D363">
        <f>9.0</f>
        <v>0</v>
      </c>
      <c r="E363">
        <f>E329*3.3651</f>
        <v>0</v>
      </c>
      <c r="F363">
        <f>F329*3.8516</f>
        <v>0</v>
      </c>
      <c r="G363">
        <f>G329*-0.0148</f>
        <v>0</v>
      </c>
      <c r="H363">
        <f>H329*0.0</f>
        <v>0</v>
      </c>
      <c r="I363">
        <f>I329*-1.8285</f>
        <v>0</v>
      </c>
      <c r="J363">
        <f>J329*20.9929</f>
        <v>0</v>
      </c>
      <c r="K363">
        <f>K329*-15.7446</f>
        <v>0</v>
      </c>
      <c r="L363">
        <f>L329*60.5414</f>
        <v>0</v>
      </c>
      <c r="M363">
        <f>M329*-75.2897</f>
        <v>0</v>
      </c>
      <c r="N363">
        <f>E363+F363+G363+H363+I363+J363+K363+L363</f>
        <v>0</v>
      </c>
    </row>
    <row r="364" spans="3:14">
      <c r="C364">
        <f>30.0</f>
        <v>0</v>
      </c>
      <c r="D364">
        <f>10.0</f>
        <v>0</v>
      </c>
      <c r="E364">
        <f>E329*-5.3098</f>
        <v>0</v>
      </c>
      <c r="F364">
        <f>F329*1.3843</f>
        <v>0</v>
      </c>
      <c r="G364">
        <f>G329*0.2839</f>
        <v>0</v>
      </c>
      <c r="H364">
        <f>H329*0.0</f>
        <v>0</v>
      </c>
      <c r="I364">
        <f>I329*-2.3301</f>
        <v>0</v>
      </c>
      <c r="J364">
        <f>J329*26.4868</f>
        <v>0</v>
      </c>
      <c r="K364">
        <f>K329*-19.8651</f>
        <v>0</v>
      </c>
      <c r="L364">
        <f>L329*53.5999</f>
        <v>0</v>
      </c>
      <c r="M364">
        <f>M329*-52.6373</f>
        <v>0</v>
      </c>
      <c r="N364">
        <f>E364+F364+G364+H364+I364+J364+K364+L364</f>
        <v>0</v>
      </c>
    </row>
    <row r="365" spans="3:14">
      <c r="C365">
        <f>31.0</f>
        <v>0</v>
      </c>
      <c r="D365">
        <f>11.0</f>
        <v>0</v>
      </c>
      <c r="E365">
        <f>E329*-3.4529</f>
        <v>0</v>
      </c>
      <c r="F365">
        <f>F329*-2.3723</f>
        <v>0</v>
      </c>
      <c r="G365">
        <f>G329*0.2354</f>
        <v>0</v>
      </c>
      <c r="H365">
        <f>H329*0.0</f>
        <v>0</v>
      </c>
      <c r="I365">
        <f>I329*-2.7177</f>
        <v>0</v>
      </c>
      <c r="J365">
        <f>J329*-18.8065</f>
        <v>0</v>
      </c>
      <c r="K365">
        <f>K329*14.1049</f>
        <v>0</v>
      </c>
      <c r="L365">
        <f>L329*54.3551</f>
        <v>0</v>
      </c>
      <c r="M365">
        <f>M329*-59.2323</f>
        <v>0</v>
      </c>
      <c r="N365">
        <f>E365+F365+G365+H365+I365+J365+K365+L365</f>
        <v>0</v>
      </c>
    </row>
    <row r="366" spans="3:14">
      <c r="C366">
        <f>32.0</f>
        <v>0</v>
      </c>
      <c r="D366">
        <f>12.0</f>
        <v>0</v>
      </c>
      <c r="E366">
        <f>E329*-0.7328</f>
        <v>0</v>
      </c>
      <c r="F366">
        <f>F329*2.0206</f>
        <v>0</v>
      </c>
      <c r="G366">
        <f>G329*0.1417</f>
        <v>0</v>
      </c>
      <c r="H366">
        <f>H329*0.0</f>
        <v>0</v>
      </c>
      <c r="I366">
        <f>I329*-3.3322</f>
        <v>0</v>
      </c>
      <c r="J366">
        <f>J329*-12.6881</f>
        <v>0</v>
      </c>
      <c r="K366">
        <f>K329*9.5161</f>
        <v>0</v>
      </c>
      <c r="L366">
        <f>L329*58.4928</f>
        <v>0</v>
      </c>
      <c r="M366">
        <f>M329*-67.3296</f>
        <v>0</v>
      </c>
      <c r="N366">
        <f>E366+F366+G366+H366+I366+J366+K366+L366</f>
        <v>0</v>
      </c>
    </row>
    <row r="367" spans="3:14">
      <c r="C367">
        <f>33.0</f>
        <v>0</v>
      </c>
      <c r="D367">
        <f>13.0</f>
        <v>0</v>
      </c>
      <c r="E367">
        <f>E329*2.8663</f>
        <v>0</v>
      </c>
      <c r="F367">
        <f>F329*2.3978</f>
        <v>0</v>
      </c>
      <c r="G367">
        <f>G329*-0.0709</f>
        <v>0</v>
      </c>
      <c r="H367">
        <f>H329*0.0</f>
        <v>0</v>
      </c>
      <c r="I367">
        <f>I329*-4.1849</f>
        <v>0</v>
      </c>
      <c r="J367">
        <f>J329*-6.7013</f>
        <v>0</v>
      </c>
      <c r="K367">
        <f>K329*5.026</f>
        <v>0</v>
      </c>
      <c r="L367">
        <f>L329*62.8604</f>
        <v>0</v>
      </c>
      <c r="M367">
        <f>M329*-73.4141</f>
        <v>0</v>
      </c>
      <c r="N367">
        <f>E367+F367+G367+H367+I367+J367+K367+L367</f>
        <v>0</v>
      </c>
    </row>
    <row r="368" spans="3:14">
      <c r="C368">
        <f>34.0</f>
        <v>0</v>
      </c>
      <c r="D368">
        <f>14.0</f>
        <v>0</v>
      </c>
      <c r="E368">
        <f>E329*5.6037</f>
        <v>0</v>
      </c>
      <c r="F368">
        <f>F329*2.5866</f>
        <v>0</v>
      </c>
      <c r="G368">
        <f>G329*-0.2795</f>
        <v>0</v>
      </c>
      <c r="H368">
        <f>H329*0.0</f>
        <v>0</v>
      </c>
      <c r="I368">
        <f>I329*-5.2955</f>
        <v>0</v>
      </c>
      <c r="J368">
        <f>J329*1.1745</f>
        <v>0</v>
      </c>
      <c r="K368">
        <f>K329*-0.8809</f>
        <v>0</v>
      </c>
      <c r="L368">
        <f>L329*67.5061</f>
        <v>0</v>
      </c>
      <c r="M368">
        <f>M329*-84.2208</f>
        <v>0</v>
      </c>
      <c r="N368">
        <f>E368+F368+G368+H368+I368+J368+K368+L368</f>
        <v>0</v>
      </c>
    </row>
    <row r="369" spans="3:14">
      <c r="C369">
        <f>35.0</f>
        <v>0</v>
      </c>
      <c r="D369">
        <f>15.0</f>
        <v>0</v>
      </c>
      <c r="E369">
        <f>E329*7.4546</f>
        <v>0</v>
      </c>
      <c r="F369">
        <f>F329*-2.4187</f>
        <v>0</v>
      </c>
      <c r="G369">
        <f>G329*-0.4191</f>
        <v>0</v>
      </c>
      <c r="H369">
        <f>H329*0.0</f>
        <v>0</v>
      </c>
      <c r="I369">
        <f>I329*-10.0798</f>
        <v>0</v>
      </c>
      <c r="J369">
        <f>J329*-52.6085</f>
        <v>0</v>
      </c>
      <c r="K369">
        <f>K329*39.4564</f>
        <v>0</v>
      </c>
      <c r="L369">
        <f>L329*83.9873</f>
        <v>0</v>
      </c>
      <c r="M369">
        <f>M329*-90.3524</f>
        <v>0</v>
      </c>
      <c r="N369">
        <f>E369+F369+G369+H369+I369+J369+K369+L369</f>
        <v>0</v>
      </c>
    </row>
    <row r="370" spans="3:14">
      <c r="C370">
        <f>35.91</f>
        <v>0</v>
      </c>
      <c r="D370">
        <f>15.91</f>
        <v>0</v>
      </c>
      <c r="E370">
        <f>E329*0.5619</f>
        <v>0</v>
      </c>
      <c r="F370">
        <f>F329*-5.2608</f>
        <v>0</v>
      </c>
      <c r="G370">
        <f>G329*-0.4366</f>
        <v>0</v>
      </c>
      <c r="H370">
        <f>H329*0.0</f>
        <v>0</v>
      </c>
      <c r="I370">
        <f>I329*-11.1818</f>
        <v>0</v>
      </c>
      <c r="J370">
        <f>J329*-47.0812</f>
        <v>0</v>
      </c>
      <c r="K370">
        <f>K329*35.3109</f>
        <v>0</v>
      </c>
      <c r="L370">
        <f>L329*86.2659</f>
        <v>0</v>
      </c>
      <c r="M370">
        <f>M329*-93.7998</f>
        <v>0</v>
      </c>
      <c r="N370">
        <f>E370+F370+G370+H370+I370+J370+K370+L370</f>
        <v>0</v>
      </c>
    </row>
    <row r="371" spans="3:14">
      <c r="C371">
        <f>36.82</f>
        <v>0</v>
      </c>
      <c r="D371">
        <f>16.82</f>
        <v>0</v>
      </c>
      <c r="E371">
        <f>E329*2.9659</f>
        <v>0</v>
      </c>
      <c r="F371">
        <f>F329*-5.9537</f>
        <v>0</v>
      </c>
      <c r="G371">
        <f>G329*-0.8204</f>
        <v>0</v>
      </c>
      <c r="H371">
        <f>H329*0.0</f>
        <v>0</v>
      </c>
      <c r="I371">
        <f>I329*-11.9314</f>
        <v>0</v>
      </c>
      <c r="J371">
        <f>J329*-41.4005</f>
        <v>0</v>
      </c>
      <c r="K371">
        <f>K329*31.0503</f>
        <v>0</v>
      </c>
      <c r="L371">
        <f>L329*95.6218</f>
        <v>0</v>
      </c>
      <c r="M371">
        <f>M329*-104.4675</f>
        <v>0</v>
      </c>
      <c r="N371">
        <f>E371+F371+G371+H371+I371+J371+K371+L371</f>
        <v>0</v>
      </c>
    </row>
    <row r="372" spans="3:14">
      <c r="C372">
        <f>37.73</f>
        <v>0</v>
      </c>
      <c r="D372">
        <f>17.73</f>
        <v>0</v>
      </c>
      <c r="E372">
        <f>E329*5.0221</f>
        <v>0</v>
      </c>
      <c r="F372">
        <f>F329*-7.6123</f>
        <v>0</v>
      </c>
      <c r="G372">
        <f>G329*-1.3342</f>
        <v>0</v>
      </c>
      <c r="H372">
        <f>H329*0.0</f>
        <v>0</v>
      </c>
      <c r="I372">
        <f>I329*-12.2952</f>
        <v>0</v>
      </c>
      <c r="J372">
        <f>J329*-35.6997</f>
        <v>0</v>
      </c>
      <c r="K372">
        <f>K329*26.7748</f>
        <v>0</v>
      </c>
      <c r="L372">
        <f>L329*81.5327</f>
        <v>0</v>
      </c>
      <c r="M372">
        <f>M329*-115.4001</f>
        <v>0</v>
      </c>
      <c r="N372">
        <f>E372+F372+G372+H372+I372+J372+K372+L372</f>
        <v>0</v>
      </c>
    </row>
    <row r="373" spans="3:14">
      <c r="C373">
        <f>38.64</f>
        <v>0</v>
      </c>
      <c r="D373">
        <f>18.64</f>
        <v>0</v>
      </c>
      <c r="E373">
        <f>E329*6.8634</f>
        <v>0</v>
      </c>
      <c r="F373">
        <f>F329*-9.9691</f>
        <v>0</v>
      </c>
      <c r="G373">
        <f>G329*-1.8433</f>
        <v>0</v>
      </c>
      <c r="H373">
        <f>H329*0.0</f>
        <v>0</v>
      </c>
      <c r="I373">
        <f>I329*-12.1942</f>
        <v>0</v>
      </c>
      <c r="J373">
        <f>J329*-28.6064</f>
        <v>0</v>
      </c>
      <c r="K373">
        <f>K329*21.4548</f>
        <v>0</v>
      </c>
      <c r="L373">
        <f>L329*80.4239</f>
        <v>0</v>
      </c>
      <c r="M373">
        <f>M329*-126.8834</f>
        <v>0</v>
      </c>
      <c r="N373">
        <f>E373+F373+G373+H373+I373+J373+K373+L373</f>
        <v>0</v>
      </c>
    </row>
    <row r="374" spans="3:14">
      <c r="C374">
        <f>39.55</f>
        <v>0</v>
      </c>
      <c r="D374">
        <f>19.55</f>
        <v>0</v>
      </c>
      <c r="E374">
        <f>E329*7.8923</f>
        <v>0</v>
      </c>
      <c r="F374">
        <f>F329*-10.9414</f>
        <v>0</v>
      </c>
      <c r="G374">
        <f>G329*-2.0123</f>
        <v>0</v>
      </c>
      <c r="H374">
        <f>H329*0.0</f>
        <v>0</v>
      </c>
      <c r="I374">
        <f>I329*-12.0416</f>
        <v>0</v>
      </c>
      <c r="J374">
        <f>J329*-42.4611</f>
        <v>0</v>
      </c>
      <c r="K374">
        <f>K329*31.8459</f>
        <v>0</v>
      </c>
      <c r="L374">
        <f>L329*101.2748</f>
        <v>0</v>
      </c>
      <c r="M374">
        <f>M329*-129.3459</f>
        <v>0</v>
      </c>
      <c r="N374">
        <f>E374+F374+G374+H374+I374+J374+K374+L374</f>
        <v>0</v>
      </c>
    </row>
    <row r="375" spans="3:14">
      <c r="C375">
        <f>40.0</f>
        <v>0</v>
      </c>
      <c r="D375">
        <f>20.0</f>
        <v>0</v>
      </c>
      <c r="E375">
        <f>E329*1.442</f>
        <v>0</v>
      </c>
      <c r="F375">
        <f>F329*-10.5839</f>
        <v>0</v>
      </c>
      <c r="G375">
        <f>G329*-1.3171</f>
        <v>0</v>
      </c>
      <c r="H375">
        <f>H329*0.0</f>
        <v>0</v>
      </c>
      <c r="I375">
        <f>I329*-12.0416</f>
        <v>0</v>
      </c>
      <c r="J375">
        <f>J329*-42.4611</f>
        <v>0</v>
      </c>
      <c r="K375">
        <f>K329*31.8459</f>
        <v>0</v>
      </c>
      <c r="L375">
        <f>L329*101.2748</f>
        <v>0</v>
      </c>
      <c r="M375">
        <f>M329*-75.275</f>
        <v>0</v>
      </c>
      <c r="N375">
        <f>E375+F375+G375+H375+I375+J375+K375+L375</f>
        <v>0</v>
      </c>
    </row>
    <row r="376" spans="3:14">
      <c r="C376">
        <f>40.0</f>
        <v>0</v>
      </c>
      <c r="D376">
        <f>0.0</f>
        <v>0</v>
      </c>
      <c r="E376">
        <f>E329*-0.5331</f>
        <v>0</v>
      </c>
      <c r="F376">
        <f>F329*11.1642</f>
        <v>0</v>
      </c>
      <c r="G376">
        <f>G329*1.358</f>
        <v>0</v>
      </c>
      <c r="H376">
        <f>H329*0.0</f>
        <v>0</v>
      </c>
      <c r="I376">
        <f>I329*-36.3925</f>
        <v>0</v>
      </c>
      <c r="J376">
        <f>J329*32.1084</f>
        <v>0</v>
      </c>
      <c r="K376">
        <f>K329*-24.0813</f>
        <v>0</v>
      </c>
      <c r="L376">
        <f>L329*31.4492</f>
        <v>0</v>
      </c>
      <c r="M376">
        <f>M329*-14.0963</f>
        <v>0</v>
      </c>
      <c r="N376">
        <f>E376+F376+G376+H376+I376+J376+K376+L376</f>
        <v>0</v>
      </c>
    </row>
    <row r="377" spans="3:14">
      <c r="C377">
        <f>40.45</f>
        <v>0</v>
      </c>
      <c r="D377">
        <f>0.45</f>
        <v>0</v>
      </c>
      <c r="E377">
        <f>E329*-6.4635</f>
        <v>0</v>
      </c>
      <c r="F377">
        <f>F329*12.3822</f>
        <v>0</v>
      </c>
      <c r="G377">
        <f>G329*2.1533</f>
        <v>0</v>
      </c>
      <c r="H377">
        <f>H329*0.0</f>
        <v>0</v>
      </c>
      <c r="I377">
        <f>I329*-54.7634</f>
        <v>0</v>
      </c>
      <c r="J377">
        <f>J329*32.1084</f>
        <v>0</v>
      </c>
      <c r="K377">
        <f>K329*-24.0813</f>
        <v>0</v>
      </c>
      <c r="L377">
        <f>L329*73.8661</f>
        <v>0</v>
      </c>
      <c r="M377">
        <f>M329*-29.7202</f>
        <v>0</v>
      </c>
      <c r="N377">
        <f>E377+F377+G377+H377+I377+J377+K377+L377</f>
        <v>0</v>
      </c>
    </row>
    <row r="378" spans="3:14">
      <c r="C378">
        <f>41.36</f>
        <v>0</v>
      </c>
      <c r="D378">
        <f>1.36</f>
        <v>0</v>
      </c>
      <c r="E378">
        <f>E329*-5.4097</f>
        <v>0</v>
      </c>
      <c r="F378">
        <f>F329*13.7561</f>
        <v>0</v>
      </c>
      <c r="G378">
        <f>G329*2.1847</f>
        <v>0</v>
      </c>
      <c r="H378">
        <f>H329*0.0</f>
        <v>0</v>
      </c>
      <c r="I378">
        <f>I329*-57.6801</f>
        <v>0</v>
      </c>
      <c r="J378">
        <f>J329*15.0842</f>
        <v>0</v>
      </c>
      <c r="K378">
        <f>K329*-11.3132</f>
        <v>0</v>
      </c>
      <c r="L378">
        <f>L329*74.0921</f>
        <v>0</v>
      </c>
      <c r="M378">
        <f>M329*-31.5786</f>
        <v>0</v>
      </c>
      <c r="N378">
        <f>E378+F378+G378+H378+I378+J378+K378+L378</f>
        <v>0</v>
      </c>
    </row>
    <row r="379" spans="3:14">
      <c r="C379">
        <f>42.27</f>
        <v>0</v>
      </c>
      <c r="D379">
        <f>2.27</f>
        <v>0</v>
      </c>
      <c r="E379">
        <f>E329*-3.4321</f>
        <v>0</v>
      </c>
      <c r="F379">
        <f>F329*12.7816</f>
        <v>0</v>
      </c>
      <c r="G379">
        <f>G329*1.9332</f>
        <v>0</v>
      </c>
      <c r="H379">
        <f>H329*0.0</f>
        <v>0</v>
      </c>
      <c r="I379">
        <f>I329*-50.685</f>
        <v>0</v>
      </c>
      <c r="J379">
        <f>J329*22.0102</f>
        <v>0</v>
      </c>
      <c r="K379">
        <f>K329*-16.5076</f>
        <v>0</v>
      </c>
      <c r="L379">
        <f>L329*67.35300000000001</f>
        <v>0</v>
      </c>
      <c r="M379">
        <f>M329*-32.7845</f>
        <v>0</v>
      </c>
      <c r="N379">
        <f>E379+F379+G379+H379+I379+J379+K379+L379</f>
        <v>0</v>
      </c>
    </row>
    <row r="380" spans="3:14">
      <c r="C380">
        <f>43.18</f>
        <v>0</v>
      </c>
      <c r="D380">
        <f>3.18</f>
        <v>0</v>
      </c>
      <c r="E380">
        <f>E329*-1.1571</f>
        <v>0</v>
      </c>
      <c r="F380">
        <f>F329*11.3864</f>
        <v>0</v>
      </c>
      <c r="G380">
        <f>G329*1.5189</f>
        <v>0</v>
      </c>
      <c r="H380">
        <f>H329*0.0</f>
        <v>0</v>
      </c>
      <c r="I380">
        <f>I329*-35.1878</f>
        <v>0</v>
      </c>
      <c r="J380">
        <f>J329*25.5676</f>
        <v>0</v>
      </c>
      <c r="K380">
        <f>K329*-19.1757</f>
        <v>0</v>
      </c>
      <c r="L380">
        <f>L329*59.9753</f>
        <v>0</v>
      </c>
      <c r="M380">
        <f>M329*-33.8988</f>
        <v>0</v>
      </c>
      <c r="N380">
        <f>E380+F380+G380+H380+I380+J380+K380+L380</f>
        <v>0</v>
      </c>
    </row>
    <row r="381" spans="3:14">
      <c r="C381">
        <f>44.09</f>
        <v>0</v>
      </c>
      <c r="D381">
        <f>4.09</f>
        <v>0</v>
      </c>
      <c r="E381">
        <f>E329*2.7154</f>
        <v>0</v>
      </c>
      <c r="F381">
        <f>F329*9.9849</f>
        <v>0</v>
      </c>
      <c r="G381">
        <f>G329*1.079</f>
        <v>0</v>
      </c>
      <c r="H381">
        <f>H329*0.0</f>
        <v>0</v>
      </c>
      <c r="I381">
        <f>I329*-15.7265</f>
        <v>0</v>
      </c>
      <c r="J381">
        <f>J329*28.4413</f>
        <v>0</v>
      </c>
      <c r="K381">
        <f>K329*-21.331</f>
        <v>0</v>
      </c>
      <c r="L381">
        <f>L329*50.631</f>
        <v>0</v>
      </c>
      <c r="M381">
        <f>M329*-35.8424</f>
        <v>0</v>
      </c>
      <c r="N381">
        <f>E381+F381+G381+H381+I381+J381+K381+L381</f>
        <v>0</v>
      </c>
    </row>
    <row r="382" spans="3:14">
      <c r="C382">
        <f>45.0</f>
        <v>0</v>
      </c>
      <c r="D382">
        <f>5.0</f>
        <v>0</v>
      </c>
      <c r="E382">
        <f>E329*4.564</f>
        <v>0</v>
      </c>
      <c r="F382">
        <f>F329*7.305</f>
        <v>0</v>
      </c>
      <c r="G382">
        <f>G329*1.1711</f>
        <v>0</v>
      </c>
      <c r="H382">
        <f>H329*0.0</f>
        <v>0</v>
      </c>
      <c r="I382">
        <f>I329*3.4987</f>
        <v>0</v>
      </c>
      <c r="J382">
        <f>J329*-47.8713</f>
        <v>0</v>
      </c>
      <c r="K382">
        <f>K329*35.9035</f>
        <v>0</v>
      </c>
      <c r="L382">
        <f>L329*42.9827</f>
        <v>0</v>
      </c>
      <c r="M382">
        <f>M329*-37.1732</f>
        <v>0</v>
      </c>
      <c r="N382">
        <f>E382+F382+G382+H382+I382+J382+K382+L382</f>
        <v>0</v>
      </c>
    </row>
    <row r="383" spans="3:14">
      <c r="C383">
        <f>46.0</f>
        <v>0</v>
      </c>
      <c r="D383">
        <f>6.0</f>
        <v>0</v>
      </c>
      <c r="E383">
        <f>E329*-1.2254</f>
        <v>0</v>
      </c>
      <c r="F383">
        <f>F329*5.5747</f>
        <v>0</v>
      </c>
      <c r="G383">
        <f>G329*0.8685</f>
        <v>0</v>
      </c>
      <c r="H383">
        <f>H329*0.0</f>
        <v>0</v>
      </c>
      <c r="I383">
        <f>I329*25.5631</f>
        <v>0</v>
      </c>
      <c r="J383">
        <f>J329*-45.8149</f>
        <v>0</v>
      </c>
      <c r="K383">
        <f>K329*34.3611</f>
        <v>0</v>
      </c>
      <c r="L383">
        <f>L329*41.2821</f>
        <v>0</v>
      </c>
      <c r="M383">
        <f>M329*-42.6546</f>
        <v>0</v>
      </c>
      <c r="N383">
        <f>E383+F383+G383+H383+I383+J383+K383+L383</f>
        <v>0</v>
      </c>
    </row>
    <row r="384" spans="3:14">
      <c r="C384">
        <f>47.0</f>
        <v>0</v>
      </c>
      <c r="D384">
        <f>7.0</f>
        <v>0</v>
      </c>
      <c r="E384">
        <f>E329*3.0861</f>
        <v>0</v>
      </c>
      <c r="F384">
        <f>F329*3.9648</f>
        <v>0</v>
      </c>
      <c r="G384">
        <f>G329*0.365</f>
        <v>0</v>
      </c>
      <c r="H384">
        <f>H329*0.0</f>
        <v>0</v>
      </c>
      <c r="I384">
        <f>I329*49.0269</f>
        <v>0</v>
      </c>
      <c r="J384">
        <f>J329*-43.7014</f>
        <v>0</v>
      </c>
      <c r="K384">
        <f>K329*32.775999999999996</f>
        <v>0</v>
      </c>
      <c r="L384">
        <f>L329*42.9777</f>
        <v>0</v>
      </c>
      <c r="M384">
        <f>M329*-51.1197</f>
        <v>0</v>
      </c>
      <c r="N384">
        <f>E384+F384+G384+H384+I384+J384+K384+L384</f>
        <v>0</v>
      </c>
    </row>
    <row r="385" spans="3:14">
      <c r="C385">
        <f>48.0</f>
        <v>0</v>
      </c>
      <c r="D385">
        <f>8.0</f>
        <v>0</v>
      </c>
      <c r="E385">
        <f>E329*5.6027</f>
        <v>0</v>
      </c>
      <c r="F385">
        <f>F329*2.3599</f>
        <v>0</v>
      </c>
      <c r="G385">
        <f>G329*-0.3153</f>
        <v>0</v>
      </c>
      <c r="H385">
        <f>H329*0.0</f>
        <v>0</v>
      </c>
      <c r="I385">
        <f>I329*68.3201</f>
        <v>0</v>
      </c>
      <c r="J385">
        <f>J329*-41.9801</f>
        <v>0</v>
      </c>
      <c r="K385">
        <f>K329*31.485</f>
        <v>0</v>
      </c>
      <c r="L385">
        <f>L329*39.7809</f>
        <v>0</v>
      </c>
      <c r="M385">
        <f>M329*-57.9878</f>
        <v>0</v>
      </c>
      <c r="N385">
        <f>E385+F385+G385+H385+I385+J385+K385+L385</f>
        <v>0</v>
      </c>
    </row>
    <row r="386" spans="3:14">
      <c r="C386">
        <f>49.0</f>
        <v>0</v>
      </c>
      <c r="D386">
        <f>9.0</f>
        <v>0</v>
      </c>
      <c r="E386">
        <f>E329*7.6036</f>
        <v>0</v>
      </c>
      <c r="F386">
        <f>F329*-1.5721</f>
        <v>0</v>
      </c>
      <c r="G386">
        <f>G329*-0.7237</f>
        <v>0</v>
      </c>
      <c r="H386">
        <f>H329*0.0</f>
        <v>0</v>
      </c>
      <c r="I386">
        <f>I329*77.9058</f>
        <v>0</v>
      </c>
      <c r="J386">
        <f>J329*-39.5178</f>
        <v>0</v>
      </c>
      <c r="K386">
        <f>K329*29.6383</f>
        <v>0</v>
      </c>
      <c r="L386">
        <f>L329*40.0391</f>
        <v>0</v>
      </c>
      <c r="M386">
        <f>M329*-63.2534</f>
        <v>0</v>
      </c>
      <c r="N386">
        <f>E386+F386+G386+H386+I386+J386+K386+L386</f>
        <v>0</v>
      </c>
    </row>
    <row r="387" spans="3:14">
      <c r="C387">
        <f>50.0</f>
        <v>0</v>
      </c>
      <c r="D387">
        <f>10.0</f>
        <v>0</v>
      </c>
      <c r="E387">
        <f>E329*8.6341</f>
        <v>0</v>
      </c>
      <c r="F387">
        <f>F329*-3.7422</f>
        <v>0</v>
      </c>
      <c r="G387">
        <f>G329*-1.1017</f>
        <v>0</v>
      </c>
      <c r="H387">
        <f>H329*0.0</f>
        <v>0</v>
      </c>
      <c r="I387">
        <f>I329*78.0131</f>
        <v>0</v>
      </c>
      <c r="J387">
        <f>J329*-41.5152</f>
        <v>0</v>
      </c>
      <c r="K387">
        <f>K329*31.1364</f>
        <v>0</v>
      </c>
      <c r="L387">
        <f>L329*44.0337</f>
        <v>0</v>
      </c>
      <c r="M387">
        <f>M329*-63.6556</f>
        <v>0</v>
      </c>
      <c r="N387">
        <f>E387+F387+G387+H387+I387+J387+K387+L387</f>
        <v>0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Right Exterior Girder</vt:lpstr>
      <vt:lpstr>Interior Girder 1</vt:lpstr>
      <vt:lpstr>Interior Girder 2</vt:lpstr>
      <vt:lpstr>Left Exterior Girder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2019-04-18T22:19:36Z</dcterms:created>
  <dcterms:modified xsi:type="dcterms:W3CDTF">2019-04-18T22:19:36Z</dcterms:modified>
</cp:coreProperties>
</file>