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Left Exterior Girder" sheetId="2" r:id="rId2"/>
    <sheet name="Interior Girder 1" sheetId="3" r:id="rId3"/>
    <sheet name="Interior Girder 2" sheetId="4" r:id="rId4"/>
    <sheet name="Right Exterior Girder" sheetId="5" r:id="rId5"/>
  </sheets>
  <calcPr calcId="124519" fullCalcOnLoad="1"/>
</workbook>
</file>

<file path=xl/sharedStrings.xml><?xml version="1.0" encoding="utf-8"?>
<sst xmlns="http://schemas.openxmlformats.org/spreadsheetml/2006/main" count="2932" uniqueCount="81">
  <si>
    <t>Left Exterior Girder</t>
  </si>
  <si>
    <t>M3</t>
  </si>
  <si>
    <t>Load Factors</t>
  </si>
  <si>
    <t>Station</t>
  </si>
  <si>
    <t>DEAD</t>
  </si>
  <si>
    <t>MOVE1_Max</t>
  </si>
  <si>
    <t>MOVE1_Min</t>
  </si>
  <si>
    <t>Barrier</t>
  </si>
  <si>
    <t>Sidewalk</t>
  </si>
  <si>
    <t>FWS</t>
  </si>
  <si>
    <t>T_Change_Pos</t>
  </si>
  <si>
    <t>T_Change_Neg</t>
  </si>
  <si>
    <t>TEST</t>
  </si>
  <si>
    <t>MOVE1_Max_Combo</t>
  </si>
  <si>
    <t>MOVE1_Min_Combo</t>
  </si>
  <si>
    <t>5.603E-16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</si>
  <si>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</si>
  <si>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</si>
  <si>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</si>
  <si>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</si>
  <si>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</si>
  <si>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</si>
  <si>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</si>
  <si>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</si>
  <si>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</si>
  <si>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</si>
  <si>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</si>
  <si>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</si>
  <si>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</si>
  <si>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</si>
  <si>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</si>
  <si>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15.91</t>
  </si>
  <si>
    <t>16.82</t>
  </si>
  <si>
    <t>17.73</t>
  </si>
  <si>
    <t>18.64</t>
  </si>
  <si>
    <t>19.55</t>
  </si>
  <si>
    <t>20</t>
  </si>
  <si>
    <t>20.45</t>
  </si>
  <si>
    <t>21.36</t>
  </si>
  <si>
    <t>22.27</t>
  </si>
  <si>
    <t>23.18</t>
  </si>
  <si>
    <t>24.09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</si>
  <si>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</si>
  <si>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</si>
  <si>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</si>
  <si>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</si>
  <si>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</si>
  <si>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</si>
  <si>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</si>
  <si>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</si>
  <si>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</si>
  <si>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</si>
  <si>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</si>
  <si>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35.91</t>
  </si>
  <si>
    <t>36.82</t>
  </si>
  <si>
    <t>37.73</t>
  </si>
  <si>
    <t>38.64</t>
  </si>
  <si>
    <t>39.55</t>
  </si>
  <si>
    <t>40</t>
  </si>
  <si>
    <t>40.45</t>
  </si>
  <si>
    <t>41.36</t>
  </si>
  <si>
    <t>42.27</t>
  </si>
  <si>
    <t>43.18</t>
  </si>
  <si>
    <t>44.09</t>
  </si>
  <si>
    <t>45</t>
  </si>
  <si>
    <t>46</t>
  </si>
  <si>
    <t>47</t>
  </si>
  <si>
    <t>48</t>
  </si>
  <si>
    <t>49</t>
  </si>
  <si>
    <t>50</t>
  </si>
  <si>
    <t>V2</t>
  </si>
  <si>
    <t>M2</t>
  </si>
  <si>
    <t>V3</t>
  </si>
  <si>
    <t>P</t>
  </si>
  <si>
    <t>T_table</t>
  </si>
  <si>
    <t>Interior Girder 1</t>
  </si>
  <si>
    <t>1.868E-16</t>
  </si>
  <si>
    <t>Interior Girder 2</t>
  </si>
  <si>
    <t>-1.868E-16</t>
  </si>
  <si>
    <t>Right Exterior Girder</t>
  </si>
  <si>
    <t>-5.603E-16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</si>
</sst>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C8:N116" totalsRowShown="0">
  <autoFilter ref="C8:N116"/>
  <tableColumns count="12">
    <tableColumn id="1" name="Station"/>
    <tableColumn id="2" name="DEAD"/>
    <tableColumn id="3" name="MOVE1_Max"/>
    <tableColumn id="4" name="MOVE1_Min"/>
    <tableColumn id="5" name="Barrier"/>
    <tableColumn id="6" name="Sidewalk"/>
    <tableColumn id="7" name="FWS"/>
    <tableColumn id="8" name="T_Change_Pos"/>
    <tableColumn id="9" name="T_Change_Neg"/>
    <tableColumn id="10" name="TEST"/>
    <tableColumn id="11" name="MOVE1_Max_Combo"/>
    <tableColumn id="12" name="MOVE1_Min_Combo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Table10" ref="C356:N464" totalsRowShown="0">
  <autoFilter ref="C356:N464"/>
  <tableColumns count="12">
    <tableColumn id="1" name="Station"/>
    <tableColumn id="2" name="DEAD"/>
    <tableColumn id="3" name="MOVE1_Max"/>
    <tableColumn id="4" name="MOVE1_Min"/>
    <tableColumn id="5" name="Barrier"/>
    <tableColumn id="6" name="Sidewalk"/>
    <tableColumn id="7" name="FWS"/>
    <tableColumn id="8" name="T_Change_Pos"/>
    <tableColumn id="9" name="T_Change_Neg"/>
    <tableColumn id="10" name="TEST"/>
    <tableColumn id="11" name="MOVE1_Max_Combo"/>
    <tableColumn id="12" name="MOVE1_Min_Combo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1" name="Table11" displayName="Table11" ref="C472:N580" totalsRowShown="0">
  <autoFilter ref="C472:N580"/>
  <tableColumns count="12">
    <tableColumn id="1" name="Station"/>
    <tableColumn id="2" name="DEAD"/>
    <tableColumn id="3" name="MOVE1_Max"/>
    <tableColumn id="4" name="MOVE1_Min"/>
    <tableColumn id="5" name="Barrier"/>
    <tableColumn id="6" name="Sidewalk"/>
    <tableColumn id="7" name="FWS"/>
    <tableColumn id="8" name="T_Change_Pos"/>
    <tableColumn id="9" name="T_Change_Neg"/>
    <tableColumn id="10" name="TEST"/>
    <tableColumn id="11" name="MOVE1_Max_Combo"/>
    <tableColumn id="12" name="MOVE1_Min_Combo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2" name="Table12" displayName="Table12" ref="C588:N696" totalsRowShown="0">
  <autoFilter ref="C588:N696"/>
  <tableColumns count="12">
    <tableColumn id="1" name="Station"/>
    <tableColumn id="2" name="DEAD"/>
    <tableColumn id="3" name="MOVE1_Max"/>
    <tableColumn id="4" name="MOVE1_Min"/>
    <tableColumn id="5" name="Barrier"/>
    <tableColumn id="6" name="Sidewalk"/>
    <tableColumn id="7" name="FWS"/>
    <tableColumn id="8" name="T_Change_Pos"/>
    <tableColumn id="9" name="T_Change_Neg"/>
    <tableColumn id="10" name="TEST"/>
    <tableColumn id="11" name="MOVE1_Max_Combo"/>
    <tableColumn id="12" name="MOVE1_Min_Combo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13" name="Table13" displayName="Table13" ref="C8:N116" totalsRowShown="0">
  <autoFilter ref="C8:N116"/>
  <tableColumns count="12">
    <tableColumn id="1" name="Station"/>
    <tableColumn id="2" name="DEAD"/>
    <tableColumn id="3" name="MOVE1_Max"/>
    <tableColumn id="4" name="MOVE1_Min"/>
    <tableColumn id="5" name="Barrier"/>
    <tableColumn id="6" name="Sidewalk"/>
    <tableColumn id="7" name="FWS"/>
    <tableColumn id="8" name="T_Change_Pos"/>
    <tableColumn id="9" name="T_Change_Neg"/>
    <tableColumn id="10" name="TEST"/>
    <tableColumn id="11" name="MOVE1_Max_Combo"/>
    <tableColumn id="12" name="MOVE1_Min_Combo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14" name="Table14" displayName="Table14" ref="C124:N232" totalsRowShown="0">
  <autoFilter ref="C124:N232"/>
  <tableColumns count="12">
    <tableColumn id="1" name="Station"/>
    <tableColumn id="2" name="DEAD"/>
    <tableColumn id="3" name="MOVE1_Max"/>
    <tableColumn id="4" name="MOVE1_Min"/>
    <tableColumn id="5" name="Barrier"/>
    <tableColumn id="6" name="Sidewalk"/>
    <tableColumn id="7" name="FWS"/>
    <tableColumn id="8" name="T_Change_Pos"/>
    <tableColumn id="9" name="T_Change_Neg"/>
    <tableColumn id="10" name="TEST"/>
    <tableColumn id="11" name="MOVE1_Max_Combo"/>
    <tableColumn id="12" name="MOVE1_Min_Combo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15" name="Table15" displayName="Table15" ref="C240:N348" totalsRowShown="0">
  <autoFilter ref="C240:N348"/>
  <tableColumns count="12">
    <tableColumn id="1" name="Station"/>
    <tableColumn id="2" name="DEAD"/>
    <tableColumn id="3" name="MOVE1_Max"/>
    <tableColumn id="4" name="MOVE1_Min"/>
    <tableColumn id="5" name="Barrier"/>
    <tableColumn id="6" name="Sidewalk"/>
    <tableColumn id="7" name="FWS"/>
    <tableColumn id="8" name="T_Change_Pos"/>
    <tableColumn id="9" name="T_Change_Neg"/>
    <tableColumn id="10" name="TEST"/>
    <tableColumn id="11" name="MOVE1_Max_Combo"/>
    <tableColumn id="12" name="MOVE1_Min_Combo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id="16" name="Table16" displayName="Table16" ref="C356:N464" totalsRowShown="0">
  <autoFilter ref="C356:N464"/>
  <tableColumns count="12">
    <tableColumn id="1" name="Station"/>
    <tableColumn id="2" name="DEAD"/>
    <tableColumn id="3" name="MOVE1_Max"/>
    <tableColumn id="4" name="MOVE1_Min"/>
    <tableColumn id="5" name="Barrier"/>
    <tableColumn id="6" name="Sidewalk"/>
    <tableColumn id="7" name="FWS"/>
    <tableColumn id="8" name="T_Change_Pos"/>
    <tableColumn id="9" name="T_Change_Neg"/>
    <tableColumn id="10" name="TEST"/>
    <tableColumn id="11" name="MOVE1_Max_Combo"/>
    <tableColumn id="12" name="MOVE1_Min_Combo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id="17" name="Table17" displayName="Table17" ref="C472:N580" totalsRowShown="0">
  <autoFilter ref="C472:N580"/>
  <tableColumns count="12">
    <tableColumn id="1" name="Station"/>
    <tableColumn id="2" name="DEAD"/>
    <tableColumn id="3" name="MOVE1_Max"/>
    <tableColumn id="4" name="MOVE1_Min"/>
    <tableColumn id="5" name="Barrier"/>
    <tableColumn id="6" name="Sidewalk"/>
    <tableColumn id="7" name="FWS"/>
    <tableColumn id="8" name="T_Change_Pos"/>
    <tableColumn id="9" name="T_Change_Neg"/>
    <tableColumn id="10" name="TEST"/>
    <tableColumn id="11" name="MOVE1_Max_Combo"/>
    <tableColumn id="12" name="MOVE1_Min_Combo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id="18" name="Table18" displayName="Table18" ref="C588:N696" totalsRowShown="0">
  <autoFilter ref="C588:N696"/>
  <tableColumns count="12">
    <tableColumn id="1" name="Station"/>
    <tableColumn id="2" name="DEAD"/>
    <tableColumn id="3" name="MOVE1_Max"/>
    <tableColumn id="4" name="MOVE1_Min"/>
    <tableColumn id="5" name="Barrier"/>
    <tableColumn id="6" name="Sidewalk"/>
    <tableColumn id="7" name="FWS"/>
    <tableColumn id="8" name="T_Change_Pos"/>
    <tableColumn id="9" name="T_Change_Neg"/>
    <tableColumn id="10" name="TEST"/>
    <tableColumn id="11" name="MOVE1_Max_Combo"/>
    <tableColumn id="12" name="MOVE1_Min_Combo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id="19" name="Table19" displayName="Table19" ref="C8:N116" totalsRowShown="0">
  <autoFilter ref="C8:N116"/>
  <tableColumns count="12">
    <tableColumn id="1" name="Station"/>
    <tableColumn id="2" name="DEAD"/>
    <tableColumn id="3" name="MOVE1_Max"/>
    <tableColumn id="4" name="MOVE1_Min"/>
    <tableColumn id="5" name="Barrier"/>
    <tableColumn id="6" name="Sidewalk"/>
    <tableColumn id="7" name="FWS"/>
    <tableColumn id="8" name="T_Change_Pos"/>
    <tableColumn id="9" name="T_Change_Neg"/>
    <tableColumn id="10" name="TEST"/>
    <tableColumn id="11" name="MOVE1_Max_Combo"/>
    <tableColumn id="12" name="MOVE1_Min_Combo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C124:N232" totalsRowShown="0">
  <autoFilter ref="C124:N232"/>
  <tableColumns count="12">
    <tableColumn id="1" name="Station"/>
    <tableColumn id="2" name="DEAD"/>
    <tableColumn id="3" name="MOVE1_Max"/>
    <tableColumn id="4" name="MOVE1_Min"/>
    <tableColumn id="5" name="Barrier"/>
    <tableColumn id="6" name="Sidewalk"/>
    <tableColumn id="7" name="FWS"/>
    <tableColumn id="8" name="T_Change_Pos"/>
    <tableColumn id="9" name="T_Change_Neg"/>
    <tableColumn id="10" name="TEST"/>
    <tableColumn id="11" name="MOVE1_Max_Combo"/>
    <tableColumn id="12" name="MOVE1_Min_Combo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id="20" name="Table20" displayName="Table20" ref="C124:N232" totalsRowShown="0">
  <autoFilter ref="C124:N232"/>
  <tableColumns count="12">
    <tableColumn id="1" name="Station"/>
    <tableColumn id="2" name="DEAD"/>
    <tableColumn id="3" name="MOVE1_Max"/>
    <tableColumn id="4" name="MOVE1_Min"/>
    <tableColumn id="5" name="Barrier"/>
    <tableColumn id="6" name="Sidewalk"/>
    <tableColumn id="7" name="FWS"/>
    <tableColumn id="8" name="T_Change_Pos"/>
    <tableColumn id="9" name="T_Change_Neg"/>
    <tableColumn id="10" name="TEST"/>
    <tableColumn id="11" name="MOVE1_Max_Combo"/>
    <tableColumn id="12" name="MOVE1_Min_Combo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id="21" name="Table21" displayName="Table21" ref="C240:N348" totalsRowShown="0">
  <autoFilter ref="C240:N348"/>
  <tableColumns count="12">
    <tableColumn id="1" name="Station"/>
    <tableColumn id="2" name="DEAD"/>
    <tableColumn id="3" name="MOVE1_Max"/>
    <tableColumn id="4" name="MOVE1_Min"/>
    <tableColumn id="5" name="Barrier"/>
    <tableColumn id="6" name="Sidewalk"/>
    <tableColumn id="7" name="FWS"/>
    <tableColumn id="8" name="T_Change_Pos"/>
    <tableColumn id="9" name="T_Change_Neg"/>
    <tableColumn id="10" name="TEST"/>
    <tableColumn id="11" name="MOVE1_Max_Combo"/>
    <tableColumn id="12" name="MOVE1_Min_Combo"/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id="22" name="Table22" displayName="Table22" ref="C356:N464" totalsRowShown="0">
  <autoFilter ref="C356:N464"/>
  <tableColumns count="12">
    <tableColumn id="1" name="Station"/>
    <tableColumn id="2" name="DEAD"/>
    <tableColumn id="3" name="MOVE1_Max"/>
    <tableColumn id="4" name="MOVE1_Min"/>
    <tableColumn id="5" name="Barrier"/>
    <tableColumn id="6" name="Sidewalk"/>
    <tableColumn id="7" name="FWS"/>
    <tableColumn id="8" name="T_Change_Pos"/>
    <tableColumn id="9" name="T_Change_Neg"/>
    <tableColumn id="10" name="TEST"/>
    <tableColumn id="11" name="MOVE1_Max_Combo"/>
    <tableColumn id="12" name="MOVE1_Min_Combo"/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id="23" name="Table23" displayName="Table23" ref="C472:N580" totalsRowShown="0">
  <autoFilter ref="C472:N580"/>
  <tableColumns count="12">
    <tableColumn id="1" name="Station"/>
    <tableColumn id="2" name="DEAD"/>
    <tableColumn id="3" name="MOVE1_Max"/>
    <tableColumn id="4" name="MOVE1_Min"/>
    <tableColumn id="5" name="Barrier"/>
    <tableColumn id="6" name="Sidewalk"/>
    <tableColumn id="7" name="FWS"/>
    <tableColumn id="8" name="T_Change_Pos"/>
    <tableColumn id="9" name="T_Change_Neg"/>
    <tableColumn id="10" name="TEST"/>
    <tableColumn id="11" name="MOVE1_Max_Combo"/>
    <tableColumn id="12" name="MOVE1_Min_Combo"/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id="24" name="Table24" displayName="Table24" ref="C588:N696" totalsRowShown="0">
  <autoFilter ref="C588:N696"/>
  <tableColumns count="12">
    <tableColumn id="1" name="Station"/>
    <tableColumn id="2" name="DEAD"/>
    <tableColumn id="3" name="MOVE1_Max"/>
    <tableColumn id="4" name="MOVE1_Min"/>
    <tableColumn id="5" name="Barrier"/>
    <tableColumn id="6" name="Sidewalk"/>
    <tableColumn id="7" name="FWS"/>
    <tableColumn id="8" name="T_Change_Pos"/>
    <tableColumn id="9" name="T_Change_Neg"/>
    <tableColumn id="10" name="TEST"/>
    <tableColumn id="11" name="MOVE1_Max_Combo"/>
    <tableColumn id="12" name="MOVE1_Min_Combo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240:N348" totalsRowShown="0">
  <autoFilter ref="C240:N348"/>
  <tableColumns count="12">
    <tableColumn id="1" name="Station"/>
    <tableColumn id="2" name="DEAD"/>
    <tableColumn id="3" name="MOVE1_Max"/>
    <tableColumn id="4" name="MOVE1_Min"/>
    <tableColumn id="5" name="Barrier"/>
    <tableColumn id="6" name="Sidewalk"/>
    <tableColumn id="7" name="FWS"/>
    <tableColumn id="8" name="T_Change_Pos"/>
    <tableColumn id="9" name="T_Change_Neg"/>
    <tableColumn id="10" name="TEST"/>
    <tableColumn id="11" name="MOVE1_Max_Combo"/>
    <tableColumn id="12" name="MOVE1_Min_Combo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C356:N464" totalsRowShown="0">
  <autoFilter ref="C356:N464"/>
  <tableColumns count="12">
    <tableColumn id="1" name="Station"/>
    <tableColumn id="2" name="DEAD"/>
    <tableColumn id="3" name="MOVE1_Max"/>
    <tableColumn id="4" name="MOVE1_Min"/>
    <tableColumn id="5" name="Barrier"/>
    <tableColumn id="6" name="Sidewalk"/>
    <tableColumn id="7" name="FWS"/>
    <tableColumn id="8" name="T_Change_Pos"/>
    <tableColumn id="9" name="T_Change_Neg"/>
    <tableColumn id="10" name="TEST"/>
    <tableColumn id="11" name="MOVE1_Max_Combo"/>
    <tableColumn id="12" name="MOVE1_Min_Combo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C472:N580" totalsRowShown="0">
  <autoFilter ref="C472:N580"/>
  <tableColumns count="12">
    <tableColumn id="1" name="Station"/>
    <tableColumn id="2" name="DEAD"/>
    <tableColumn id="3" name="MOVE1_Max"/>
    <tableColumn id="4" name="MOVE1_Min"/>
    <tableColumn id="5" name="Barrier"/>
    <tableColumn id="6" name="Sidewalk"/>
    <tableColumn id="7" name="FWS"/>
    <tableColumn id="8" name="T_Change_Pos"/>
    <tableColumn id="9" name="T_Change_Neg"/>
    <tableColumn id="10" name="TEST"/>
    <tableColumn id="11" name="MOVE1_Max_Combo"/>
    <tableColumn id="12" name="MOVE1_Min_Combo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C588:N696" totalsRowShown="0">
  <autoFilter ref="C588:N696"/>
  <tableColumns count="12">
    <tableColumn id="1" name="Station"/>
    <tableColumn id="2" name="DEAD"/>
    <tableColumn id="3" name="MOVE1_Max"/>
    <tableColumn id="4" name="MOVE1_Min"/>
    <tableColumn id="5" name="Barrier"/>
    <tableColumn id="6" name="Sidewalk"/>
    <tableColumn id="7" name="FWS"/>
    <tableColumn id="8" name="T_Change_Pos"/>
    <tableColumn id="9" name="T_Change_Neg"/>
    <tableColumn id="10" name="TEST"/>
    <tableColumn id="11" name="MOVE1_Max_Combo"/>
    <tableColumn id="12" name="MOVE1_Min_Combo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C8:N116" totalsRowShown="0">
  <autoFilter ref="C8:N116"/>
  <tableColumns count="12">
    <tableColumn id="1" name="Station"/>
    <tableColumn id="2" name="DEAD"/>
    <tableColumn id="3" name="MOVE1_Max"/>
    <tableColumn id="4" name="MOVE1_Min"/>
    <tableColumn id="5" name="Barrier"/>
    <tableColumn id="6" name="Sidewalk"/>
    <tableColumn id="7" name="FWS"/>
    <tableColumn id="8" name="T_Change_Pos"/>
    <tableColumn id="9" name="T_Change_Neg"/>
    <tableColumn id="10" name="TEST"/>
    <tableColumn id="11" name="MOVE1_Max_Combo"/>
    <tableColumn id="12" name="MOVE1_Min_Combo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C124:N232" totalsRowShown="0">
  <autoFilter ref="C124:N232"/>
  <tableColumns count="12">
    <tableColumn id="1" name="Station"/>
    <tableColumn id="2" name="DEAD"/>
    <tableColumn id="3" name="MOVE1_Max"/>
    <tableColumn id="4" name="MOVE1_Min"/>
    <tableColumn id="5" name="Barrier"/>
    <tableColumn id="6" name="Sidewalk"/>
    <tableColumn id="7" name="FWS"/>
    <tableColumn id="8" name="T_Change_Pos"/>
    <tableColumn id="9" name="T_Change_Neg"/>
    <tableColumn id="10" name="TEST"/>
    <tableColumn id="11" name="MOVE1_Max_Combo"/>
    <tableColumn id="12" name="MOVE1_Min_Combo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C240:N348" totalsRowShown="0">
  <autoFilter ref="C240:N348"/>
  <tableColumns count="12">
    <tableColumn id="1" name="Station"/>
    <tableColumn id="2" name="DEAD"/>
    <tableColumn id="3" name="MOVE1_Max"/>
    <tableColumn id="4" name="MOVE1_Min"/>
    <tableColumn id="5" name="Barrier"/>
    <tableColumn id="6" name="Sidewalk"/>
    <tableColumn id="7" name="FWS"/>
    <tableColumn id="8" name="T_Change_Pos"/>
    <tableColumn id="9" name="T_Change_Neg"/>
    <tableColumn id="10" name="TEST"/>
    <tableColumn id="11" name="MOVE1_Max_Combo"/>
    <tableColumn id="12" name="MOVE1_Min_Combo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7.xml"/><Relationship Id="rId2" Type="http://schemas.openxmlformats.org/officeDocument/2006/relationships/table" Target="../tables/table8.xml"/><Relationship Id="rId3" Type="http://schemas.openxmlformats.org/officeDocument/2006/relationships/table" Target="../tables/table9.xml"/><Relationship Id="rId4" Type="http://schemas.openxmlformats.org/officeDocument/2006/relationships/table" Target="../tables/table10.xml"/><Relationship Id="rId5" Type="http://schemas.openxmlformats.org/officeDocument/2006/relationships/table" Target="../tables/table11.xml"/><Relationship Id="rId6" Type="http://schemas.openxmlformats.org/officeDocument/2006/relationships/table" Target="../tables/table1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13.xml"/><Relationship Id="rId2" Type="http://schemas.openxmlformats.org/officeDocument/2006/relationships/table" Target="../tables/table14.xml"/><Relationship Id="rId3" Type="http://schemas.openxmlformats.org/officeDocument/2006/relationships/table" Target="../tables/table15.xml"/><Relationship Id="rId4" Type="http://schemas.openxmlformats.org/officeDocument/2006/relationships/table" Target="../tables/table16.xml"/><Relationship Id="rId5" Type="http://schemas.openxmlformats.org/officeDocument/2006/relationships/table" Target="../tables/table17.xml"/><Relationship Id="rId6" Type="http://schemas.openxmlformats.org/officeDocument/2006/relationships/table" Target="../tables/table18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19.xml"/><Relationship Id="rId2" Type="http://schemas.openxmlformats.org/officeDocument/2006/relationships/table" Target="../tables/table20.xml"/><Relationship Id="rId3" Type="http://schemas.openxmlformats.org/officeDocument/2006/relationships/table" Target="../tables/table21.xml"/><Relationship Id="rId4" Type="http://schemas.openxmlformats.org/officeDocument/2006/relationships/table" Target="../tables/table22.xml"/><Relationship Id="rId5" Type="http://schemas.openxmlformats.org/officeDocument/2006/relationships/table" Target="../tables/table23.xml"/><Relationship Id="rId6" Type="http://schemas.openxmlformats.org/officeDocument/2006/relationships/table" Target="../tables/table2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3:N696"/>
  <sheetViews>
    <sheetView workbookViewId="0"/>
  </sheetViews>
  <sheetFormatPr defaultRowHeight="15"/>
  <sheetData>
    <row r="3" spans="3:14">
      <c r="C3" t="s">
        <v>0</v>
      </c>
    </row>
    <row r="5" spans="3:14">
      <c r="C5" t="s">
        <v>1</v>
      </c>
    </row>
    <row r="7" spans="3:14">
      <c r="C7" t="s">
        <v>2</v>
      </c>
    </row>
    <row r="8" spans="3:14"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13</v>
      </c>
      <c r="N8" t="s">
        <v>14</v>
      </c>
    </row>
    <row r="9" spans="3:14">
      <c r="C9" t="s">
        <v>15</v>
      </c>
      <c r="D9">
        <f>-7.4411*$D$7</f>
        <v>0</v>
      </c>
      <c r="E9">
        <f>466.3723*$E$7</f>
        <v>0</v>
      </c>
      <c r="F9">
        <f>-447.7857*$F$7</f>
        <v>0</v>
      </c>
      <c r="G9">
        <f>-28.9446*$G$7</f>
        <v>0</v>
      </c>
      <c r="H9">
        <f>0*$H$7</f>
        <v>0</v>
      </c>
      <c r="I9">
        <f>0.7592*$I$7</f>
        <v>0</v>
      </c>
      <c r="J9">
        <f>-306.181*$J$7</f>
        <v>0</v>
      </c>
      <c r="K9">
        <f>408.2413*$K$7</f>
        <v>0</v>
      </c>
      <c r="L9">
        <f>-0.1889*$L$7</f>
        <v>0</v>
      </c>
      <c r="M9">
        <f>0+D9+E9+G9+H9+I9+J9+K9+L9</f>
        <v>0</v>
      </c>
      <c r="N9">
        <f>0+D9+F9+G9+H9+I9+J9+K9+L9</f>
        <v>0</v>
      </c>
    </row>
    <row r="10" spans="3:14">
      <c r="C10" t="s">
        <v>16</v>
      </c>
      <c r="D10">
        <f>212.6891*$D$7</f>
        <v>0</v>
      </c>
      <c r="E10">
        <f>541.8378*$E$7</f>
        <v>0</v>
      </c>
      <c r="F10">
        <f>-210.9212*$F$7</f>
        <v>0</v>
      </c>
      <c r="G10">
        <f>7.5474*$G$7</f>
        <v>0</v>
      </c>
      <c r="H10">
        <f>0*$H$7</f>
        <v>0</v>
      </c>
      <c r="I10">
        <f>31.6239*$I$7</f>
        <v>0</v>
      </c>
      <c r="J10">
        <f>-227.9657*$J$7</f>
        <v>0</v>
      </c>
      <c r="K10">
        <f>303.9543*$K$7</f>
        <v>0</v>
      </c>
      <c r="L10">
        <f>-0.1618*$L$7</f>
        <v>0</v>
      </c>
      <c r="M10">
        <f>0+D10+E10+G10+H10+I10+J10+K10+L10</f>
        <v>0</v>
      </c>
      <c r="N10">
        <f>0+D10+F10+G10+H10+I10+J10+K10+L10</f>
        <v>0</v>
      </c>
    </row>
    <row r="11" spans="3:14">
      <c r="C11" t="s">
        <v>16</v>
      </c>
      <c r="D11">
        <f>196.0187*$D$7</f>
        <v>0</v>
      </c>
      <c r="E11">
        <f>536.2781*$E$7</f>
        <v>0</v>
      </c>
      <c r="F11">
        <f>-227.5081*$F$7</f>
        <v>0</v>
      </c>
      <c r="G11">
        <f>5.042*$G$7</f>
        <v>0</v>
      </c>
      <c r="H11">
        <f>0*$H$7</f>
        <v>0</v>
      </c>
      <c r="I11">
        <f>29.288*$I$7</f>
        <v>0</v>
      </c>
      <c r="J11">
        <f>-240.5762*$J$7</f>
        <v>0</v>
      </c>
      <c r="K11">
        <f>320.7683*$K$7</f>
        <v>0</v>
      </c>
      <c r="L11">
        <f>-0.1639*$L$7</f>
        <v>0</v>
      </c>
      <c r="M11">
        <f>0+D11+E11+G11+H11+I11+J11+K11+L11</f>
        <v>0</v>
      </c>
      <c r="N11">
        <f>0+D11+F11+G11+H11+I11+J11+K11+L11</f>
        <v>0</v>
      </c>
    </row>
    <row r="12" spans="3:14">
      <c r="C12" t="s">
        <v>17</v>
      </c>
      <c r="D12">
        <f>393.5625*$D$7</f>
        <v>0</v>
      </c>
      <c r="E12">
        <f>656.6119*$E$7</f>
        <v>0</v>
      </c>
      <c r="F12">
        <f>-74.2252*$F$7</f>
        <v>0</v>
      </c>
      <c r="G12">
        <f>34.9632*$G$7</f>
        <v>0</v>
      </c>
      <c r="H12">
        <f>0*$H$7</f>
        <v>0</v>
      </c>
      <c r="I12">
        <f>56.9856*$I$7</f>
        <v>0</v>
      </c>
      <c r="J12">
        <f>-180.0683*$J$7</f>
        <v>0</v>
      </c>
      <c r="K12">
        <f>240.0911*$K$7</f>
        <v>0</v>
      </c>
      <c r="L12">
        <f>-0.1388*$L$7</f>
        <v>0</v>
      </c>
      <c r="M12">
        <f>0+D12+E12+G12+H12+I12+J12+K12+L12</f>
        <v>0</v>
      </c>
      <c r="N12">
        <f>0+D12+F12+G12+H12+I12+J12+K12+L12</f>
        <v>0</v>
      </c>
    </row>
    <row r="13" spans="3:14">
      <c r="C13" t="s">
        <v>17</v>
      </c>
      <c r="D13">
        <f>374.1511*$D$7</f>
        <v>0</v>
      </c>
      <c r="E13">
        <f>640.5175*$E$7</f>
        <v>0</v>
      </c>
      <c r="F13">
        <f>-84.1237*$F$7</f>
        <v>0</v>
      </c>
      <c r="G13">
        <f>32.0861*$G$7</f>
        <v>0</v>
      </c>
      <c r="H13">
        <f>0*$H$7</f>
        <v>0</v>
      </c>
      <c r="I13">
        <f>54.2702*$I$7</f>
        <v>0</v>
      </c>
      <c r="J13">
        <f>-189.1063*$J$7</f>
        <v>0</v>
      </c>
      <c r="K13">
        <f>252.1417*$K$7</f>
        <v>0</v>
      </c>
      <c r="L13">
        <f>-0.1407*$L$7</f>
        <v>0</v>
      </c>
      <c r="M13">
        <f>0+D13+E13+G13+H13+I13+J13+K13+L13</f>
        <v>0</v>
      </c>
      <c r="N13">
        <f>0+D13+F13+G13+H13+I13+J13+K13+L13</f>
        <v>0</v>
      </c>
    </row>
    <row r="14" spans="3:14">
      <c r="C14" t="s">
        <v>18</v>
      </c>
      <c r="D14">
        <f>548.7869*$D$7</f>
        <v>0</v>
      </c>
      <c r="E14">
        <f>801.8754*$E$7</f>
        <v>0</v>
      </c>
      <c r="F14">
        <f>-28.6311*$F$7</f>
        <v>0</v>
      </c>
      <c r="G14">
        <f>55.5129*$G$7</f>
        <v>0</v>
      </c>
      <c r="H14">
        <f>0*$H$7</f>
        <v>0</v>
      </c>
      <c r="I14">
        <f>78.7472*$I$7</f>
        <v>0</v>
      </c>
      <c r="J14">
        <f>-134.8044*$J$7</f>
        <v>0</v>
      </c>
      <c r="K14">
        <f>179.7392*$K$7</f>
        <v>0</v>
      </c>
      <c r="L14">
        <f>-0.1176*$L$7</f>
        <v>0</v>
      </c>
      <c r="M14">
        <f>0+D14+E14+G14+H14+I14+J14+K14+L14</f>
        <v>0</v>
      </c>
      <c r="N14">
        <f>0+D14+F14+G14+H14+I14+J14+K14+L14</f>
        <v>0</v>
      </c>
    </row>
    <row r="15" spans="3:14">
      <c r="C15" t="s">
        <v>18</v>
      </c>
      <c r="D15">
        <f>521.3924*$D$7</f>
        <v>0</v>
      </c>
      <c r="E15">
        <f>772.4265*$E$7</f>
        <v>0</v>
      </c>
      <c r="F15">
        <f>-30.1047*$F$7</f>
        <v>0</v>
      </c>
      <c r="G15">
        <f>51.7505*$G$7</f>
        <v>0</v>
      </c>
      <c r="H15">
        <f>0*$H$7</f>
        <v>0</v>
      </c>
      <c r="I15">
        <f>74.9195*$I$7</f>
        <v>0</v>
      </c>
      <c r="J15">
        <f>-142.054*$J$7</f>
        <v>0</v>
      </c>
      <c r="K15">
        <f>189.4053*$K$7</f>
        <v>0</v>
      </c>
      <c r="L15">
        <f>-0.1203*$L$7</f>
        <v>0</v>
      </c>
      <c r="M15">
        <f>0+D15+E15+G15+H15+I15+J15+K15+L15</f>
        <v>0</v>
      </c>
      <c r="N15">
        <f>0+D15+F15+G15+H15+I15+J15+K15+L15</f>
        <v>0</v>
      </c>
    </row>
    <row r="16" spans="3:14">
      <c r="C16" t="s">
        <v>19</v>
      </c>
      <c r="D16">
        <f>672.4606*$D$7</f>
        <v>0</v>
      </c>
      <c r="E16">
        <f>939.0871*$E$7</f>
        <v>0</v>
      </c>
      <c r="F16">
        <f>-27.8256*$F$7</f>
        <v>0</v>
      </c>
      <c r="G16">
        <f>69.1883*$G$7</f>
        <v>0</v>
      </c>
      <c r="H16">
        <f>0*$H$7</f>
        <v>0</v>
      </c>
      <c r="I16">
        <f>96.0523*$I$7</f>
        <v>0</v>
      </c>
      <c r="J16">
        <f>-89.4667*$J$7</f>
        <v>0</v>
      </c>
      <c r="K16">
        <f>119.289*$K$7</f>
        <v>0</v>
      </c>
      <c r="L16">
        <f>-0.099*$L$7</f>
        <v>0</v>
      </c>
      <c r="M16">
        <f>0+D16+E16+G16+H16+I16+J16+K16+L16</f>
        <v>0</v>
      </c>
      <c r="N16">
        <f>0+D16+F16+G16+H16+I16+J16+K16+L16</f>
        <v>0</v>
      </c>
    </row>
    <row r="17" spans="3:14">
      <c r="C17" t="s">
        <v>19</v>
      </c>
      <c r="D17">
        <f>643.1789*$D$7</f>
        <v>0</v>
      </c>
      <c r="E17">
        <f>901.6921*$E$7</f>
        <v>0</v>
      </c>
      <c r="F17">
        <f>-27.3403*$F$7</f>
        <v>0</v>
      </c>
      <c r="G17">
        <f>65.6022*$G$7</f>
        <v>0</v>
      </c>
      <c r="H17">
        <f>0*$H$7</f>
        <v>0</v>
      </c>
      <c r="I17">
        <f>91.9515*$I$7</f>
        <v>0</v>
      </c>
      <c r="J17">
        <f>-95.2611*$J$7</f>
        <v>0</v>
      </c>
      <c r="K17">
        <f>127.0149*$K$7</f>
        <v>0</v>
      </c>
      <c r="L17">
        <f>-0.1008*$L$7</f>
        <v>0</v>
      </c>
      <c r="M17">
        <f>0+D17+E17+G17+H17+I17+J17+K17+L17</f>
        <v>0</v>
      </c>
      <c r="N17">
        <f>0+D17+F17+G17+H17+I17+J17+K17+L17</f>
        <v>0</v>
      </c>
    </row>
    <row r="18" spans="3:14">
      <c r="C18" t="s">
        <v>20</v>
      </c>
      <c r="D18">
        <f>780.229*$D$7</f>
        <v>0</v>
      </c>
      <c r="E18">
        <f>1083.8129*$E$7</f>
        <v>0</v>
      </c>
      <c r="F18">
        <f>-28.9263*$F$7</f>
        <v>0</v>
      </c>
      <c r="G18">
        <f>78.9414*$G$7</f>
        <v>0</v>
      </c>
      <c r="H18">
        <f>0*$H$7</f>
        <v>0</v>
      </c>
      <c r="I18">
        <f>111.0593*$I$7</f>
        <v>0</v>
      </c>
      <c r="J18">
        <f>-37.5332*$J$7</f>
        <v>0</v>
      </c>
      <c r="K18">
        <f>50.0442*$K$7</f>
        <v>0</v>
      </c>
      <c r="L18">
        <f>-0.0832*$L$7</f>
        <v>0</v>
      </c>
      <c r="M18">
        <f>0+D18+E18+G18+H18+I18+J18+K18+L18</f>
        <v>0</v>
      </c>
      <c r="N18">
        <f>0+D18+F18+G18+H18+I18+J18+K18+L18</f>
        <v>0</v>
      </c>
    </row>
    <row r="19" spans="3:14">
      <c r="C19" t="s">
        <v>20</v>
      </c>
      <c r="D19">
        <f>767.7443*$D$7</f>
        <v>0</v>
      </c>
      <c r="E19">
        <f>1064.5949*$E$7</f>
        <v>0</v>
      </c>
      <c r="F19">
        <f>-28.645*$F$7</f>
        <v>0</v>
      </c>
      <c r="G19">
        <f>76.1264*$G$7</f>
        <v>0</v>
      </c>
      <c r="H19">
        <f>0*$H$7</f>
        <v>0</v>
      </c>
      <c r="I19">
        <f>109.374*$I$7</f>
        <v>0</v>
      </c>
      <c r="J19">
        <f>-50.3862*$J$7</f>
        <v>0</v>
      </c>
      <c r="K19">
        <f>67.1817*$K$7</f>
        <v>0</v>
      </c>
      <c r="L19">
        <f>-0.0988*$L$7</f>
        <v>0</v>
      </c>
      <c r="M19">
        <f>0+D19+E19+G19+H19+I19+J19+K19+L19</f>
        <v>0</v>
      </c>
      <c r="N19">
        <f>0+D19+F19+G19+H19+I19+J19+K19+L19</f>
        <v>0</v>
      </c>
    </row>
    <row r="20" spans="3:14">
      <c r="C20" t="s">
        <v>21</v>
      </c>
      <c r="D20">
        <f>868.9367*$D$7</f>
        <v>0</v>
      </c>
      <c r="E20">
        <f>1198.5007*$E$7</f>
        <v>0</v>
      </c>
      <c r="F20">
        <f>-30.8025*$F$7</f>
        <v>0</v>
      </c>
      <c r="G20">
        <f>91.4094*$G$7</f>
        <v>0</v>
      </c>
      <c r="H20">
        <f>0*$H$7</f>
        <v>0</v>
      </c>
      <c r="I20">
        <f>123.8961*$I$7</f>
        <v>0</v>
      </c>
      <c r="J20">
        <f>-54.7805*$J$7</f>
        <v>0</v>
      </c>
      <c r="K20">
        <f>73.0407*$K$7</f>
        <v>0</v>
      </c>
      <c r="L20">
        <f>-0.0817*$L$7</f>
        <v>0</v>
      </c>
      <c r="M20">
        <f>0+D20+E20+G20+H20+I20+J20+K20+L20</f>
        <v>0</v>
      </c>
      <c r="N20">
        <f>0+D20+F20+G20+H20+I20+J20+K20+L20</f>
        <v>0</v>
      </c>
    </row>
    <row r="21" spans="3:14">
      <c r="C21" t="s">
        <v>21</v>
      </c>
      <c r="D21">
        <f>855.2417*$D$7</f>
        <v>0</v>
      </c>
      <c r="E21">
        <f>1176.305*$E$7</f>
        <v>0</v>
      </c>
      <c r="F21">
        <f>-30.5433*$F$7</f>
        <v>0</v>
      </c>
      <c r="G21">
        <f>89.6762*$G$7</f>
        <v>0</v>
      </c>
      <c r="H21">
        <f>0*$H$7</f>
        <v>0</v>
      </c>
      <c r="I21">
        <f>121.9451*$I$7</f>
        <v>0</v>
      </c>
      <c r="J21">
        <f>-58.2463*$J$7</f>
        <v>0</v>
      </c>
      <c r="K21">
        <f>77.6617*$K$7</f>
        <v>0</v>
      </c>
      <c r="L21">
        <f>-0.0839*$L$7</f>
        <v>0</v>
      </c>
      <c r="M21">
        <f>0+D21+E21+G21+H21+I21+J21+K21+L21</f>
        <v>0</v>
      </c>
      <c r="N21">
        <f>0+D21+F21+G21+H21+I21+J21+K21+L21</f>
        <v>0</v>
      </c>
    </row>
    <row r="22" spans="3:14">
      <c r="C22" t="s">
        <v>22</v>
      </c>
      <c r="D22">
        <f>934.1734*$D$7</f>
        <v>0</v>
      </c>
      <c r="E22">
        <f>1291.1991*$E$7</f>
        <v>0</v>
      </c>
      <c r="F22">
        <f>-32.9783*$F$7</f>
        <v>0</v>
      </c>
      <c r="G22">
        <f>100.4635*$G$7</f>
        <v>0</v>
      </c>
      <c r="H22">
        <f>0*$H$7</f>
        <v>0</v>
      </c>
      <c r="I22">
        <f>133.2251*$I$7</f>
        <v>0</v>
      </c>
      <c r="J22">
        <f>-62.4372*$J$7</f>
        <v>0</v>
      </c>
      <c r="K22">
        <f>83.2497*$K$7</f>
        <v>0</v>
      </c>
      <c r="L22">
        <f>-0.0672*$L$7</f>
        <v>0</v>
      </c>
      <c r="M22">
        <f>0+D22+E22+G22+H22+I22+J22+K22+L22</f>
        <v>0</v>
      </c>
      <c r="N22">
        <f>0+D22+F22+G22+H22+I22+J22+K22+L22</f>
        <v>0</v>
      </c>
    </row>
    <row r="23" spans="3:14">
      <c r="C23" t="s">
        <v>22</v>
      </c>
      <c r="D23">
        <f>920.0196*$D$7</f>
        <v>0</v>
      </c>
      <c r="E23">
        <f>1268.3821*$E$7</f>
        <v>0</v>
      </c>
      <c r="F23">
        <f>-32.4631*$F$7</f>
        <v>0</v>
      </c>
      <c r="G23">
        <f>98.6707*$G$7</f>
        <v>0</v>
      </c>
      <c r="H23">
        <f>0*$H$7</f>
        <v>0</v>
      </c>
      <c r="I23">
        <f>131.2115*$I$7</f>
        <v>0</v>
      </c>
      <c r="J23">
        <f>-64.035*$J$7</f>
        <v>0</v>
      </c>
      <c r="K23">
        <f>85.38*$K$7</f>
        <v>0</v>
      </c>
      <c r="L23">
        <f>-0.0714*$L$7</f>
        <v>0</v>
      </c>
      <c r="M23">
        <f>0+D23+E23+G23+H23+I23+J23+K23+L23</f>
        <v>0</v>
      </c>
      <c r="N23">
        <f>0+D23+F23+G23+H23+I23+J23+K23+L23</f>
        <v>0</v>
      </c>
    </row>
    <row r="24" spans="3:14">
      <c r="C24" t="s">
        <v>23</v>
      </c>
      <c r="D24">
        <f>976.6145*$D$7</f>
        <v>0</v>
      </c>
      <c r="E24">
        <f>1352.4077*$E$7</f>
        <v>0</v>
      </c>
      <c r="F24">
        <f>-35.1518*$F$7</f>
        <v>0</v>
      </c>
      <c r="G24">
        <f>104.4713*$G$7</f>
        <v>0</v>
      </c>
      <c r="H24">
        <f>0*$H$7</f>
        <v>0</v>
      </c>
      <c r="I24">
        <f>139.2758*$I$7</f>
        <v>0</v>
      </c>
      <c r="J24">
        <f>-62.092*$J$7</f>
        <v>0</v>
      </c>
      <c r="K24">
        <f>82.7893*$K$7</f>
        <v>0</v>
      </c>
      <c r="L24">
        <f>-0.0552*$L$7</f>
        <v>0</v>
      </c>
      <c r="M24">
        <f>0+D24+E24+G24+H24+I24+J24+K24+L24</f>
        <v>0</v>
      </c>
      <c r="N24">
        <f>0+D24+F24+G24+H24+I24+J24+K24+L24</f>
        <v>0</v>
      </c>
    </row>
    <row r="25" spans="3:14">
      <c r="C25" t="s">
        <v>23</v>
      </c>
      <c r="D25">
        <f>972.336*$D$7</f>
        <v>0</v>
      </c>
      <c r="E25">
        <f>1345.0571*$E$7</f>
        <v>0</v>
      </c>
      <c r="F25">
        <f>-34.848*$F$7</f>
        <v>0</v>
      </c>
      <c r="G25">
        <f>104.0144*$G$7</f>
        <v>0</v>
      </c>
      <c r="H25">
        <f>0*$H$7</f>
        <v>0</v>
      </c>
      <c r="I25">
        <f>138.6844*$I$7</f>
        <v>0</v>
      </c>
      <c r="J25">
        <f>-62.7614*$J$7</f>
        <v>0</v>
      </c>
      <c r="K25">
        <f>83.6819*$K$7</f>
        <v>0</v>
      </c>
      <c r="L25">
        <f>-0.0576*$L$7</f>
        <v>0</v>
      </c>
      <c r="M25">
        <f>0+D25+E25+G25+H25+I25+J25+K25+L25</f>
        <v>0</v>
      </c>
      <c r="N25">
        <f>0+D25+F25+G25+H25+I25+J25+K25+L25</f>
        <v>0</v>
      </c>
    </row>
    <row r="26" spans="3:14">
      <c r="C26" t="s">
        <v>24</v>
      </c>
      <c r="D26">
        <f>1006.5806*$D$7</f>
        <v>0</v>
      </c>
      <c r="E26">
        <f>1401.3414*$E$7</f>
        <v>0</v>
      </c>
      <c r="F26">
        <f>-37.7909*$F$7</f>
        <v>0</v>
      </c>
      <c r="G26">
        <f>104.8829*$G$7</f>
        <v>0</v>
      </c>
      <c r="H26">
        <f>0*$H$7</f>
        <v>0</v>
      </c>
      <c r="I26">
        <f>143.5106*$I$7</f>
        <v>0</v>
      </c>
      <c r="J26">
        <f>-53.9546*$J$7</f>
        <v>0</v>
      </c>
      <c r="K26">
        <f>71.9395*$K$7</f>
        <v>0</v>
      </c>
      <c r="L26">
        <f>-0.0423*$L$7</f>
        <v>0</v>
      </c>
      <c r="M26">
        <f>0+D26+E26+G26+H26+I26+J26+K26+L26</f>
        <v>0</v>
      </c>
      <c r="N26">
        <f>0+D26+F26+G26+H26+I26+J26+K26+L26</f>
        <v>0</v>
      </c>
    </row>
    <row r="27" spans="3:14">
      <c r="C27" t="s">
        <v>24</v>
      </c>
      <c r="D27">
        <f>1003.2346*$D$7</f>
        <v>0</v>
      </c>
      <c r="E27">
        <f>1391.7162*$E$7</f>
        <v>0</v>
      </c>
      <c r="F27">
        <f>-37.4948*$F$7</f>
        <v>0</v>
      </c>
      <c r="G27">
        <f>104.4674*$G$7</f>
        <v>0</v>
      </c>
      <c r="H27">
        <f>0*$H$7</f>
        <v>0</v>
      </c>
      <c r="I27">
        <f>143.06*$I$7</f>
        <v>0</v>
      </c>
      <c r="J27">
        <f>-53.6987*$J$7</f>
        <v>0</v>
      </c>
      <c r="K27">
        <f>71.5982*$K$7</f>
        <v>0</v>
      </c>
      <c r="L27">
        <f>-0.0449*$L$7</f>
        <v>0</v>
      </c>
      <c r="M27">
        <f>0+D27+E27+G27+H27+I27+J27+K27+L27</f>
        <v>0</v>
      </c>
      <c r="N27">
        <f>0+D27+F27+G27+H27+I27+J27+K27+L27</f>
        <v>0</v>
      </c>
    </row>
    <row r="28" spans="3:14">
      <c r="C28" t="s">
        <v>25</v>
      </c>
      <c r="D28">
        <f>1014.8472*$D$7</f>
        <v>0</v>
      </c>
      <c r="E28">
        <f>1418.6358*$E$7</f>
        <v>0</v>
      </c>
      <c r="F28">
        <f>-40.6926*$F$7</f>
        <v>0</v>
      </c>
      <c r="G28">
        <f>101.0887*$G$7</f>
        <v>0</v>
      </c>
      <c r="H28">
        <f>0*$H$7</f>
        <v>0</v>
      </c>
      <c r="I28">
        <f>144.5705*$I$7</f>
        <v>0</v>
      </c>
      <c r="J28">
        <f>-41.6749*$J$7</f>
        <v>0</v>
      </c>
      <c r="K28">
        <f>55.5666*$K$7</f>
        <v>0</v>
      </c>
      <c r="L28">
        <f>-0.0309*$L$7</f>
        <v>0</v>
      </c>
      <c r="M28">
        <f>0+D28+E28+G28+H28+I28+J28+K28+L28</f>
        <v>0</v>
      </c>
      <c r="N28">
        <f>0+D28+F28+G28+H28+I28+J28+K28+L28</f>
        <v>0</v>
      </c>
    </row>
    <row r="29" spans="3:14">
      <c r="C29" t="s">
        <v>25</v>
      </c>
      <c r="D29">
        <f>1016.265*$D$7</f>
        <v>0</v>
      </c>
      <c r="E29">
        <f>1416.0211*$E$7</f>
        <v>0</v>
      </c>
      <c r="F29">
        <f>-40.7398*$F$7</f>
        <v>0</v>
      </c>
      <c r="G29">
        <f>100.9909*$G$7</f>
        <v>0</v>
      </c>
      <c r="H29">
        <f>0*$H$7</f>
        <v>0</v>
      </c>
      <c r="I29">
        <f>144.7904*$I$7</f>
        <v>0</v>
      </c>
      <c r="J29">
        <f>-43.9861*$J$7</f>
        <v>0</v>
      </c>
      <c r="K29">
        <f>58.6482*$K$7</f>
        <v>0</v>
      </c>
      <c r="L29">
        <f>-0.0494*$L$7</f>
        <v>0</v>
      </c>
      <c r="M29">
        <f>0+D29+E29+G29+H29+I29+J29+K29+L29</f>
        <v>0</v>
      </c>
      <c r="N29">
        <f>0+D29+F29+G29+H29+I29+J29+K29+L29</f>
        <v>0</v>
      </c>
    </row>
    <row r="30" spans="3:14">
      <c r="C30" t="s">
        <v>26</v>
      </c>
      <c r="D30">
        <f>989.2601*$D$7</f>
        <v>0</v>
      </c>
      <c r="E30">
        <f>1388.2732*$E$7</f>
        <v>0</v>
      </c>
      <c r="F30">
        <f>-43.8666*$F$7</f>
        <v>0</v>
      </c>
      <c r="G30">
        <f>103.326*$G$7</f>
        <v>0</v>
      </c>
      <c r="H30">
        <f>0*$H$7</f>
        <v>0</v>
      </c>
      <c r="I30">
        <f>141.0722*$I$7</f>
        <v>0</v>
      </c>
      <c r="J30">
        <f>-53.6119*$J$7</f>
        <v>0</v>
      </c>
      <c r="K30">
        <f>71.4825*$K$7</f>
        <v>0</v>
      </c>
      <c r="L30">
        <f>-0.0351*$L$7</f>
        <v>0</v>
      </c>
      <c r="M30">
        <f>0+D30+E30+G30+H30+I30+J30+K30+L30</f>
        <v>0</v>
      </c>
      <c r="N30">
        <f>0+D30+F30+G30+H30+I30+J30+K30+L30</f>
        <v>0</v>
      </c>
    </row>
    <row r="31" spans="3:14">
      <c r="C31" t="s">
        <v>26</v>
      </c>
      <c r="D31">
        <f>994.7564*$D$7</f>
        <v>0</v>
      </c>
      <c r="E31">
        <f>1397.4595*$E$7</f>
        <v>0</v>
      </c>
      <c r="F31">
        <f>-43.5232*$F$7</f>
        <v>0</v>
      </c>
      <c r="G31">
        <f>103.8054*$G$7</f>
        <v>0</v>
      </c>
      <c r="H31">
        <f>0*$H$7</f>
        <v>0</v>
      </c>
      <c r="I31">
        <f>141.8342*$I$7</f>
        <v>0</v>
      </c>
      <c r="J31">
        <f>-54.8357*$J$7</f>
        <v>0</v>
      </c>
      <c r="K31">
        <f>73.1143*$K$7</f>
        <v>0</v>
      </c>
      <c r="L31">
        <f>-0.0377*$L$7</f>
        <v>0</v>
      </c>
      <c r="M31">
        <f>0+D31+E31+G31+H31+I31+J31+K31+L31</f>
        <v>0</v>
      </c>
      <c r="N31">
        <f>0+D31+F31+G31+H31+I31+J31+K31+L31</f>
        <v>0</v>
      </c>
    </row>
    <row r="32" spans="3:14">
      <c r="C32" t="s">
        <v>27</v>
      </c>
      <c r="D32">
        <f>945.0613*$D$7</f>
        <v>0</v>
      </c>
      <c r="E32">
        <f>1340.6222*$E$7</f>
        <v>0</v>
      </c>
      <c r="F32">
        <f>-46.989*$F$7</f>
        <v>0</v>
      </c>
      <c r="G32">
        <f>101.9223*$G$7</f>
        <v>0</v>
      </c>
      <c r="H32">
        <f>0*$H$7</f>
        <v>0</v>
      </c>
      <c r="I32">
        <f>134.7901*$I$7</f>
        <v>0</v>
      </c>
      <c r="J32">
        <f>-60.93*$J$7</f>
        <v>0</v>
      </c>
      <c r="K32">
        <f>81.24*$K$7</f>
        <v>0</v>
      </c>
      <c r="L32">
        <f>-0.0227*$L$7</f>
        <v>0</v>
      </c>
      <c r="M32">
        <f>0+D32+E32+G32+H32+I32+J32+K32+L32</f>
        <v>0</v>
      </c>
      <c r="N32">
        <f>0+D32+F32+G32+H32+I32+J32+K32+L32</f>
        <v>0</v>
      </c>
    </row>
    <row r="33" spans="3:14">
      <c r="C33" t="s">
        <v>27</v>
      </c>
      <c r="D33">
        <f>951.4621*$D$7</f>
        <v>0</v>
      </c>
      <c r="E33">
        <f>1347.5182*$E$7</f>
        <v>0</v>
      </c>
      <c r="F33">
        <f>-46.6284*$F$7</f>
        <v>0</v>
      </c>
      <c r="G33">
        <f>102.4202*$G$7</f>
        <v>0</v>
      </c>
      <c r="H33">
        <f>0*$H$7</f>
        <v>0</v>
      </c>
      <c r="I33">
        <f>135.6907*$I$7</f>
        <v>0</v>
      </c>
      <c r="J33">
        <f>-61.4206*$J$7</f>
        <v>0</v>
      </c>
      <c r="K33">
        <f>81.8941*$K$7</f>
        <v>0</v>
      </c>
      <c r="L33">
        <f>-0.0252*$L$7</f>
        <v>0</v>
      </c>
      <c r="M33">
        <f>0+D33+E33+G33+H33+I33+J33+K33+L33</f>
        <v>0</v>
      </c>
      <c r="N33">
        <f>0+D33+F33+G33+H33+I33+J33+K33+L33</f>
        <v>0</v>
      </c>
    </row>
    <row r="34" spans="3:14">
      <c r="C34" t="s">
        <v>28</v>
      </c>
      <c r="D34">
        <f>879.2352*$D$7</f>
        <v>0</v>
      </c>
      <c r="E34">
        <f>1261.4451*$E$7</f>
        <v>0</v>
      </c>
      <c r="F34">
        <f>-50.574*$F$7</f>
        <v>0</v>
      </c>
      <c r="G34">
        <f>95.6456*$G$7</f>
        <v>0</v>
      </c>
      <c r="H34">
        <f>0*$H$7</f>
        <v>0</v>
      </c>
      <c r="I34">
        <f>125.3799*$I$7</f>
        <v>0</v>
      </c>
      <c r="J34">
        <f>-60.1626*$J$7</f>
        <v>0</v>
      </c>
      <c r="K34">
        <f>80.2168*$K$7</f>
        <v>0</v>
      </c>
      <c r="L34">
        <f>-0.0098*$L$7</f>
        <v>0</v>
      </c>
      <c r="M34">
        <f>0+D34+E34+G34+H34+I34+J34+K34+L34</f>
        <v>0</v>
      </c>
      <c r="N34">
        <f>0+D34+F34+G34+H34+I34+J34+K34+L34</f>
        <v>0</v>
      </c>
    </row>
    <row r="35" spans="3:14">
      <c r="C35" t="s">
        <v>28</v>
      </c>
      <c r="D35">
        <f>896.9454*$D$7</f>
        <v>0</v>
      </c>
      <c r="E35">
        <f>1283.9105*$E$7</f>
        <v>0</v>
      </c>
      <c r="F35">
        <f>-49.8371*$F$7</f>
        <v>0</v>
      </c>
      <c r="G35">
        <f>97.5031*$G$7</f>
        <v>0</v>
      </c>
      <c r="H35">
        <f>0*$H$7</f>
        <v>0</v>
      </c>
      <c r="I35">
        <f>127.9138*$I$7</f>
        <v>0</v>
      </c>
      <c r="J35">
        <f>-60.6118*$J$7</f>
        <v>0</v>
      </c>
      <c r="K35">
        <f>80.8157*$K$7</f>
        <v>0</v>
      </c>
      <c r="L35">
        <f>-0.0138*$L$7</f>
        <v>0</v>
      </c>
      <c r="M35">
        <f>0+D35+E35+G35+H35+I35+J35+K35+L35</f>
        <v>0</v>
      </c>
      <c r="N35">
        <f>0+D35+F35+G35+H35+I35+J35+K35+L35</f>
        <v>0</v>
      </c>
    </row>
    <row r="36" spans="3:14">
      <c r="C36" t="s">
        <v>29</v>
      </c>
      <c r="D36">
        <f>802.1838*$D$7</f>
        <v>0</v>
      </c>
      <c r="E36">
        <f>1168.6394*$E$7</f>
        <v>0</v>
      </c>
      <c r="F36">
        <f>-56.6137*$F$7</f>
        <v>0</v>
      </c>
      <c r="G36">
        <f>85.8283*$G$7</f>
        <v>0</v>
      </c>
      <c r="H36">
        <f>0*$H$7</f>
        <v>0</v>
      </c>
      <c r="I36">
        <f>114.353*$I$7</f>
        <v>0</v>
      </c>
      <c r="J36">
        <f>-52.2347*$J$7</f>
        <v>0</v>
      </c>
      <c r="K36">
        <f>69.6463*$K$7</f>
        <v>0</v>
      </c>
      <c r="L36">
        <f>0.0016*$L$7</f>
        <v>0</v>
      </c>
      <c r="M36">
        <f>0+D36+E36+G36+H36+I36+J36+K36+L36</f>
        <v>0</v>
      </c>
      <c r="N36">
        <f>0+D36+F36+G36+H36+I36+J36+K36+L36</f>
        <v>0</v>
      </c>
    </row>
    <row r="37" spans="3:14">
      <c r="C37" t="s">
        <v>29</v>
      </c>
      <c r="D37">
        <f>817.9908*$D$7</f>
        <v>0</v>
      </c>
      <c r="E37">
        <f>1191.1084*$E$7</f>
        <v>0</v>
      </c>
      <c r="F37">
        <f>-55.9061*$F$7</f>
        <v>0</v>
      </c>
      <c r="G37">
        <f>87.4379*$G$7</f>
        <v>0</v>
      </c>
      <c r="H37">
        <f>0*$H$7</f>
        <v>0</v>
      </c>
      <c r="I37">
        <f>116.6254*$I$7</f>
        <v>0</v>
      </c>
      <c r="J37">
        <f>-51.5906*$J$7</f>
        <v>0</v>
      </c>
      <c r="K37">
        <f>68.7874*$K$7</f>
        <v>0</v>
      </c>
      <c r="L37">
        <f>-0.00009075*$L$7</f>
        <v>0</v>
      </c>
      <c r="M37">
        <f>0+D37+E37+G37+H37+I37+J37+K37+L37</f>
        <v>0</v>
      </c>
      <c r="N37">
        <f>0+D37+F37+G37+H37+I37+J37+K37+L37</f>
        <v>0</v>
      </c>
    </row>
    <row r="38" spans="3:14">
      <c r="C38" t="s">
        <v>30</v>
      </c>
      <c r="D38">
        <f>701.07*$D$7</f>
        <v>0</v>
      </c>
      <c r="E38">
        <f>1049.5224*$E$7</f>
        <v>0</v>
      </c>
      <c r="F38">
        <f>-63.8707*$F$7</f>
        <v>0</v>
      </c>
      <c r="G38">
        <f>71.4893*$G$7</f>
        <v>0</v>
      </c>
      <c r="H38">
        <f>0*$H$7</f>
        <v>0</v>
      </c>
      <c r="I38">
        <f>99.8204*$I$7</f>
        <v>0</v>
      </c>
      <c r="J38">
        <f>-40.6255*$J$7</f>
        <v>0</v>
      </c>
      <c r="K38">
        <f>54.1674*$K$7</f>
        <v>0</v>
      </c>
      <c r="L38">
        <f>0.0145*$L$7</f>
        <v>0</v>
      </c>
      <c r="M38">
        <f>0+D38+E38+G38+H38+I38+J38+K38+L38</f>
        <v>0</v>
      </c>
      <c r="N38">
        <f>0+D38+F38+G38+H38+I38+J38+K38+L38</f>
        <v>0</v>
      </c>
    </row>
    <row r="39" spans="3:14">
      <c r="C39" t="s">
        <v>30</v>
      </c>
      <c r="D39">
        <f>711.333*$D$7</f>
        <v>0</v>
      </c>
      <c r="E39">
        <f>1069.0427*$E$7</f>
        <v>0</v>
      </c>
      <c r="F39">
        <f>-68.209*$F$7</f>
        <v>0</v>
      </c>
      <c r="G39">
        <f>73.4856*$G$7</f>
        <v>0</v>
      </c>
      <c r="H39">
        <f>0*$H$7</f>
        <v>0</v>
      </c>
      <c r="I39">
        <f>101.2558*$I$7</f>
        <v>0</v>
      </c>
      <c r="J39">
        <f>-35.0286*$J$7</f>
        <v>0</v>
      </c>
      <c r="K39">
        <f>46.7048*$K$7</f>
        <v>0</v>
      </c>
      <c r="L39">
        <f>-0.0029*$L$7</f>
        <v>0</v>
      </c>
      <c r="M39">
        <f>0+D39+E39+G39+H39+I39+J39+K39+L39</f>
        <v>0</v>
      </c>
      <c r="N39">
        <f>0+D39+F39+G39+H39+I39+J39+K39+L39</f>
        <v>0</v>
      </c>
    </row>
    <row r="40" spans="3:14">
      <c r="C40" t="s">
        <v>31</v>
      </c>
      <c r="D40">
        <f>581.2548*$D$7</f>
        <v>0</v>
      </c>
      <c r="E40">
        <f>888.255*$E$7</f>
        <v>0</v>
      </c>
      <c r="F40">
        <f>-64.2919*$F$7</f>
        <v>0</v>
      </c>
      <c r="G40">
        <f>63.6491*$G$7</f>
        <v>0</v>
      </c>
      <c r="H40">
        <f>0*$H$7</f>
        <v>0</v>
      </c>
      <c r="I40">
        <f>82.8595*$I$7</f>
        <v>0</v>
      </c>
      <c r="J40">
        <f>-56.8941*$J$7</f>
        <v>0</v>
      </c>
      <c r="K40">
        <f>75.8587*$K$7</f>
        <v>0</v>
      </c>
      <c r="L40">
        <f>0.0041*$L$7</f>
        <v>0</v>
      </c>
      <c r="M40">
        <f>0+D40+E40+G40+H40+I40+J40+K40+L40</f>
        <v>0</v>
      </c>
      <c r="N40">
        <f>0+D40+F40+G40+H40+I40+J40+K40+L40</f>
        <v>0</v>
      </c>
    </row>
    <row r="41" spans="3:14">
      <c r="C41" t="s">
        <v>31</v>
      </c>
      <c r="D41">
        <f>610.8826*$D$7</f>
        <v>0</v>
      </c>
      <c r="E41">
        <f>927.3715*$E$7</f>
        <v>0</v>
      </c>
      <c r="F41">
        <f>-64.6261*$F$7</f>
        <v>0</v>
      </c>
      <c r="G41">
        <f>66.6847*$G$7</f>
        <v>0</v>
      </c>
      <c r="H41">
        <f>0*$H$7</f>
        <v>0</v>
      </c>
      <c r="I41">
        <f>87.0525*$I$7</f>
        <v>0</v>
      </c>
      <c r="J41">
        <f>-55.9094*$J$7</f>
        <v>0</v>
      </c>
      <c r="K41">
        <f>74.5459*$K$7</f>
        <v>0</v>
      </c>
      <c r="L41">
        <f>0.0027*$L$7</f>
        <v>0</v>
      </c>
      <c r="M41">
        <f>0+D41+E41+G41+H41+I41+J41+K41+L41</f>
        <v>0</v>
      </c>
      <c r="N41">
        <f>0+D41+F41+G41+H41+I41+J41+K41+L41</f>
        <v>0</v>
      </c>
    </row>
    <row r="42" spans="3:14">
      <c r="C42" t="s">
        <v>32</v>
      </c>
      <c r="D42">
        <f>468.8305*$D$7</f>
        <v>0</v>
      </c>
      <c r="E42">
        <f>723.4102*$E$7</f>
        <v>0</v>
      </c>
      <c r="F42">
        <f>-60.5452*$F$7</f>
        <v>0</v>
      </c>
      <c r="G42">
        <f>53.9612*$G$7</f>
        <v>0</v>
      </c>
      <c r="H42">
        <f>0*$H$7</f>
        <v>0</v>
      </c>
      <c r="I42">
        <f>66.8874*$I$7</f>
        <v>0</v>
      </c>
      <c r="J42">
        <f>-69.5089*$J$7</f>
        <v>0</v>
      </c>
      <c r="K42">
        <f>92.6785*$K$7</f>
        <v>0</v>
      </c>
      <c r="L42">
        <f>0.01*$L$7</f>
        <v>0</v>
      </c>
      <c r="M42">
        <f>0+D42+E42+G42+H42+I42+J42+K42+L42</f>
        <v>0</v>
      </c>
      <c r="N42">
        <f>0+D42+F42+G42+H42+I42+J42+K42+L42</f>
        <v>0</v>
      </c>
    </row>
    <row r="43" spans="3:14">
      <c r="C43" t="s">
        <v>32</v>
      </c>
      <c r="D43">
        <f>489.8304*$D$7</f>
        <v>0</v>
      </c>
      <c r="E43">
        <f>752.7212*$E$7</f>
        <v>0</v>
      </c>
      <c r="F43">
        <f>-61.268*$F$7</f>
        <v>0</v>
      </c>
      <c r="G43">
        <f>56.3566*$G$7</f>
        <v>0</v>
      </c>
      <c r="H43">
        <f>0*$H$7</f>
        <v>0</v>
      </c>
      <c r="I43">
        <f>69.861*$I$7</f>
        <v>0</v>
      </c>
      <c r="J43">
        <f>-69.095*$J$7</f>
        <v>0</v>
      </c>
      <c r="K43">
        <f>92.1267*$K$7</f>
        <v>0</v>
      </c>
      <c r="L43">
        <f>0.0088*$L$7</f>
        <v>0</v>
      </c>
      <c r="M43">
        <f>0+D43+E43+G43+H43+I43+J43+K43+L43</f>
        <v>0</v>
      </c>
      <c r="N43">
        <f>0+D43+F43+G43+H43+I43+J43+K43+L43</f>
        <v>0</v>
      </c>
    </row>
    <row r="44" spans="3:14">
      <c r="C44" t="s">
        <v>33</v>
      </c>
      <c r="D44">
        <f>329.9841*$D$7</f>
        <v>0</v>
      </c>
      <c r="E44">
        <f>517.675*$E$7</f>
        <v>0</v>
      </c>
      <c r="F44">
        <f>-56.9548*$F$7</f>
        <v>0</v>
      </c>
      <c r="G44">
        <f>39.4391*$G$7</f>
        <v>0</v>
      </c>
      <c r="H44">
        <f>0*$H$7</f>
        <v>0</v>
      </c>
      <c r="I44">
        <f>47.1216*$I$7</f>
        <v>0</v>
      </c>
      <c r="J44">
        <f>-78.4553*$J$7</f>
        <v>0</v>
      </c>
      <c r="K44">
        <f>104.6071*$K$7</f>
        <v>0</v>
      </c>
      <c r="L44">
        <f>0.0151*$L$7</f>
        <v>0</v>
      </c>
      <c r="M44">
        <f>0+D44+E44+G44+H44+I44+J44+K44+L44</f>
        <v>0</v>
      </c>
      <c r="N44">
        <f>0+D44+F44+G44+H44+I44+J44+K44+L44</f>
        <v>0</v>
      </c>
    </row>
    <row r="45" spans="3:14">
      <c r="C45" t="s">
        <v>33</v>
      </c>
      <c r="D45">
        <f>345.3735*$D$7</f>
        <v>0</v>
      </c>
      <c r="E45">
        <f>537.4491*$E$7</f>
        <v>0</v>
      </c>
      <c r="F45">
        <f>-57.9317*$F$7</f>
        <v>0</v>
      </c>
      <c r="G45">
        <f>41.1484*$G$7</f>
        <v>0</v>
      </c>
      <c r="H45">
        <f>0*$H$7</f>
        <v>0</v>
      </c>
      <c r="I45">
        <f>49.3121*$I$7</f>
        <v>0</v>
      </c>
      <c r="J45">
        <f>-76.3323*$J$7</f>
        <v>0</v>
      </c>
      <c r="K45">
        <f>101.7765*$K$7</f>
        <v>0</v>
      </c>
      <c r="L45">
        <f>0.0145*$L$7</f>
        <v>0</v>
      </c>
      <c r="M45">
        <f>0+D45+E45+G45+H45+I45+J45+K45+L45</f>
        <v>0</v>
      </c>
      <c r="N45">
        <f>0+D45+F45+G45+H45+I45+J45+K45+L45</f>
        <v>0</v>
      </c>
    </row>
    <row r="46" spans="3:14">
      <c r="C46" t="s">
        <v>34</v>
      </c>
      <c r="D46">
        <f>167.6375*$D$7</f>
        <v>0</v>
      </c>
      <c r="E46">
        <f>270.1947*$E$7</f>
        <v>0</v>
      </c>
      <c r="F46">
        <f>-54.2055*$F$7</f>
        <v>0</v>
      </c>
      <c r="G46">
        <f>19.7814*$G$7</f>
        <v>0</v>
      </c>
      <c r="H46">
        <f>0*$H$7</f>
        <v>0</v>
      </c>
      <c r="I46">
        <f>23.9874*$I$7</f>
        <v>0</v>
      </c>
      <c r="J46">
        <f>-83.6471*$J$7</f>
        <v>0</v>
      </c>
      <c r="K46">
        <f>111.5294*$K$7</f>
        <v>0</v>
      </c>
      <c r="L46">
        <f>0.0179*$L$7</f>
        <v>0</v>
      </c>
      <c r="M46">
        <f>0+D46+E46+G46+H46+I46+J46+K46+L46</f>
        <v>0</v>
      </c>
      <c r="N46">
        <f>0+D46+F46+G46+H46+I46+J46+K46+L46</f>
        <v>0</v>
      </c>
    </row>
    <row r="47" spans="3:14">
      <c r="C47" t="s">
        <v>34</v>
      </c>
      <c r="D47">
        <f>194.117*$D$7</f>
        <v>0</v>
      </c>
      <c r="E47">
        <f>305.5063*$E$7</f>
        <v>0</v>
      </c>
      <c r="F47">
        <f>-56.8718*$F$7</f>
        <v>0</v>
      </c>
      <c r="G47">
        <f>22.9771*$G$7</f>
        <v>0</v>
      </c>
      <c r="H47">
        <f>0*$H$7</f>
        <v>0</v>
      </c>
      <c r="I47">
        <f>27.7717*$I$7</f>
        <v>0</v>
      </c>
      <c r="J47">
        <f>-79.0427*$J$7</f>
        <v>0</v>
      </c>
      <c r="K47">
        <f>105.3902*$K$7</f>
        <v>0</v>
      </c>
      <c r="L47">
        <f>0.018*$L$7</f>
        <v>0</v>
      </c>
      <c r="M47">
        <f>0+D47+E47+G47+H47+I47+J47+K47+L47</f>
        <v>0</v>
      </c>
      <c r="N47">
        <f>0+D47+F47+G47+H47+I47+J47+K47+L47</f>
        <v>0</v>
      </c>
    </row>
    <row r="48" spans="3:14">
      <c r="C48" t="s">
        <v>35</v>
      </c>
      <c r="D48">
        <f>0.5439*$D$7</f>
        <v>0</v>
      </c>
      <c r="E48">
        <f>44.6378*$E$7</f>
        <v>0</v>
      </c>
      <c r="F48">
        <f>-80.5781*$F$7</f>
        <v>0</v>
      </c>
      <c r="G48">
        <f>-2.7381*$G$7</f>
        <v>0</v>
      </c>
      <c r="H48">
        <f>0*$H$7</f>
        <v>0</v>
      </c>
      <c r="I48">
        <f>0.1514*$I$7</f>
        <v>0</v>
      </c>
      <c r="J48">
        <f>-92.9845*$J$7</f>
        <v>0</v>
      </c>
      <c r="K48">
        <f>123.9793*$K$7</f>
        <v>0</v>
      </c>
      <c r="L48">
        <f>0.0159*$L$7</f>
        <v>0</v>
      </c>
      <c r="M48">
        <f>0+D48+E48+G48+H48+I48+J48+K48+L48</f>
        <v>0</v>
      </c>
      <c r="N48">
        <f>0+D48+F48+G48+H48+I48+J48+K48+L48</f>
        <v>0</v>
      </c>
    </row>
    <row r="49" spans="3:14">
      <c r="C49" t="s">
        <v>35</v>
      </c>
      <c r="D49">
        <f>-5.142*$D$7</f>
        <v>0</v>
      </c>
      <c r="E49">
        <f>13.8245*$E$7</f>
        <v>0</v>
      </c>
      <c r="F49">
        <f>-65.5835*$F$7</f>
        <v>0</v>
      </c>
      <c r="G49">
        <f>-1.7607*$G$7</f>
        <v>0</v>
      </c>
      <c r="H49">
        <f>0*$H$7</f>
        <v>0</v>
      </c>
      <c r="I49">
        <f>-0.7237*$I$7</f>
        <v>0</v>
      </c>
      <c r="J49">
        <f>-82.4813*$J$7</f>
        <v>0</v>
      </c>
      <c r="K49">
        <f>109.975*$K$7</f>
        <v>0</v>
      </c>
      <c r="L49">
        <f>0.0035*$L$7</f>
        <v>0</v>
      </c>
      <c r="M49">
        <f>0+D49+E49+G49+H49+I49+J49+K49+L49</f>
        <v>0</v>
      </c>
      <c r="N49">
        <f>0+D49+F49+G49+H49+I49+J49+K49+L49</f>
        <v>0</v>
      </c>
    </row>
    <row r="50" spans="3:14">
      <c r="C50" t="s">
        <v>36</v>
      </c>
      <c r="D50">
        <f>-7.6867*$D$7</f>
        <v>0</v>
      </c>
      <c r="E50">
        <f>3.5704*$E$7</f>
        <v>0</v>
      </c>
      <c r="F50">
        <f>-11.7107*$F$7</f>
        <v>0</v>
      </c>
      <c r="G50">
        <f>-0.8734*$G$7</f>
        <v>0</v>
      </c>
      <c r="H50">
        <f>0*$H$7</f>
        <v>0</v>
      </c>
      <c r="I50">
        <f>-1.1026*$I$7</f>
        <v>0</v>
      </c>
      <c r="J50">
        <f>-67.7863*$J$7</f>
        <v>0</v>
      </c>
      <c r="K50">
        <f>90.3818*$K$7</f>
        <v>0</v>
      </c>
      <c r="L50">
        <f>-0.0011*$L$7</f>
        <v>0</v>
      </c>
      <c r="M50">
        <f>0+D50+E50+G50+H50+I50+J50+K50+L50</f>
        <v>0</v>
      </c>
      <c r="N50">
        <f>0+D50+F50+G50+H50+I50+J50+K50+L50</f>
        <v>0</v>
      </c>
    </row>
    <row r="51" spans="3:14">
      <c r="C51" t="s">
        <v>36</v>
      </c>
      <c r="D51">
        <f>-8.5719*$D$7</f>
        <v>0</v>
      </c>
      <c r="E51">
        <f>1.0313*$E$7</f>
        <v>0</v>
      </c>
      <c r="F51">
        <f>-13.3958*$F$7</f>
        <v>0</v>
      </c>
      <c r="G51">
        <f>-0.7098*$G$7</f>
        <v>0</v>
      </c>
      <c r="H51">
        <f>0*$H$7</f>
        <v>0</v>
      </c>
      <c r="I51">
        <f>-1.239*$I$7</f>
        <v>0</v>
      </c>
      <c r="J51">
        <f>-66.0232*$J$7</f>
        <v>0</v>
      </c>
      <c r="K51">
        <f>88.0309*$K$7</f>
        <v>0</v>
      </c>
      <c r="L51">
        <f>0.2871*$L$7</f>
        <v>0</v>
      </c>
      <c r="M51">
        <f>0+D51+E51+G51+H51+I51+J51+K51+L51</f>
        <v>0</v>
      </c>
      <c r="N51">
        <f>0+D51+F51+G51+H51+I51+J51+K51+L51</f>
        <v>0</v>
      </c>
    </row>
    <row r="52" spans="3:14">
      <c r="C52" t="s">
        <v>37</v>
      </c>
      <c r="D52">
        <f>-6.5011*$D$7</f>
        <v>0</v>
      </c>
      <c r="E52">
        <f>13.2793*$E$7</f>
        <v>0</v>
      </c>
      <c r="F52">
        <f>-19.1067*$F$7</f>
        <v>0</v>
      </c>
      <c r="G52">
        <f>-1.5717*$G$7</f>
        <v>0</v>
      </c>
      <c r="H52">
        <f>0*$H$7</f>
        <v>0</v>
      </c>
      <c r="I52">
        <f>-0.9299*$I$7</f>
        <v>0</v>
      </c>
      <c r="J52">
        <f>-80.3129*$J$7</f>
        <v>0</v>
      </c>
      <c r="K52">
        <f>107.0839*$K$7</f>
        <v>0</v>
      </c>
      <c r="L52">
        <f>0.0847*$L$7</f>
        <v>0</v>
      </c>
      <c r="M52">
        <f>0+D52+E52+G52+H52+I52+J52+K52+L52</f>
        <v>0</v>
      </c>
      <c r="N52">
        <f>0+D52+F52+G52+H52+I52+J52+K52+L52</f>
        <v>0</v>
      </c>
    </row>
    <row r="53" spans="3:14">
      <c r="C53" t="s">
        <v>37</v>
      </c>
      <c r="D53">
        <f>18.071*$D$7</f>
        <v>0</v>
      </c>
      <c r="E53">
        <f>103.9017*$E$7</f>
        <v>0</v>
      </c>
      <c r="F53">
        <f>-76.3513*$F$7</f>
        <v>0</v>
      </c>
      <c r="G53">
        <f>-5.0024*$G$7</f>
        <v>0</v>
      </c>
      <c r="H53">
        <f>0*$H$7</f>
        <v>0</v>
      </c>
      <c r="I53">
        <f>2.8152*$I$7</f>
        <v>0</v>
      </c>
      <c r="J53">
        <f>-121.024*$J$7</f>
        <v>0</v>
      </c>
      <c r="K53">
        <f>161.3653*$K$7</f>
        <v>0</v>
      </c>
      <c r="L53">
        <f>-4.1877*$L$7</f>
        <v>0</v>
      </c>
      <c r="M53">
        <f>0+D53+E53+G53+H53+I53+J53+K53+L53</f>
        <v>0</v>
      </c>
      <c r="N53">
        <f>0+D53+F53+G53+H53+I53+J53+K53+L53</f>
        <v>0</v>
      </c>
    </row>
    <row r="54" spans="3:14">
      <c r="C54" t="s">
        <v>38</v>
      </c>
      <c r="D54">
        <f>202.0973*$D$7</f>
        <v>0</v>
      </c>
      <c r="E54">
        <f>315.523*$E$7</f>
        <v>0</v>
      </c>
      <c r="F54">
        <f>-11.62*$F$7</f>
        <v>0</v>
      </c>
      <c r="G54">
        <f>20.7382*$G$7</f>
        <v>0</v>
      </c>
      <c r="H54">
        <f>0*$H$7</f>
        <v>0</v>
      </c>
      <c r="I54">
        <f>29.0319*$I$7</f>
        <v>0</v>
      </c>
      <c r="J54">
        <f>-100.3774*$J$7</f>
        <v>0</v>
      </c>
      <c r="K54">
        <f>133.8366*$K$7</f>
        <v>0</v>
      </c>
      <c r="L54">
        <f>-3.8782*$L$7</f>
        <v>0</v>
      </c>
      <c r="M54">
        <f>0+D54+E54+G54+H54+I54+J54+K54+L54</f>
        <v>0</v>
      </c>
      <c r="N54">
        <f>0+D54+F54+G54+H54+I54+J54+K54+L54</f>
        <v>0</v>
      </c>
    </row>
    <row r="55" spans="3:14">
      <c r="C55" t="s">
        <v>38</v>
      </c>
      <c r="D55">
        <f>176.304*$D$7</f>
        <v>0</v>
      </c>
      <c r="E55">
        <f>282.5189*$E$7</f>
        <v>0</v>
      </c>
      <c r="F55">
        <f>-10.5311*$F$7</f>
        <v>0</v>
      </c>
      <c r="G55">
        <f>17.6383*$G$7</f>
        <v>0</v>
      </c>
      <c r="H55">
        <f>0*$H$7</f>
        <v>0</v>
      </c>
      <c r="I55">
        <f>25.3444*$I$7</f>
        <v>0</v>
      </c>
      <c r="J55">
        <f>-104.7604*$J$7</f>
        <v>0</v>
      </c>
      <c r="K55">
        <f>139.6805*$K$7</f>
        <v>0</v>
      </c>
      <c r="L55">
        <f>-3.7488*$L$7</f>
        <v>0</v>
      </c>
      <c r="M55">
        <f>0+D55+E55+G55+H55+I55+J55+K55+L55</f>
        <v>0</v>
      </c>
      <c r="N55">
        <f>0+D55+F55+G55+H55+I55+J55+K55+L55</f>
        <v>0</v>
      </c>
    </row>
    <row r="56" spans="3:14">
      <c r="C56" t="s">
        <v>39</v>
      </c>
      <c r="D56">
        <f>345.1235*$D$7</f>
        <v>0</v>
      </c>
      <c r="E56">
        <f>537.6143*$E$7</f>
        <v>0</v>
      </c>
      <c r="F56">
        <f>-15.7563*$F$7</f>
        <v>0</v>
      </c>
      <c r="G56">
        <f>38.9501*$G$7</f>
        <v>0</v>
      </c>
      <c r="H56">
        <f>0*$H$7</f>
        <v>0</v>
      </c>
      <c r="I56">
        <f>49.3615*$I$7</f>
        <v>0</v>
      </c>
      <c r="J56">
        <f>-91.7789*$J$7</f>
        <v>0</v>
      </c>
      <c r="K56">
        <f>122.3719*$K$7</f>
        <v>0</v>
      </c>
      <c r="L56">
        <f>-3.4079*$L$7</f>
        <v>0</v>
      </c>
      <c r="M56">
        <f>0+D56+E56+G56+H56+I56+J56+K56+L56</f>
        <v>0</v>
      </c>
      <c r="N56">
        <f>0+D56+F56+G56+H56+I56+J56+K56+L56</f>
        <v>0</v>
      </c>
    </row>
    <row r="57" spans="3:14">
      <c r="C57" t="s">
        <v>39</v>
      </c>
      <c r="D57">
        <f>330.4968*$D$7</f>
        <v>0</v>
      </c>
      <c r="E57">
        <f>518.1932*$E$7</f>
        <v>0</v>
      </c>
      <c r="F57">
        <f>-14.851*$F$7</f>
        <v>0</v>
      </c>
      <c r="G57">
        <f>37.2664*$G$7</f>
        <v>0</v>
      </c>
      <c r="H57">
        <f>0*$H$7</f>
        <v>0</v>
      </c>
      <c r="I57">
        <f>47.2817*$I$7</f>
        <v>0</v>
      </c>
      <c r="J57">
        <f>-94.2161*$J$7</f>
        <v>0</v>
      </c>
      <c r="K57">
        <f>125.6214*$K$7</f>
        <v>0</v>
      </c>
      <c r="L57">
        <f>-3.3816*$L$7</f>
        <v>0</v>
      </c>
      <c r="M57">
        <f>0+D57+E57+G57+H57+I57+J57+K57+L57</f>
        <v>0</v>
      </c>
      <c r="N57">
        <f>0+D57+F57+G57+H57+I57+J57+K57+L57</f>
        <v>0</v>
      </c>
    </row>
    <row r="58" spans="3:14">
      <c r="C58" t="s">
        <v>40</v>
      </c>
      <c r="D58">
        <f>482.0345*$D$7</f>
        <v>0</v>
      </c>
      <c r="E58">
        <f>746.9769*$E$7</f>
        <v>0</v>
      </c>
      <c r="F58">
        <f>-20.6668*$F$7</f>
        <v>0</v>
      </c>
      <c r="G58">
        <f>54.0548*$G$7</f>
        <v>0</v>
      </c>
      <c r="H58">
        <f>0*$H$7</f>
        <v>0</v>
      </c>
      <c r="I58">
        <f>68.8061*$I$7</f>
        <v>0</v>
      </c>
      <c r="J58">
        <f>-80.1528*$J$7</f>
        <v>0</v>
      </c>
      <c r="K58">
        <f>106.8704*$K$7</f>
        <v>0</v>
      </c>
      <c r="L58">
        <f>-3.0464*$L$7</f>
        <v>0</v>
      </c>
      <c r="M58">
        <f>0+D58+E58+G58+H58+I58+J58+K58+L58</f>
        <v>0</v>
      </c>
      <c r="N58">
        <f>0+D58+F58+G58+H58+I58+J58+K58+L58</f>
        <v>0</v>
      </c>
    </row>
    <row r="59" spans="3:14">
      <c r="C59" t="s">
        <v>40</v>
      </c>
      <c r="D59">
        <f>462.1461*$D$7</f>
        <v>0</v>
      </c>
      <c r="E59">
        <f>718.1241*$E$7</f>
        <v>0</v>
      </c>
      <c r="F59">
        <f>-19.6971*$F$7</f>
        <v>0</v>
      </c>
      <c r="G59">
        <f>51.6887*$G$7</f>
        <v>0</v>
      </c>
      <c r="H59">
        <f>0*$H$7</f>
        <v>0</v>
      </c>
      <c r="I59">
        <f>65.994*$I$7</f>
        <v>0</v>
      </c>
      <c r="J59">
        <f>-81.0763*$J$7</f>
        <v>0</v>
      </c>
      <c r="K59">
        <f>108.1017*$K$7</f>
        <v>0</v>
      </c>
      <c r="L59">
        <f>-3.0261*$L$7</f>
        <v>0</v>
      </c>
      <c r="M59">
        <f>0+D59+E59+G59+H59+I59+J59+K59+L59</f>
        <v>0</v>
      </c>
      <c r="N59">
        <f>0+D59+F59+G59+H59+I59+J59+K59+L59</f>
        <v>0</v>
      </c>
    </row>
    <row r="60" spans="3:14">
      <c r="C60" t="s">
        <v>41</v>
      </c>
      <c r="D60">
        <f>596.3086*$D$7</f>
        <v>0</v>
      </c>
      <c r="E60">
        <f>918.157*$E$7</f>
        <v>0</v>
      </c>
      <c r="F60">
        <f>-28.4464*$F$7</f>
        <v>0</v>
      </c>
      <c r="G60">
        <f>64.2227*$G$7</f>
        <v>0</v>
      </c>
      <c r="H60">
        <f>0*$H$7</f>
        <v>0</v>
      </c>
      <c r="I60">
        <f>85.0085*$I$7</f>
        <v>0</v>
      </c>
      <c r="J60">
        <f>-63.5281*$J$7</f>
        <v>0</v>
      </c>
      <c r="K60">
        <f>84.7041*$K$7</f>
        <v>0</v>
      </c>
      <c r="L60">
        <f>-2.7361*$L$7</f>
        <v>0</v>
      </c>
      <c r="M60">
        <f>0+D60+E60+G60+H60+I60+J60+K60+L60</f>
        <v>0</v>
      </c>
      <c r="N60">
        <f>0+D60+F60+G60+H60+I60+J60+K60+L60</f>
        <v>0</v>
      </c>
    </row>
    <row r="61" spans="3:14">
      <c r="C61" t="s">
        <v>41</v>
      </c>
      <c r="D61">
        <f>568.2961*$D$7</f>
        <v>0</v>
      </c>
      <c r="E61">
        <f>879.4521*$E$7</f>
        <v>0</v>
      </c>
      <c r="F61">
        <f>-27.3055*$F$7</f>
        <v>0</v>
      </c>
      <c r="G61">
        <f>61.2604*$G$7</f>
        <v>0</v>
      </c>
      <c r="H61">
        <f>0*$H$7</f>
        <v>0</v>
      </c>
      <c r="I61">
        <f>81.0487*$I$7</f>
        <v>0</v>
      </c>
      <c r="J61">
        <f>-65.0124*$J$7</f>
        <v>0</v>
      </c>
      <c r="K61">
        <f>86.6831*$K$7</f>
        <v>0</v>
      </c>
      <c r="L61">
        <f>-2.6668*$L$7</f>
        <v>0</v>
      </c>
      <c r="M61">
        <f>0+D61+E61+G61+H61+I61+J61+K61+L61</f>
        <v>0</v>
      </c>
      <c r="N61">
        <f>0+D61+F61+G61+H61+I61+J61+K61+L61</f>
        <v>0</v>
      </c>
    </row>
    <row r="62" spans="3:14">
      <c r="C62" t="s">
        <v>42</v>
      </c>
      <c r="D62">
        <f>690.665*$D$7</f>
        <v>0</v>
      </c>
      <c r="E62">
        <f>1057.9222*$E$7</f>
        <v>0</v>
      </c>
      <c r="F62">
        <f>-38.6926*$F$7</f>
        <v>0</v>
      </c>
      <c r="G62">
        <f>70.8254*$G$7</f>
        <v>0</v>
      </c>
      <c r="H62">
        <f>0*$H$7</f>
        <v>0</v>
      </c>
      <c r="I62">
        <f>98.3251*$I$7</f>
        <v>0</v>
      </c>
      <c r="J62">
        <f>-39.9678*$J$7</f>
        <v>0</v>
      </c>
      <c r="K62">
        <f>53.2904*$K$7</f>
        <v>0</v>
      </c>
      <c r="L62">
        <f>-2.4958*$L$7</f>
        <v>0</v>
      </c>
      <c r="M62">
        <f>0+D62+E62+G62+H62+I62+J62+K62+L62</f>
        <v>0</v>
      </c>
      <c r="N62">
        <f>0+D62+F62+G62+H62+I62+J62+K62+L62</f>
        <v>0</v>
      </c>
    </row>
    <row r="63" spans="3:14">
      <c r="C63" t="s">
        <v>42</v>
      </c>
      <c r="D63">
        <f>681.3818*$D$7</f>
        <v>0</v>
      </c>
      <c r="E63">
        <f>1037.0918*$E$7</f>
        <v>0</v>
      </c>
      <c r="F63">
        <f>-32.2923*$F$7</f>
        <v>0</v>
      </c>
      <c r="G63">
        <f>68.7893*$G$7</f>
        <v>0</v>
      </c>
      <c r="H63">
        <f>0*$H$7</f>
        <v>0</v>
      </c>
      <c r="I63">
        <f>97.0365*$I$7</f>
        <v>0</v>
      </c>
      <c r="J63">
        <f>-46.668*$J$7</f>
        <v>0</v>
      </c>
      <c r="K63">
        <f>62.224*$K$7</f>
        <v>0</v>
      </c>
      <c r="L63">
        <f>-3.024*$L$7</f>
        <v>0</v>
      </c>
      <c r="M63">
        <f>0+D63+E63+G63+H63+I63+J63+K63+L63</f>
        <v>0</v>
      </c>
      <c r="N63">
        <f>0+D63+F63+G63+H63+I63+J63+K63+L63</f>
        <v>0</v>
      </c>
    </row>
    <row r="64" spans="3:14">
      <c r="C64" t="s">
        <v>43</v>
      </c>
      <c r="D64">
        <f>790.9333*$D$7</f>
        <v>0</v>
      </c>
      <c r="E64">
        <f>1179.0866*$E$7</f>
        <v>0</v>
      </c>
      <c r="F64">
        <f>-32.0809*$F$7</f>
        <v>0</v>
      </c>
      <c r="G64">
        <f>84.2059*$G$7</f>
        <v>0</v>
      </c>
      <c r="H64">
        <f>0*$H$7</f>
        <v>0</v>
      </c>
      <c r="I64">
        <f>112.7859*$I$7</f>
        <v>0</v>
      </c>
      <c r="J64">
        <f>-56.807*$J$7</f>
        <v>0</v>
      </c>
      <c r="K64">
        <f>75.7427*$K$7</f>
        <v>0</v>
      </c>
      <c r="L64">
        <f>-3.1874*$L$7</f>
        <v>0</v>
      </c>
      <c r="M64">
        <f>0+D64+E64+G64+H64+I64+J64+K64+L64</f>
        <v>0</v>
      </c>
      <c r="N64">
        <f>0+D64+F64+G64+H64+I64+J64+K64+L64</f>
        <v>0</v>
      </c>
    </row>
    <row r="65" spans="3:14">
      <c r="C65" t="s">
        <v>43</v>
      </c>
      <c r="D65">
        <f>776.3381*$D$7</f>
        <v>0</v>
      </c>
      <c r="E65">
        <f>1156.4984*$E$7</f>
        <v>0</v>
      </c>
      <c r="F65">
        <f>-31.7963*$F$7</f>
        <v>0</v>
      </c>
      <c r="G65">
        <f>82.654*$G$7</f>
        <v>0</v>
      </c>
      <c r="H65">
        <f>0*$H$7</f>
        <v>0</v>
      </c>
      <c r="I65">
        <f>110.6875*$I$7</f>
        <v>0</v>
      </c>
      <c r="J65">
        <f>-57.7643*$J$7</f>
        <v>0</v>
      </c>
      <c r="K65">
        <f>77.0191*$K$7</f>
        <v>0</v>
      </c>
      <c r="L65">
        <f>-3.0878*$L$7</f>
        <v>0</v>
      </c>
      <c r="M65">
        <f>0+D65+E65+G65+H65+I65+J65+K65+L65</f>
        <v>0</v>
      </c>
      <c r="N65">
        <f>0+D65+F65+G65+H65+I65+J65+K65+L65</f>
        <v>0</v>
      </c>
    </row>
    <row r="66" spans="3:14">
      <c r="C66" t="s">
        <v>44</v>
      </c>
      <c r="D66">
        <f>863.8551*$D$7</f>
        <v>0</v>
      </c>
      <c r="E66">
        <f>1271.7082*$E$7</f>
        <v>0</v>
      </c>
      <c r="F66">
        <f>-33.1312*$F$7</f>
        <v>0</v>
      </c>
      <c r="G66">
        <f>93.7534*$G$7</f>
        <v>0</v>
      </c>
      <c r="H66">
        <f>0*$H$7</f>
        <v>0</v>
      </c>
      <c r="I66">
        <f>123.2143*$I$7</f>
        <v>0</v>
      </c>
      <c r="J66">
        <f>-65.8177*$J$7</f>
        <v>0</v>
      </c>
      <c r="K66">
        <f>87.7569*$K$7</f>
        <v>0</v>
      </c>
      <c r="L66">
        <f>-3.3377*$L$7</f>
        <v>0</v>
      </c>
      <c r="M66">
        <f>0+D66+E66+G66+H66+I66+J66+K66+L66</f>
        <v>0</v>
      </c>
      <c r="N66">
        <f>0+D66+F66+G66+H66+I66+J66+K66+L66</f>
        <v>0</v>
      </c>
    </row>
    <row r="67" spans="3:14">
      <c r="C67" t="s">
        <v>44</v>
      </c>
      <c r="D67">
        <f>847.8958*$D$7</f>
        <v>0</v>
      </c>
      <c r="E67">
        <f>1248.9607*$E$7</f>
        <v>0</v>
      </c>
      <c r="F67">
        <f>-32.6907*$F$7</f>
        <v>0</v>
      </c>
      <c r="G67">
        <f>92.0056*$G$7</f>
        <v>0</v>
      </c>
      <c r="H67">
        <f>0*$H$7</f>
        <v>0</v>
      </c>
      <c r="I67">
        <f>120.9305*$I$7</f>
        <v>0</v>
      </c>
      <c r="J67">
        <f>-65.6172*$J$7</f>
        <v>0</v>
      </c>
      <c r="K67">
        <f>87.4896*$K$7</f>
        <v>0</v>
      </c>
      <c r="L67">
        <f>-3.1928*$L$7</f>
        <v>0</v>
      </c>
      <c r="M67">
        <f>0+D67+E67+G67+H67+I67+J67+K67+L67</f>
        <v>0</v>
      </c>
      <c r="N67">
        <f>0+D67+F67+G67+H67+I67+J67+K67+L67</f>
        <v>0</v>
      </c>
    </row>
    <row r="68" spans="3:14">
      <c r="C68" t="s">
        <v>45</v>
      </c>
      <c r="D68">
        <f>912.8918*$D$7</f>
        <v>0</v>
      </c>
      <c r="E68">
        <f>1336.3294*$E$7</f>
        <v>0</v>
      </c>
      <c r="F68">
        <f>-34.8331*$F$7</f>
        <v>0</v>
      </c>
      <c r="G68">
        <f>98.1685*$G$7</f>
        <v>0</v>
      </c>
      <c r="H68">
        <f>0*$H$7</f>
        <v>0</v>
      </c>
      <c r="I68">
        <f>130.2127*$I$7</f>
        <v>0</v>
      </c>
      <c r="J68">
        <f>-66.9646*$J$7</f>
        <v>0</v>
      </c>
      <c r="K68">
        <f>89.2861*$K$7</f>
        <v>0</v>
      </c>
      <c r="L68">
        <f>-3.575*$L$7</f>
        <v>0</v>
      </c>
      <c r="M68">
        <f>0+D68+E68+G68+H68+I68+J68+K68+L68</f>
        <v>0</v>
      </c>
      <c r="N68">
        <f>0+D68+F68+G68+H68+I68+J68+K68+L68</f>
        <v>0</v>
      </c>
    </row>
    <row r="69" spans="3:14">
      <c r="C69" t="s">
        <v>45</v>
      </c>
      <c r="D69">
        <f>907.5265*$D$7</f>
        <v>0</v>
      </c>
      <c r="E69">
        <f>1329.0608*$E$7</f>
        <v>0</v>
      </c>
      <c r="F69">
        <f>-34.591*$F$7</f>
        <v>0</v>
      </c>
      <c r="G69">
        <f>97.722*$G$7</f>
        <v>0</v>
      </c>
      <c r="H69">
        <f>0*$H$7</f>
        <v>0</v>
      </c>
      <c r="I69">
        <f>129.4604*$I$7</f>
        <v>0</v>
      </c>
      <c r="J69">
        <f>-66.7129*$J$7</f>
        <v>0</v>
      </c>
      <c r="K69">
        <f>88.9505*$K$7</f>
        <v>0</v>
      </c>
      <c r="L69">
        <f>-3.4279*$L$7</f>
        <v>0</v>
      </c>
      <c r="M69">
        <f>0+D69+E69+G69+H69+I69+J69+K69+L69</f>
        <v>0</v>
      </c>
      <c r="N69">
        <f>0+D69+F69+G69+H69+I69+J69+K69+L69</f>
        <v>0</v>
      </c>
    </row>
    <row r="70" spans="3:14">
      <c r="C70" t="s">
        <v>46</v>
      </c>
      <c r="D70">
        <f>949.9246*$D$7</f>
        <v>0</v>
      </c>
      <c r="E70">
        <f>1386.7722*$E$7</f>
        <v>0</v>
      </c>
      <c r="F70">
        <f>-40.5767*$F$7</f>
        <v>0</v>
      </c>
      <c r="G70">
        <f>98.9619*$G$7</f>
        <v>0</v>
      </c>
      <c r="H70">
        <f>0*$H$7</f>
        <v>0</v>
      </c>
      <c r="I70">
        <f>135.4699*$I$7</f>
        <v>0</v>
      </c>
      <c r="J70">
        <f>-61.0544*$J$7</f>
        <v>0</v>
      </c>
      <c r="K70">
        <f>81.4059*$K$7</f>
        <v>0</v>
      </c>
      <c r="L70">
        <f>-3.9956*$L$7</f>
        <v>0</v>
      </c>
      <c r="M70">
        <f>0+D70+E70+G70+H70+I70+J70+K70+L70</f>
        <v>0</v>
      </c>
      <c r="N70">
        <f>0+D70+F70+G70+H70+I70+J70+K70+L70</f>
        <v>0</v>
      </c>
    </row>
    <row r="71" spans="3:14">
      <c r="C71" t="s">
        <v>46</v>
      </c>
      <c r="D71">
        <f>945.4517*$D$7</f>
        <v>0</v>
      </c>
      <c r="E71">
        <f>1377.2938*$E$7</f>
        <v>0</v>
      </c>
      <c r="F71">
        <f>-40.1535*$F$7</f>
        <v>0</v>
      </c>
      <c r="G71">
        <f>98.5235*$G$7</f>
        <v>0</v>
      </c>
      <c r="H71">
        <f>0*$H$7</f>
        <v>0</v>
      </c>
      <c r="I71">
        <f>134.855*$I$7</f>
        <v>0</v>
      </c>
      <c r="J71">
        <f>-60.1595*$J$7</f>
        <v>0</v>
      </c>
      <c r="K71">
        <f>80.2126*$K$7</f>
        <v>0</v>
      </c>
      <c r="L71">
        <f>-3.8391*$L$7</f>
        <v>0</v>
      </c>
      <c r="M71">
        <f>0+D71+E71+G71+H71+I71+J71+K71+L71</f>
        <v>0</v>
      </c>
      <c r="N71">
        <f>0+D71+F71+G71+H71+I71+J71+K71+L71</f>
        <v>0</v>
      </c>
    </row>
    <row r="72" spans="3:14">
      <c r="C72" t="s">
        <v>47</v>
      </c>
      <c r="D72">
        <f>965.0271*$D$7</f>
        <v>0</v>
      </c>
      <c r="E72">
        <f>1404.8048*$E$7</f>
        <v>0</v>
      </c>
      <c r="F72">
        <f>-49.4048*$F$7</f>
        <v>0</v>
      </c>
      <c r="G72">
        <f>95.5305*$G$7</f>
        <v>0</v>
      </c>
      <c r="H72">
        <f>0*$H$7</f>
        <v>0</v>
      </c>
      <c r="I72">
        <f>137.5215*$I$7</f>
        <v>0</v>
      </c>
      <c r="J72">
        <f>-51.1215*$J$7</f>
        <v>0</v>
      </c>
      <c r="K72">
        <f>68.162*$K$7</f>
        <v>0</v>
      </c>
      <c r="L72">
        <f>-4.6369*$L$7</f>
        <v>0</v>
      </c>
      <c r="M72">
        <f>0+D72+E72+G72+H72+I72+J72+K72+L72</f>
        <v>0</v>
      </c>
      <c r="N72">
        <f>0+D72+F72+G72+H72+I72+J72+K72+L72</f>
        <v>0</v>
      </c>
    </row>
    <row r="73" spans="3:14">
      <c r="C73" t="s">
        <v>47</v>
      </c>
      <c r="D73">
        <f>965.2053*$D$7</f>
        <v>0</v>
      </c>
      <c r="E73">
        <f>1404.0093*$E$7</f>
        <v>0</v>
      </c>
      <c r="F73">
        <f>-48.4838*$F$7</f>
        <v>0</v>
      </c>
      <c r="G73">
        <f>95.5019*$G$7</f>
        <v>0</v>
      </c>
      <c r="H73">
        <f>0*$H$7</f>
        <v>0</v>
      </c>
      <c r="I73">
        <f>137.5488*$I$7</f>
        <v>0</v>
      </c>
      <c r="J73">
        <f>-51.4436*$J$7</f>
        <v>0</v>
      </c>
      <c r="K73">
        <f>68.5915*$K$7</f>
        <v>0</v>
      </c>
      <c r="L73">
        <f>-5.2195*$L$7</f>
        <v>0</v>
      </c>
      <c r="M73">
        <f>0+D73+E73+G73+H73+I73+J73+K73+L73</f>
        <v>0</v>
      </c>
      <c r="N73">
        <f>0+D73+F73+G73+H73+I73+J73+K73+L73</f>
        <v>0</v>
      </c>
    </row>
    <row r="74" spans="3:14">
      <c r="C74" t="s">
        <v>48</v>
      </c>
      <c r="D74">
        <f>946.136*$D$7</f>
        <v>0</v>
      </c>
      <c r="E74">
        <f>1377.9464*$E$7</f>
        <v>0</v>
      </c>
      <c r="F74">
        <f>-47.9114*$F$7</f>
        <v>0</v>
      </c>
      <c r="G74">
        <f>98.6534*$G$7</f>
        <v>0</v>
      </c>
      <c r="H74">
        <f>0*$H$7</f>
        <v>0</v>
      </c>
      <c r="I74">
        <f>134.9503*$I$7</f>
        <v>0</v>
      </c>
      <c r="J74">
        <f>-59.745*$J$7</f>
        <v>0</v>
      </c>
      <c r="K74">
        <f>79.66*$K$7</f>
        <v>0</v>
      </c>
      <c r="L74">
        <f>-6.3138*$L$7</f>
        <v>0</v>
      </c>
      <c r="M74">
        <f>0+D74+E74+G74+H74+I74+J74+K74+L74</f>
        <v>0</v>
      </c>
      <c r="N74">
        <f>0+D74+F74+G74+H74+I74+J74+K74+L74</f>
        <v>0</v>
      </c>
    </row>
    <row r="75" spans="3:14">
      <c r="C75" t="s">
        <v>48</v>
      </c>
      <c r="D75">
        <f>950.5496*$D$7</f>
        <v>0</v>
      </c>
      <c r="E75">
        <f>1387.2902*$E$7</f>
        <v>0</v>
      </c>
      <c r="F75">
        <f>-47.4641*$F$7</f>
        <v>0</v>
      </c>
      <c r="G75">
        <f>99.0538*$G$7</f>
        <v>0</v>
      </c>
      <c r="H75">
        <f>0*$H$7</f>
        <v>0</v>
      </c>
      <c r="I75">
        <f>135.558*$I$7</f>
        <v>0</v>
      </c>
      <c r="J75">
        <f>-60.8596*$J$7</f>
        <v>0</v>
      </c>
      <c r="K75">
        <f>81.1462*$K$7</f>
        <v>0</v>
      </c>
      <c r="L75">
        <f>-6.0528*$L$7</f>
        <v>0</v>
      </c>
      <c r="M75">
        <f>0+D75+E75+G75+H75+I75+J75+K75+L75</f>
        <v>0</v>
      </c>
      <c r="N75">
        <f>0+D75+F75+G75+H75+I75+J75+K75+L75</f>
        <v>0</v>
      </c>
    </row>
    <row r="76" spans="3:14">
      <c r="C76" t="s">
        <v>49</v>
      </c>
      <c r="D76">
        <f>908.6339*$D$7</f>
        <v>0</v>
      </c>
      <c r="E76">
        <f>1330.9349*$E$7</f>
        <v>0</v>
      </c>
      <c r="F76">
        <f>-49.2886*$F$7</f>
        <v>0</v>
      </c>
      <c r="G76">
        <f>97.9781*$G$7</f>
        <v>0</v>
      </c>
      <c r="H76">
        <f>0*$H$7</f>
        <v>0</v>
      </c>
      <c r="I76">
        <f>129.6128*$I$7</f>
        <v>0</v>
      </c>
      <c r="J76">
        <f>-65.7269*$J$7</f>
        <v>0</v>
      </c>
      <c r="K76">
        <f>87.6359*$K$7</f>
        <v>0</v>
      </c>
      <c r="L76">
        <f>-7.382*$L$7</f>
        <v>0</v>
      </c>
      <c r="M76">
        <f>0+D76+E76+G76+H76+I76+J76+K76+L76</f>
        <v>0</v>
      </c>
      <c r="N76">
        <f>0+D76+F76+G76+H76+I76+J76+K76+L76</f>
        <v>0</v>
      </c>
    </row>
    <row r="77" spans="3:14">
      <c r="C77" t="s">
        <v>49</v>
      </c>
      <c r="D77">
        <f>913.9648*$D$7</f>
        <v>0</v>
      </c>
      <c r="E77">
        <f>1338.1147*$E$7</f>
        <v>0</v>
      </c>
      <c r="F77">
        <f>-48.9445*$F$7</f>
        <v>0</v>
      </c>
      <c r="G77">
        <f>98.3856*$G$7</f>
        <v>0</v>
      </c>
      <c r="H77">
        <f>0*$H$7</f>
        <v>0</v>
      </c>
      <c r="I77">
        <f>130.3617*$I$7</f>
        <v>0</v>
      </c>
      <c r="J77">
        <f>-66.2225*$J$7</f>
        <v>0</v>
      </c>
      <c r="K77">
        <f>88.2967*$K$7</f>
        <v>0</v>
      </c>
      <c r="L77">
        <f>-7.1214*$L$7</f>
        <v>0</v>
      </c>
      <c r="M77">
        <f>0+D77+E77+G77+H77+I77+J77+K77+L77</f>
        <v>0</v>
      </c>
      <c r="N77">
        <f>0+D77+F77+G77+H77+I77+J77+K77+L77</f>
        <v>0</v>
      </c>
    </row>
    <row r="78" spans="3:14">
      <c r="C78" t="s">
        <v>50</v>
      </c>
      <c r="D78">
        <f>849.4254*$D$7</f>
        <v>0</v>
      </c>
      <c r="E78">
        <f>1251.9676*$E$7</f>
        <v>0</v>
      </c>
      <c r="F78">
        <f>-53.4586*$F$7</f>
        <v>0</v>
      </c>
      <c r="G78">
        <f>92.3986*$G$7</f>
        <v>0</v>
      </c>
      <c r="H78">
        <f>0*$H$7</f>
        <v>0</v>
      </c>
      <c r="I78">
        <f>121.1396*$I$7</f>
        <v>0</v>
      </c>
      <c r="J78">
        <f>-63.9865*$J$7</f>
        <v>0</v>
      </c>
      <c r="K78">
        <f>85.3153*$K$7</f>
        <v>0</v>
      </c>
      <c r="L78">
        <f>-8.7829*$L$7</f>
        <v>0</v>
      </c>
      <c r="M78">
        <f>0+D78+E78+G78+H78+I78+J78+K78+L78</f>
        <v>0</v>
      </c>
      <c r="N78">
        <f>0+D78+F78+G78+H78+I78+J78+K78+L78</f>
        <v>0</v>
      </c>
    </row>
    <row r="79" spans="3:14">
      <c r="C79" t="s">
        <v>50</v>
      </c>
      <c r="D79">
        <f>865.3727*$D$7</f>
        <v>0</v>
      </c>
      <c r="E79">
        <f>1274.5861*$E$7</f>
        <v>0</v>
      </c>
      <c r="F79">
        <f>-52.5692*$F$7</f>
        <v>0</v>
      </c>
      <c r="G79">
        <f>94.0853*$G$7</f>
        <v>0</v>
      </c>
      <c r="H79">
        <f>0*$H$7</f>
        <v>0</v>
      </c>
      <c r="I79">
        <f>123.424*$I$7</f>
        <v>0</v>
      </c>
      <c r="J79">
        <f>-64.5973*$J$7</f>
        <v>0</v>
      </c>
      <c r="K79">
        <f>86.1297*$K$7</f>
        <v>0</v>
      </c>
      <c r="L79">
        <f>-8.3401*$L$7</f>
        <v>0</v>
      </c>
      <c r="M79">
        <f>0+D79+E79+G79+H79+I79+J79+K79+L79</f>
        <v>0</v>
      </c>
      <c r="N79">
        <f>0+D79+F79+G79+H79+I79+J79+K79+L79</f>
        <v>0</v>
      </c>
    </row>
    <row r="80" spans="3:14">
      <c r="C80" t="s">
        <v>51</v>
      </c>
      <c r="D80">
        <f>778.2361*$D$7</f>
        <v>0</v>
      </c>
      <c r="E80">
        <f>1160.1*$E$7</f>
        <v>0</v>
      </c>
      <c r="F80">
        <f>-58.472*$F$7</f>
        <v>0</v>
      </c>
      <c r="G80">
        <f>83.1793*$G$7</f>
        <v>0</v>
      </c>
      <c r="H80">
        <f>0*$H$7</f>
        <v>0</v>
      </c>
      <c r="I80">
        <f>110.9455*$I$7</f>
        <v>0</v>
      </c>
      <c r="J80">
        <f>-55.4829*$J$7</f>
        <v>0</v>
      </c>
      <c r="K80">
        <f>73.9772*$K$7</f>
        <v>0</v>
      </c>
      <c r="L80">
        <f>-10.3387*$L$7</f>
        <v>0</v>
      </c>
      <c r="M80">
        <f>0+D80+E80+G80+H80+I80+J80+K80+L80</f>
        <v>0</v>
      </c>
      <c r="N80">
        <f>0+D80+F80+G80+H80+I80+J80+K80+L80</f>
        <v>0</v>
      </c>
    </row>
    <row r="81" spans="3:14">
      <c r="C81" t="s">
        <v>51</v>
      </c>
      <c r="D81">
        <f>792.9902*$D$7</f>
        <v>0</v>
      </c>
      <c r="E81">
        <f>1182.7468*$E$7</f>
        <v>0</v>
      </c>
      <c r="F81">
        <f>-57.9774*$F$7</f>
        <v>0</v>
      </c>
      <c r="G81">
        <f>84.6801*$G$7</f>
        <v>0</v>
      </c>
      <c r="H81">
        <f>0*$H$7</f>
        <v>0</v>
      </c>
      <c r="I81">
        <f>113.0691*$I$7</f>
        <v>0</v>
      </c>
      <c r="J81">
        <f>-54.9874*$J$7</f>
        <v>0</v>
      </c>
      <c r="K81">
        <f>73.3166*$K$7</f>
        <v>0</v>
      </c>
      <c r="L81">
        <f>-10.0659*$L$7</f>
        <v>0</v>
      </c>
      <c r="M81">
        <f>0+D81+E81+G81+H81+I81+J81+K81+L81</f>
        <v>0</v>
      </c>
      <c r="N81">
        <f>0+D81+F81+G81+H81+I81+J81+K81+L81</f>
        <v>0</v>
      </c>
    </row>
    <row r="82" spans="3:14">
      <c r="C82" t="s">
        <v>52</v>
      </c>
      <c r="D82">
        <f>683.5553*$D$7</f>
        <v>0</v>
      </c>
      <c r="E82">
        <f>1041.3964*$E$7</f>
        <v>0</v>
      </c>
      <c r="F82">
        <f>-64.4095*$F$7</f>
        <v>0</v>
      </c>
      <c r="G82">
        <f>69.4791*$G$7</f>
        <v>0</v>
      </c>
      <c r="H82">
        <f>0*$H$7</f>
        <v>0</v>
      </c>
      <c r="I82">
        <f>97.3285*$I$7</f>
        <v>0</v>
      </c>
      <c r="J82">
        <f>-43.4528*$J$7</f>
        <v>0</v>
      </c>
      <c r="K82">
        <f>57.937*$K$7</f>
        <v>0</v>
      </c>
      <c r="L82">
        <f>-12.2343*$L$7</f>
        <v>0</v>
      </c>
      <c r="M82">
        <f>0+D82+E82+G82+H82+I82+J82+K82+L82</f>
        <v>0</v>
      </c>
      <c r="N82">
        <f>0+D82+F82+G82+H82+I82+J82+K82+L82</f>
        <v>0</v>
      </c>
    </row>
    <row r="83" spans="3:14">
      <c r="C83" t="s">
        <v>52</v>
      </c>
      <c r="D83">
        <f>693.8525*$D$7</f>
        <v>0</v>
      </c>
      <c r="E83">
        <f>1062.6621*$E$7</f>
        <v>0</v>
      </c>
      <c r="F83">
        <f>-72.2717*$F$7</f>
        <v>0</v>
      </c>
      <c r="G83">
        <f>71.523*$G$7</f>
        <v>0</v>
      </c>
      <c r="H83">
        <f>0*$H$7</f>
        <v>0</v>
      </c>
      <c r="I83">
        <f>98.7657*$I$7</f>
        <v>0</v>
      </c>
      <c r="J83">
        <f>-37.4131*$J$7</f>
        <v>0</v>
      </c>
      <c r="K83">
        <f>49.8841*$K$7</f>
        <v>0</v>
      </c>
      <c r="L83">
        <f>-14.9064*$L$7</f>
        <v>0</v>
      </c>
      <c r="M83">
        <f>0+D83+E83+G83+H83+I83+J83+K83+L83</f>
        <v>0</v>
      </c>
      <c r="N83">
        <f>0+D83+F83+G83+H83+I83+J83+K83+L83</f>
        <v>0</v>
      </c>
    </row>
    <row r="84" spans="3:14">
      <c r="C84" t="s">
        <v>53</v>
      </c>
      <c r="D84">
        <f>567.9418*$D$7</f>
        <v>0</v>
      </c>
      <c r="E84">
        <f>882.0926*$E$7</f>
        <v>0</v>
      </c>
      <c r="F84">
        <f>-65.0408*$F$7</f>
        <v>0</v>
      </c>
      <c r="G84">
        <f>62.1553*$G$7</f>
        <v>0</v>
      </c>
      <c r="H84">
        <f>0*$H$7</f>
        <v>0</v>
      </c>
      <c r="I84">
        <f>80.9616*$I$7</f>
        <v>0</v>
      </c>
      <c r="J84">
        <f>-58.6313*$J$7</f>
        <v>0</v>
      </c>
      <c r="K84">
        <f>78.1751*$K$7</f>
        <v>0</v>
      </c>
      <c r="L84">
        <f>-11.7481*$L$7</f>
        <v>0</v>
      </c>
      <c r="M84">
        <f>0+D84+E84+G84+H84+I84+J84+K84+L84</f>
        <v>0</v>
      </c>
      <c r="N84">
        <f>0+D84+F84+G84+H84+I84+J84+K84+L84</f>
        <v>0</v>
      </c>
    </row>
    <row r="85" spans="3:14">
      <c r="C85" t="s">
        <v>53</v>
      </c>
      <c r="D85">
        <f>596.4588*$D$7</f>
        <v>0</v>
      </c>
      <c r="E85">
        <f>921.186*$E$7</f>
        <v>0</v>
      </c>
      <c r="F85">
        <f>-65.5942*$F$7</f>
        <v>0</v>
      </c>
      <c r="G85">
        <f>65.0675*$G$7</f>
        <v>0</v>
      </c>
      <c r="H85">
        <f>0*$H$7</f>
        <v>0</v>
      </c>
      <c r="I85">
        <f>84.9975*$I$7</f>
        <v>0</v>
      </c>
      <c r="J85">
        <f>-57.8435*$J$7</f>
        <v>0</v>
      </c>
      <c r="K85">
        <f>77.1247*$K$7</f>
        <v>0</v>
      </c>
      <c r="L85">
        <f>-12.0388*$L$7</f>
        <v>0</v>
      </c>
      <c r="M85">
        <f>0+D85+E85+G85+H85+I85+J85+K85+L85</f>
        <v>0</v>
      </c>
      <c r="N85">
        <f>0+D85+F85+G85+H85+I85+J85+K85+L85</f>
        <v>0</v>
      </c>
    </row>
    <row r="86" spans="3:14">
      <c r="C86" t="s">
        <v>54</v>
      </c>
      <c r="D86">
        <f>458.2253*$D$7</f>
        <v>0</v>
      </c>
      <c r="E86">
        <f>717.6607*$E$7</f>
        <v>0</v>
      </c>
      <c r="F86">
        <f>-60.1425*$F$7</f>
        <v>0</v>
      </c>
      <c r="G86">
        <f>52.7713*$G$7</f>
        <v>0</v>
      </c>
      <c r="H86">
        <f>0*$H$7</f>
        <v>0</v>
      </c>
      <c r="I86">
        <f>65.376*$I$7</f>
        <v>0</v>
      </c>
      <c r="J86">
        <f>-70.9158*$J$7</f>
        <v>0</v>
      </c>
      <c r="K86">
        <f>94.5544*$K$7</f>
        <v>0</v>
      </c>
      <c r="L86">
        <f>-8.5468*$L$7</f>
        <v>0</v>
      </c>
      <c r="M86">
        <f>0+D86+E86+G86+H86+I86+J86+K86+L86</f>
        <v>0</v>
      </c>
      <c r="N86">
        <f>0+D86+F86+G86+H86+I86+J86+K86+L86</f>
        <v>0</v>
      </c>
    </row>
    <row r="87" spans="3:14">
      <c r="C87" t="s">
        <v>54</v>
      </c>
      <c r="D87">
        <f>478.658*$D$7</f>
        <v>0</v>
      </c>
      <c r="E87">
        <f>747.0173*$E$7</f>
        <v>0</v>
      </c>
      <c r="F87">
        <f>-60.978*$F$7</f>
        <v>0</v>
      </c>
      <c r="G87">
        <f>55.102*$G$7</f>
        <v>0</v>
      </c>
      <c r="H87">
        <f>0*$H$7</f>
        <v>0</v>
      </c>
      <c r="I87">
        <f>68.2694*$I$7</f>
        <v>0</v>
      </c>
      <c r="J87">
        <f>-70.6167*$J$7</f>
        <v>0</v>
      </c>
      <c r="K87">
        <f>94.1556*$K$7</f>
        <v>0</v>
      </c>
      <c r="L87">
        <f>-9.0993*$L$7</f>
        <v>0</v>
      </c>
      <c r="M87">
        <f>0+D87+E87+G87+H87+I87+J87+K87+L87</f>
        <v>0</v>
      </c>
      <c r="N87">
        <f>0+D87+F87+G87+H87+I87+J87+K87+L87</f>
        <v>0</v>
      </c>
    </row>
    <row r="88" spans="3:14">
      <c r="C88" t="s">
        <v>55</v>
      </c>
      <c r="D88">
        <f>322.476*$D$7</f>
        <v>0</v>
      </c>
      <c r="E88">
        <f>513.0752*$E$7</f>
        <v>0</v>
      </c>
      <c r="F88">
        <f>-56.1559*$F$7</f>
        <v>0</v>
      </c>
      <c r="G88">
        <f>38.5924*$G$7</f>
        <v>0</v>
      </c>
      <c r="H88">
        <f>0*$H$7</f>
        <v>0</v>
      </c>
      <c r="I88">
        <f>46.0523*$I$7</f>
        <v>0</v>
      </c>
      <c r="J88">
        <f>-79.5138*$J$7</f>
        <v>0</v>
      </c>
      <c r="K88">
        <f>106.0184*$K$7</f>
        <v>0</v>
      </c>
      <c r="L88">
        <f>-4.8507*$L$7</f>
        <v>0</v>
      </c>
      <c r="M88">
        <f>0+D88+E88+G88+H88+I88+J88+K88+L88</f>
        <v>0</v>
      </c>
      <c r="N88">
        <f>0+D88+F88+G88+H88+I88+J88+K88+L88</f>
        <v>0</v>
      </c>
    </row>
    <row r="89" spans="3:14">
      <c r="C89" t="s">
        <v>55</v>
      </c>
      <c r="D89">
        <f>337.5751*$D$7</f>
        <v>0</v>
      </c>
      <c r="E89">
        <f>532.8689*$E$7</f>
        <v>0</v>
      </c>
      <c r="F89">
        <f>-56.9721*$F$7</f>
        <v>0</v>
      </c>
      <c r="G89">
        <f>40.2659*$G$7</f>
        <v>0</v>
      </c>
      <c r="H89">
        <f>0*$H$7</f>
        <v>0</v>
      </c>
      <c r="I89">
        <f>48.2019*$I$7</f>
        <v>0</v>
      </c>
      <c r="J89">
        <f>-77.4779*$J$7</f>
        <v>0</v>
      </c>
      <c r="K89">
        <f>103.3039*$K$7</f>
        <v>0</v>
      </c>
      <c r="L89">
        <f>-5.5482*$L$7</f>
        <v>0</v>
      </c>
      <c r="M89">
        <f>0+D89+E89+G89+H89+I89+J89+K89+L89</f>
        <v>0</v>
      </c>
      <c r="N89">
        <f>0+D89+F89+G89+H89+I89+J89+K89+L89</f>
        <v>0</v>
      </c>
    </row>
    <row r="90" spans="3:14">
      <c r="C90" t="s">
        <v>56</v>
      </c>
      <c r="D90">
        <f>163.2345*$D$7</f>
        <v>0</v>
      </c>
      <c r="E90">
        <f>267.4213*$E$7</f>
        <v>0</v>
      </c>
      <c r="F90">
        <f>-54.1428*$F$7</f>
        <v>0</v>
      </c>
      <c r="G90">
        <f>19.2792*$G$7</f>
        <v>0</v>
      </c>
      <c r="H90">
        <f>0*$H$7</f>
        <v>0</v>
      </c>
      <c r="I90">
        <f>23.3613*$I$7</f>
        <v>0</v>
      </c>
      <c r="J90">
        <f>-84.3482*$J$7</f>
        <v>0</v>
      </c>
      <c r="K90">
        <f>112.4643*$K$7</f>
        <v>0</v>
      </c>
      <c r="L90">
        <f>0.313*$L$7</f>
        <v>0</v>
      </c>
      <c r="M90">
        <f>0+D90+E90+G90+H90+I90+J90+K90+L90</f>
        <v>0</v>
      </c>
      <c r="N90">
        <f>0+D90+F90+G90+H90+I90+J90+K90+L90</f>
        <v>0</v>
      </c>
    </row>
    <row r="91" spans="3:14">
      <c r="C91" t="s">
        <v>56</v>
      </c>
      <c r="D91">
        <f>189.4112*$D$7</f>
        <v>0</v>
      </c>
      <c r="E91">
        <f>302.5674*$E$7</f>
        <v>0</v>
      </c>
      <c r="F91">
        <f>-56.5005*$F$7</f>
        <v>0</v>
      </c>
      <c r="G91">
        <f>22.4349*$G$7</f>
        <v>0</v>
      </c>
      <c r="H91">
        <f>0*$H$7</f>
        <v>0</v>
      </c>
      <c r="I91">
        <f>27.1029*$I$7</f>
        <v>0</v>
      </c>
      <c r="J91">
        <f>-79.8509*$J$7</f>
        <v>0</v>
      </c>
      <c r="K91">
        <f>106.4678*$K$7</f>
        <v>0</v>
      </c>
      <c r="L91">
        <f>-1.0996*$L$7</f>
        <v>0</v>
      </c>
      <c r="M91">
        <f>0+D91+E91+G91+H91+I91+J91+K91+L91</f>
        <v>0</v>
      </c>
      <c r="N91">
        <f>0+D91+F91+G91+H91+I91+J91+K91+L91</f>
        <v>0</v>
      </c>
    </row>
    <row r="92" spans="3:14">
      <c r="C92" t="s">
        <v>57</v>
      </c>
      <c r="D92">
        <f>-1.6641*$D$7</f>
        <v>0</v>
      </c>
      <c r="E92">
        <f>49.9918*$E$7</f>
        <v>0</v>
      </c>
      <c r="F92">
        <f>-85.3255*$F$7</f>
        <v>0</v>
      </c>
      <c r="G92">
        <f>-2.987*$G$7</f>
        <v>0</v>
      </c>
      <c r="H92">
        <f>0*$H$7</f>
        <v>0</v>
      </c>
      <c r="I92">
        <f>-0.1614*$I$7</f>
        <v>0</v>
      </c>
      <c r="J92">
        <f>-93.3402*$J$7</f>
        <v>0</v>
      </c>
      <c r="K92">
        <f>124.4536*$K$7</f>
        <v>0</v>
      </c>
      <c r="L92">
        <f>8.711*$L$7</f>
        <v>0</v>
      </c>
      <c r="M92">
        <f>0+D92+E92+G92+H92+I92+J92+K92+L92</f>
        <v>0</v>
      </c>
      <c r="N92">
        <f>0+D92+F92+G92+H92+I92+J92+K92+L92</f>
        <v>0</v>
      </c>
    </row>
    <row r="93" spans="3:14">
      <c r="C93" t="s">
        <v>57</v>
      </c>
      <c r="D93">
        <f>-6.1114*$D$7</f>
        <v>0</v>
      </c>
      <c r="E93">
        <f>16.2018*$E$7</f>
        <v>0</v>
      </c>
      <c r="F93">
        <f>-67.4721*$F$7</f>
        <v>0</v>
      </c>
      <c r="G93">
        <f>-1.8649*$G$7</f>
        <v>0</v>
      </c>
      <c r="H93">
        <f>0*$H$7</f>
        <v>0</v>
      </c>
      <c r="I93">
        <f>-0.8613*$I$7</f>
        <v>0</v>
      </c>
      <c r="J93">
        <f>-82.5891*$J$7</f>
        <v>0</v>
      </c>
      <c r="K93">
        <f>110.1188*$K$7</f>
        <v>0</v>
      </c>
      <c r="L93">
        <f>4.195*$L$7</f>
        <v>0</v>
      </c>
      <c r="M93">
        <f>0+D93+E93+G93+H93+I93+J93+K93+L93</f>
        <v>0</v>
      </c>
      <c r="N93">
        <f>0+D93+F93+G93+H93+I93+J93+K93+L93</f>
        <v>0</v>
      </c>
    </row>
    <row r="94" spans="3:14">
      <c r="C94" t="s">
        <v>58</v>
      </c>
      <c r="D94">
        <f>-7.5257*$D$7</f>
        <v>0</v>
      </c>
      <c r="E94">
        <f>3.537*$E$7</f>
        <v>0</v>
      </c>
      <c r="F94">
        <f>-11.5632*$F$7</f>
        <v>0</v>
      </c>
      <c r="G94">
        <f>-0.8534*$G$7</f>
        <v>0</v>
      </c>
      <c r="H94">
        <f>0*$H$7</f>
        <v>0</v>
      </c>
      <c r="I94">
        <f>-1.0798*$I$7</f>
        <v>0</v>
      </c>
      <c r="J94">
        <f>-67.7429*$J$7</f>
        <v>0</v>
      </c>
      <c r="K94">
        <f>90.3239*$K$7</f>
        <v>0</v>
      </c>
      <c r="L94">
        <f>0.0418*$L$7</f>
        <v>0</v>
      </c>
      <c r="M94">
        <f>0+D94+E94+G94+H94+I94+J94+K94+L94</f>
        <v>0</v>
      </c>
      <c r="N94">
        <f>0+D94+F94+G94+H94+I94+J94+K94+L94</f>
        <v>0</v>
      </c>
    </row>
    <row r="95" spans="3:14">
      <c r="C95" t="s">
        <v>58</v>
      </c>
      <c r="D95">
        <f>-4.2972*$D$7</f>
        <v>0</v>
      </c>
      <c r="E95">
        <f>0.7657*$E$7</f>
        <v>0</v>
      </c>
      <c r="F95">
        <f>-8.9958*$F$7</f>
        <v>0</v>
      </c>
      <c r="G95">
        <f>-0.4832*$G$7</f>
        <v>0</v>
      </c>
      <c r="H95">
        <f>0*$H$7</f>
        <v>0</v>
      </c>
      <c r="I95">
        <f>-0.617*$I$7</f>
        <v>0</v>
      </c>
      <c r="J95">
        <f>-66.6067*$J$7</f>
        <v>0</v>
      </c>
      <c r="K95">
        <f>88.8089*$K$7</f>
        <v>0</v>
      </c>
      <c r="L95">
        <f>-7.0821*$L$7</f>
        <v>0</v>
      </c>
      <c r="M95">
        <f>0+D95+E95+G95+H95+I95+J95+K95+L95</f>
        <v>0</v>
      </c>
      <c r="N95">
        <f>0+D95+F95+G95+H95+I95+J95+K95+L95</f>
        <v>0</v>
      </c>
    </row>
    <row r="96" spans="3:14">
      <c r="C96" t="s">
        <v>59</v>
      </c>
      <c r="D96">
        <f>-3.2587*$D$7</f>
        <v>0</v>
      </c>
      <c r="E96">
        <f>5.9644*$E$7</f>
        <v>0</v>
      </c>
      <c r="F96">
        <f>-9.3191*$F$7</f>
        <v>0</v>
      </c>
      <c r="G96">
        <f>-1.2953*$G$7</f>
        <v>0</v>
      </c>
      <c r="H96">
        <f>0*$H$7</f>
        <v>0</v>
      </c>
      <c r="I96">
        <f>-0.4658*$I$7</f>
        <v>0</v>
      </c>
      <c r="J96">
        <f>-82.8546*$J$7</f>
        <v>0</v>
      </c>
      <c r="K96">
        <f>110.4728*$K$7</f>
        <v>0</v>
      </c>
      <c r="L96">
        <f>-27.4369*$L$7</f>
        <v>0</v>
      </c>
      <c r="M96">
        <f>0+D96+E96+G96+H96+I96+J96+K96+L96</f>
        <v>0</v>
      </c>
      <c r="N96">
        <f>0+D96+F96+G96+H96+I96+J96+K96+L96</f>
        <v>0</v>
      </c>
    </row>
    <row r="97" spans="3:14">
      <c r="C97" t="s">
        <v>59</v>
      </c>
      <c r="D97">
        <f>18.36*$D$7</f>
        <v>0</v>
      </c>
      <c r="E97">
        <f>53.7754*$E$7</f>
        <v>0</v>
      </c>
      <c r="F97">
        <f>-31.5819*$F$7</f>
        <v>0</v>
      </c>
      <c r="G97">
        <f>-2.9081*$G$7</f>
        <v>0</v>
      </c>
      <c r="H97">
        <f>0*$H$7</f>
        <v>0</v>
      </c>
      <c r="I97">
        <f>2.7183*$I$7</f>
        <v>0</v>
      </c>
      <c r="J97">
        <f>-99.4746*$J$7</f>
        <v>0</v>
      </c>
      <c r="K97">
        <f>132.6328*$K$7</f>
        <v>0</v>
      </c>
      <c r="L97">
        <f>-77.937*$L$7</f>
        <v>0</v>
      </c>
      <c r="M97">
        <f>0+D97+E97+G97+H97+I97+J97+K97+L97</f>
        <v>0</v>
      </c>
      <c r="N97">
        <f>0+D97+F97+G97+H97+I97+J97+K97+L97</f>
        <v>0</v>
      </c>
    </row>
    <row r="98" spans="3:14">
      <c r="C98" t="s">
        <v>60</v>
      </c>
      <c r="D98">
        <f>93.6879*$D$7</f>
        <v>0</v>
      </c>
      <c r="E98">
        <f>208.8981*$E$7</f>
        <v>0</v>
      </c>
      <c r="F98">
        <f>-9.211*$F$7</f>
        <v>0</v>
      </c>
      <c r="G98">
        <f>12.8607*$G$7</f>
        <v>0</v>
      </c>
      <c r="H98">
        <f>0*$H$7</f>
        <v>0</v>
      </c>
      <c r="I98">
        <f>13.3878*$I$7</f>
        <v>0</v>
      </c>
      <c r="J98">
        <f>-78.3878*$J$7</f>
        <v>0</v>
      </c>
      <c r="K98">
        <f>104.5171*$K$7</f>
        <v>0</v>
      </c>
      <c r="L98">
        <f>219.917*$L$7</f>
        <v>0</v>
      </c>
      <c r="M98">
        <f>0+D98+E98+G98+H98+I98+J98+K98+L98</f>
        <v>0</v>
      </c>
      <c r="N98">
        <f>0+D98+F98+G98+H98+I98+J98+K98+L98</f>
        <v>0</v>
      </c>
    </row>
    <row r="99" spans="3:14">
      <c r="C99" t="s">
        <v>60</v>
      </c>
      <c r="D99">
        <f>83.1848*$D$7</f>
        <v>0</v>
      </c>
      <c r="E99">
        <f>189.6204*$E$7</f>
        <v>0</v>
      </c>
      <c r="F99">
        <f>-8.7514*$F$7</f>
        <v>0</v>
      </c>
      <c r="G99">
        <f>10.9798*$G$7</f>
        <v>0</v>
      </c>
      <c r="H99">
        <f>0*$H$7</f>
        <v>0</v>
      </c>
      <c r="I99">
        <f>11.8989*$I$7</f>
        <v>0</v>
      </c>
      <c r="J99">
        <f>-86.254*$J$7</f>
        <v>0</v>
      </c>
      <c r="K99">
        <f>115.0053*$K$7</f>
        <v>0</v>
      </c>
      <c r="L99">
        <f>184.2744*$L$7</f>
        <v>0</v>
      </c>
      <c r="M99">
        <f>0+D99+E99+G99+H99+I99+J99+K99+L99</f>
        <v>0</v>
      </c>
      <c r="N99">
        <f>0+D99+F99+G99+H99+I99+J99+K99+L99</f>
        <v>0</v>
      </c>
    </row>
    <row r="100" spans="3:14">
      <c r="C100" t="s">
        <v>61</v>
      </c>
      <c r="D100">
        <f>144.7488*$D$7</f>
        <v>0</v>
      </c>
      <c r="E100">
        <f>324.9669*$E$7</f>
        <v>0</v>
      </c>
      <c r="F100">
        <f>-11.481*$F$7</f>
        <v>0</v>
      </c>
      <c r="G100">
        <f>22.528*$G$7</f>
        <v>0</v>
      </c>
      <c r="H100">
        <f>0*$H$7</f>
        <v>0</v>
      </c>
      <c r="I100">
        <f>20.5687*$I$7</f>
        <v>0</v>
      </c>
      <c r="J100">
        <f>-67.7137*$J$7</f>
        <v>0</v>
      </c>
      <c r="K100">
        <f>90.2849*$K$7</f>
        <v>0</v>
      </c>
      <c r="L100">
        <f>408.2139*$L$7</f>
        <v>0</v>
      </c>
      <c r="M100">
        <f>0+D100+E100+G100+H100+I100+J100+K100+L100</f>
        <v>0</v>
      </c>
      <c r="N100">
        <f>0+D100+F100+G100+H100+I100+J100+K100+L100</f>
        <v>0</v>
      </c>
    </row>
    <row r="101" spans="3:14">
      <c r="C101" t="s">
        <v>61</v>
      </c>
      <c r="D101">
        <f>139.2462*$D$7</f>
        <v>0</v>
      </c>
      <c r="E101">
        <f>314.5702*$E$7</f>
        <v>0</v>
      </c>
      <c r="F101">
        <f>-10.9661*$F$7</f>
        <v>0</v>
      </c>
      <c r="G101">
        <f>21.5516*$G$7</f>
        <v>0</v>
      </c>
      <c r="H101">
        <f>0*$H$7</f>
        <v>0</v>
      </c>
      <c r="I101">
        <f>19.8005*$I$7</f>
        <v>0</v>
      </c>
      <c r="J101">
        <f>-75.7322*$J$7</f>
        <v>0</v>
      </c>
      <c r="K101">
        <f>100.9763*$K$7</f>
        <v>0</v>
      </c>
      <c r="L101">
        <f>389.7479*$L$7</f>
        <v>0</v>
      </c>
      <c r="M101">
        <f>0+D101+E101+G101+H101+I101+J101+K101+L101</f>
        <v>0</v>
      </c>
      <c r="N101">
        <f>0+D101+F101+G101+H101+I101+J101+K101+L101</f>
        <v>0</v>
      </c>
    </row>
    <row r="102" spans="3:14">
      <c r="C102" t="s">
        <v>62</v>
      </c>
      <c r="D102">
        <f>186.9991*$D$7</f>
        <v>0</v>
      </c>
      <c r="E102">
        <f>420.8433*$E$7</f>
        <v>0</v>
      </c>
      <c r="F102">
        <f>-16.241*$F$7</f>
        <v>0</v>
      </c>
      <c r="G102">
        <f>29.157*$G$7</f>
        <v>0</v>
      </c>
      <c r="H102">
        <f>0*$H$7</f>
        <v>0</v>
      </c>
      <c r="I102">
        <f>26.4655*$I$7</f>
        <v>0</v>
      </c>
      <c r="J102">
        <f>-43.7032*$J$7</f>
        <v>0</v>
      </c>
      <c r="K102">
        <f>58.2709*$K$7</f>
        <v>0</v>
      </c>
      <c r="L102">
        <f>550.5606*$L$7</f>
        <v>0</v>
      </c>
      <c r="M102">
        <f>0+D102+E102+G102+H102+I102+J102+K102+L102</f>
        <v>0</v>
      </c>
      <c r="N102">
        <f>0+D102+F102+G102+H102+I102+J102+K102+L102</f>
        <v>0</v>
      </c>
    </row>
    <row r="103" spans="3:14">
      <c r="C103" t="s">
        <v>62</v>
      </c>
      <c r="D103">
        <f>181.1607*$D$7</f>
        <v>0</v>
      </c>
      <c r="E103">
        <f>407.9689*$E$7</f>
        <v>0</v>
      </c>
      <c r="F103">
        <f>-15.5947*$F$7</f>
        <v>0</v>
      </c>
      <c r="G103">
        <f>28.0971*$G$7</f>
        <v>0</v>
      </c>
      <c r="H103">
        <f>0*$H$7</f>
        <v>0</v>
      </c>
      <c r="I103">
        <f>25.6708*$I$7</f>
        <v>0</v>
      </c>
      <c r="J103">
        <f>-48.4791*$J$7</f>
        <v>0</v>
      </c>
      <c r="K103">
        <f>64.6388*$K$7</f>
        <v>0</v>
      </c>
      <c r="L103">
        <f>529.9687*$L$7</f>
        <v>0</v>
      </c>
      <c r="M103">
        <f>0+D103+E103+G103+H103+I103+J103+K103+L103</f>
        <v>0</v>
      </c>
      <c r="N103">
        <f>0+D103+F103+G103+H103+I103+J103+K103+L103</f>
        <v>0</v>
      </c>
    </row>
    <row r="104" spans="3:14">
      <c r="C104" t="s">
        <v>63</v>
      </c>
      <c r="D104">
        <f>212.2695*$D$7</f>
        <v>0</v>
      </c>
      <c r="E104">
        <f>480.4904*$E$7</f>
        <v>0</v>
      </c>
      <c r="F104">
        <f>-22.4017*$F$7</f>
        <v>0</v>
      </c>
      <c r="G104">
        <f>31.6194*$G$7</f>
        <v>0</v>
      </c>
      <c r="H104">
        <f>0*$H$7</f>
        <v>0</v>
      </c>
      <c r="I104">
        <f>29.9259*$I$7</f>
        <v>0</v>
      </c>
      <c r="J104">
        <f>-13.3251*$J$7</f>
        <v>0</v>
      </c>
      <c r="K104">
        <f>17.7668*$K$7</f>
        <v>0</v>
      </c>
      <c r="L104">
        <f>624.014*$L$7</f>
        <v>0</v>
      </c>
      <c r="M104">
        <f>0+D104+E104+G104+H104+I104+J104+K104+L104</f>
        <v>0</v>
      </c>
      <c r="N104">
        <f>0+D104+F104+G104+H104+I104+J104+K104+L104</f>
        <v>0</v>
      </c>
    </row>
    <row r="105" spans="3:14">
      <c r="C105" t="s">
        <v>63</v>
      </c>
      <c r="D105">
        <f>208.9208*$D$7</f>
        <v>0</v>
      </c>
      <c r="E105">
        <f>472.0772*$E$7</f>
        <v>0</v>
      </c>
      <c r="F105">
        <f>-22.1949*$F$7</f>
        <v>0</v>
      </c>
      <c r="G105">
        <f>30.9962*$G$7</f>
        <v>0</v>
      </c>
      <c r="H105">
        <f>0*$H$7</f>
        <v>0</v>
      </c>
      <c r="I105">
        <f>29.4879*$I$7</f>
        <v>0</v>
      </c>
      <c r="J105">
        <f>-15.8322*$J$7</f>
        <v>0</v>
      </c>
      <c r="K105">
        <f>21.1097*$K$7</f>
        <v>0</v>
      </c>
      <c r="L105">
        <f>612.4858*$L$7</f>
        <v>0</v>
      </c>
      <c r="M105">
        <f>0+D105+E105+G105+H105+I105+J105+K105+L105</f>
        <v>0</v>
      </c>
      <c r="N105">
        <f>0+D105+F105+G105+H105+I105+J105+K105+L105</f>
        <v>0</v>
      </c>
    </row>
    <row r="106" spans="3:14">
      <c r="C106" t="s">
        <v>64</v>
      </c>
      <c r="D106">
        <f>222.9567*$D$7</f>
        <v>0</v>
      </c>
      <c r="E106">
        <f>507.8595*$E$7</f>
        <v>0</v>
      </c>
      <c r="F106">
        <f>-29.768*$F$7</f>
        <v>0</v>
      </c>
      <c r="G106">
        <f>30.9538*$G$7</f>
        <v>0</v>
      </c>
      <c r="H106">
        <f>0*$H$7</f>
        <v>0</v>
      </c>
      <c r="I106">
        <f>31.2401*$I$7</f>
        <v>0</v>
      </c>
      <c r="J106">
        <f>18.2837*$J$7</f>
        <v>0</v>
      </c>
      <c r="K106">
        <f>-24.3782*$K$7</f>
        <v>0</v>
      </c>
      <c r="L106">
        <f>641.4013*$L$7</f>
        <v>0</v>
      </c>
      <c r="M106">
        <f>0+D106+E106+G106+H106+I106+J106+K106+L106</f>
        <v>0</v>
      </c>
      <c r="N106">
        <f>0+D106+F106+G106+H106+I106+J106+K106+L106</f>
        <v>0</v>
      </c>
    </row>
    <row r="107" spans="3:14">
      <c r="C107" t="s">
        <v>64</v>
      </c>
      <c r="D107">
        <f>224.7457*$D$7</f>
        <v>0</v>
      </c>
      <c r="E107">
        <f>504.2536*$E$7</f>
        <v>0</v>
      </c>
      <c r="F107">
        <f>-27.8231*$F$7</f>
        <v>0</v>
      </c>
      <c r="G107">
        <f>31.0731*$G$7</f>
        <v>0</v>
      </c>
      <c r="H107">
        <f>0*$H$7</f>
        <v>0</v>
      </c>
      <c r="I107">
        <f>31.471*$I$7</f>
        <v>0</v>
      </c>
      <c r="J107">
        <f>20.0927*$J$7</f>
        <v>0</v>
      </c>
      <c r="K107">
        <f>-26.7903*$K$7</f>
        <v>0</v>
      </c>
      <c r="L107">
        <f>639.91*$L$7</f>
        <v>0</v>
      </c>
      <c r="M107">
        <f>0+D107+E107+G107+H107+I107+J107+K107+L107</f>
        <v>0</v>
      </c>
      <c r="N107">
        <f>0+D107+F107+G107+H107+I107+J107+K107+L107</f>
        <v>0</v>
      </c>
    </row>
    <row r="108" spans="3:14">
      <c r="C108" t="s">
        <v>65</v>
      </c>
      <c r="D108">
        <f>215.095*$D$7</f>
        <v>0</v>
      </c>
      <c r="E108">
        <f>483.2613*$E$7</f>
        <v>0</v>
      </c>
      <c r="F108">
        <f>-21.8948*$F$7</f>
        <v>0</v>
      </c>
      <c r="G108">
        <f>33.151*$G$7</f>
        <v>0</v>
      </c>
      <c r="H108">
        <f>0*$H$7</f>
        <v>0</v>
      </c>
      <c r="I108">
        <f>30.3122*$I$7</f>
        <v>0</v>
      </c>
      <c r="J108">
        <f>-9.9054*$J$7</f>
        <v>0</v>
      </c>
      <c r="K108">
        <f>13.2073*$K$7</f>
        <v>0</v>
      </c>
      <c r="L108">
        <f>647.776*$L$7</f>
        <v>0</v>
      </c>
      <c r="M108">
        <f>0+D108+E108+G108+H108+I108+J108+K108+L108</f>
        <v>0</v>
      </c>
      <c r="N108">
        <f>0+D108+F108+G108+H108+I108+J108+K108+L108</f>
        <v>0</v>
      </c>
    </row>
    <row r="109" spans="3:14">
      <c r="C109" t="s">
        <v>65</v>
      </c>
      <c r="D109">
        <f>217.477*$D$7</f>
        <v>0</v>
      </c>
      <c r="E109">
        <f>490.3896*$E$7</f>
        <v>0</v>
      </c>
      <c r="F109">
        <f>-22.2014*$F$7</f>
        <v>0</v>
      </c>
      <c r="G109">
        <f>33.4139*$G$7</f>
        <v>0</v>
      </c>
      <c r="H109">
        <f>0*$H$7</f>
        <v>0</v>
      </c>
      <c r="I109">
        <f>30.6284*$I$7</f>
        <v>0</v>
      </c>
      <c r="J109">
        <f>-9.9553*$J$7</f>
        <v>0</v>
      </c>
      <c r="K109">
        <f>13.2738*$K$7</f>
        <v>0</v>
      </c>
      <c r="L109">
        <f>653.6114*$L$7</f>
        <v>0</v>
      </c>
      <c r="M109">
        <f>0+D109+E109+G109+H109+I109+J109+K109+L109</f>
        <v>0</v>
      </c>
      <c r="N109">
        <f>0+D109+F109+G109+H109+I109+J109+K109+L109</f>
        <v>0</v>
      </c>
    </row>
    <row r="110" spans="3:14">
      <c r="C110" t="s">
        <v>66</v>
      </c>
      <c r="D110">
        <f>186.5509*$D$7</f>
        <v>0</v>
      </c>
      <c r="E110">
        <f>423.1845*$E$7</f>
        <v>0</v>
      </c>
      <c r="F110">
        <f>-16.3178*$F$7</f>
        <v>0</v>
      </c>
      <c r="G110">
        <f>31.0633*$G$7</f>
        <v>0</v>
      </c>
      <c r="H110">
        <f>0*$H$7</f>
        <v>0</v>
      </c>
      <c r="I110">
        <f>26.3626*$I$7</f>
        <v>0</v>
      </c>
      <c r="J110">
        <f>-40.436*$J$7</f>
        <v>0</v>
      </c>
      <c r="K110">
        <f>53.9147*$K$7</f>
        <v>0</v>
      </c>
      <c r="L110">
        <f>582.7524*$L$7</f>
        <v>0</v>
      </c>
      <c r="M110">
        <f>0+D110+E110+G110+H110+I110+J110+K110+L110</f>
        <v>0</v>
      </c>
      <c r="N110">
        <f>0+D110+F110+G110+H110+I110+J110+K110+L110</f>
        <v>0</v>
      </c>
    </row>
    <row r="111" spans="3:14">
      <c r="C111" t="s">
        <v>66</v>
      </c>
      <c r="D111">
        <f>192.2684*$D$7</f>
        <v>0</v>
      </c>
      <c r="E111">
        <f>435.9104*$E$7</f>
        <v>0</v>
      </c>
      <c r="F111">
        <f>-16.9873*$F$7</f>
        <v>0</v>
      </c>
      <c r="G111">
        <f>31.8741*$G$7</f>
        <v>0</v>
      </c>
      <c r="H111">
        <f>0*$H$7</f>
        <v>0</v>
      </c>
      <c r="I111">
        <f>27.1508*$I$7</f>
        <v>0</v>
      </c>
      <c r="J111">
        <f>-36.9898*$J$7</f>
        <v>0</v>
      </c>
      <c r="K111">
        <f>49.3197*$K$7</f>
        <v>0</v>
      </c>
      <c r="L111">
        <f>598.9804*$L$7</f>
        <v>0</v>
      </c>
      <c r="M111">
        <f>0+D111+E111+G111+H111+I111+J111+K111+L111</f>
        <v>0</v>
      </c>
      <c r="N111">
        <f>0+D111+F111+G111+H111+I111+J111+K111+L111</f>
        <v>0</v>
      </c>
    </row>
    <row r="112" spans="3:14">
      <c r="C112" t="s">
        <v>67</v>
      </c>
      <c r="D112">
        <f>140.1491*$D$7</f>
        <v>0</v>
      </c>
      <c r="E112">
        <f>324.4902*$E$7</f>
        <v>0</v>
      </c>
      <c r="F112">
        <f>-11.6271*$F$7</f>
        <v>0</v>
      </c>
      <c r="G112">
        <f>24.4775*$G$7</f>
        <v>0</v>
      </c>
      <c r="H112">
        <f>0*$H$7</f>
        <v>0</v>
      </c>
      <c r="I112">
        <f>19.8283*$I$7</f>
        <v>0</v>
      </c>
      <c r="J112">
        <f>-63.3369*$J$7</f>
        <v>0</v>
      </c>
      <c r="K112">
        <f>84.4493*$K$7</f>
        <v>0</v>
      </c>
      <c r="L112">
        <f>447.463*$L$7</f>
        <v>0</v>
      </c>
      <c r="M112">
        <f>0+D112+E112+G112+H112+I112+J112+K112+L112</f>
        <v>0</v>
      </c>
      <c r="N112">
        <f>0+D112+F112+G112+H112+I112+J112+K112+L112</f>
        <v>0</v>
      </c>
    </row>
    <row r="113" spans="3:14">
      <c r="C113" t="s">
        <v>67</v>
      </c>
      <c r="D113">
        <f>148.6948*$D$7</f>
        <v>0</v>
      </c>
      <c r="E113">
        <f>340.6738*$E$7</f>
        <v>0</v>
      </c>
      <c r="F113">
        <f>-12.4211*$F$7</f>
        <v>0</v>
      </c>
      <c r="G113">
        <f>25.9883*$G$7</f>
        <v>0</v>
      </c>
      <c r="H113">
        <f>0*$H$7</f>
        <v>0</v>
      </c>
      <c r="I113">
        <f>21.0243*$I$7</f>
        <v>0</v>
      </c>
      <c r="J113">
        <f>-52.5766*$J$7</f>
        <v>0</v>
      </c>
      <c r="K113">
        <f>70.1021*$K$7</f>
        <v>0</v>
      </c>
      <c r="L113">
        <f>474.7707*$L$7</f>
        <v>0</v>
      </c>
      <c r="M113">
        <f>0+D113+E113+G113+H113+I113+J113+K113+L113</f>
        <v>0</v>
      </c>
      <c r="N113">
        <f>0+D113+F113+G113+H113+I113+J113+K113+L113</f>
        <v>0</v>
      </c>
    </row>
    <row r="114" spans="3:14">
      <c r="C114" t="s">
        <v>68</v>
      </c>
      <c r="D114">
        <f>79.0814*$D$7</f>
        <v>0</v>
      </c>
      <c r="E114">
        <f>190.7402*$E$7</f>
        <v>0</v>
      </c>
      <c r="F114">
        <f>-7.0041*$F$7</f>
        <v>0</v>
      </c>
      <c r="G114">
        <f>13.8814*$G$7</f>
        <v>0</v>
      </c>
      <c r="H114">
        <f>0*$H$7</f>
        <v>0</v>
      </c>
      <c r="I114">
        <f>11.1874*$I$7</f>
        <v>0</v>
      </c>
      <c r="J114">
        <f>-58.3031*$J$7</f>
        <v>0</v>
      </c>
      <c r="K114">
        <f>77.7375*$K$7</f>
        <v>0</v>
      </c>
      <c r="L114">
        <f>250.846*$L$7</f>
        <v>0</v>
      </c>
      <c r="M114">
        <f>0+D114+E114+G114+H114+I114+J114+K114+L114</f>
        <v>0</v>
      </c>
      <c r="N114">
        <f>0+D114+F114+G114+H114+I114+J114+K114+L114</f>
        <v>0</v>
      </c>
    </row>
    <row r="115" spans="3:14">
      <c r="C115" t="s">
        <v>68</v>
      </c>
      <c r="D115">
        <f>86.1209*$D$7</f>
        <v>0</v>
      </c>
      <c r="E115">
        <f>202.2528*$E$7</f>
        <v>0</v>
      </c>
      <c r="F115">
        <f>-7.9586*$F$7</f>
        <v>0</v>
      </c>
      <c r="G115">
        <f>15.181*$G$7</f>
        <v>0</v>
      </c>
      <c r="H115">
        <f>0*$H$7</f>
        <v>0</v>
      </c>
      <c r="I115">
        <f>12.1754*$I$7</f>
        <v>0</v>
      </c>
      <c r="J115">
        <f>-49.7583*$J$7</f>
        <v>0</v>
      </c>
      <c r="K115">
        <f>66.3444*$K$7</f>
        <v>0</v>
      </c>
      <c r="L115">
        <f>273.7741*$L$7</f>
        <v>0</v>
      </c>
      <c r="M115">
        <f>0+D115+E115+G115+H115+I115+J115+K115+L115</f>
        <v>0</v>
      </c>
      <c r="N115">
        <f>0+D115+F115+G115+H115+I115+J115+K115+L115</f>
        <v>0</v>
      </c>
    </row>
    <row r="116" spans="3:14">
      <c r="C116" t="s">
        <v>69</v>
      </c>
      <c r="D116">
        <f>-5.6798*$D$7</f>
        <v>0</v>
      </c>
      <c r="E116">
        <f>8.1165*$E$7</f>
        <v>0</v>
      </c>
      <c r="F116">
        <f>-19.1336*$F$7</f>
        <v>0</v>
      </c>
      <c r="G116">
        <f>-2.8231*$G$7</f>
        <v>0</v>
      </c>
      <c r="H116">
        <f>0*$H$7</f>
        <v>0</v>
      </c>
      <c r="I116">
        <f>-0.8179*$I$7</f>
        <v>0</v>
      </c>
      <c r="J116">
        <f>-66.6343*$J$7</f>
        <v>0</v>
      </c>
      <c r="K116">
        <f>88.8457*$K$7</f>
        <v>0</v>
      </c>
      <c r="L116">
        <f>-45.4127*$L$7</f>
        <v>0</v>
      </c>
      <c r="M116">
        <f>0+D116+E116+G116+H116+I116+J116+K116+L116</f>
        <v>0</v>
      </c>
      <c r="N116">
        <f>0+D116+F116+G116+H116+I116+J116+K116+L116</f>
        <v>0</v>
      </c>
    </row>
    <row r="121" spans="3:14">
      <c r="C121" t="s">
        <v>70</v>
      </c>
    </row>
    <row r="123" spans="3:14">
      <c r="C123" t="s">
        <v>2</v>
      </c>
    </row>
    <row r="124" spans="3:14">
      <c r="C124" t="s">
        <v>3</v>
      </c>
      <c r="D124" t="s">
        <v>4</v>
      </c>
      <c r="E124" t="s">
        <v>5</v>
      </c>
      <c r="F124" t="s">
        <v>6</v>
      </c>
      <c r="G124" t="s">
        <v>7</v>
      </c>
      <c r="H124" t="s">
        <v>8</v>
      </c>
      <c r="I124" t="s">
        <v>9</v>
      </c>
      <c r="J124" t="s">
        <v>10</v>
      </c>
      <c r="K124" t="s">
        <v>11</v>
      </c>
      <c r="L124" t="s">
        <v>12</v>
      </c>
      <c r="M124" t="s">
        <v>13</v>
      </c>
      <c r="N124" t="s">
        <v>14</v>
      </c>
    </row>
    <row r="125" spans="3:14">
      <c r="C125" t="s">
        <v>15</v>
      </c>
      <c r="D125">
        <f>-230.611*$D$123</f>
        <v>0</v>
      </c>
      <c r="E125">
        <f>41.1*$E$123</f>
        <v>0</v>
      </c>
      <c r="F125">
        <f>-370.613*$F$123</f>
        <v>0</v>
      </c>
      <c r="G125">
        <f>-37.948*$G$123</f>
        <v>0</v>
      </c>
      <c r="H125">
        <f>0*$H$123</f>
        <v>0</v>
      </c>
      <c r="I125">
        <f>-31.64*$I$123</f>
        <v>0</v>
      </c>
      <c r="J125">
        <f>-87.437*$J$123</f>
        <v>0</v>
      </c>
      <c r="K125">
        <f>116.583*$K$123</f>
        <v>0</v>
      </c>
      <c r="L125">
        <f>-0.028*$L$123</f>
        <v>0</v>
      </c>
      <c r="M125">
        <f>0+D125+E125+G125+H125+I125+J125+K125+L125</f>
        <v>0</v>
      </c>
      <c r="N125">
        <f>0+D125+F125+G125+H125+I125+J125+K125+L125</f>
        <v>0</v>
      </c>
    </row>
    <row r="126" spans="3:14">
      <c r="C126" t="s">
        <v>16</v>
      </c>
      <c r="D126">
        <f>-210.175*$D$123</f>
        <v>0</v>
      </c>
      <c r="E126">
        <f>42.934*$E$123</f>
        <v>0</v>
      </c>
      <c r="F126">
        <f>-360.631*$F$123</f>
        <v>0</v>
      </c>
      <c r="G126">
        <f>-35.189*$G$123</f>
        <v>0</v>
      </c>
      <c r="H126">
        <f>0*$H$123</f>
        <v>0</v>
      </c>
      <c r="I126">
        <f>-30.156*$I$123</f>
        <v>0</v>
      </c>
      <c r="J126">
        <f>-79.962*$J$123</f>
        <v>0</v>
      </c>
      <c r="K126">
        <f>106.616*$K$123</f>
        <v>0</v>
      </c>
      <c r="L126">
        <f>-0.027*$L$123</f>
        <v>0</v>
      </c>
      <c r="M126">
        <f>0+D126+E126+G126+H126+I126+J126+K126+L126</f>
        <v>0</v>
      </c>
      <c r="N126">
        <f>0+D126+F126+G126+H126+I126+J126+K126+L126</f>
        <v>0</v>
      </c>
    </row>
    <row r="127" spans="3:14">
      <c r="C127" t="s">
        <v>16</v>
      </c>
      <c r="D127">
        <f>-208.624*$D$123</f>
        <v>0</v>
      </c>
      <c r="E127">
        <f>43.093*$E$123</f>
        <v>0</v>
      </c>
      <c r="F127">
        <f>-347.816*$F$123</f>
        <v>0</v>
      </c>
      <c r="G127">
        <f>-31.672*$G$123</f>
        <v>0</v>
      </c>
      <c r="H127">
        <f>0*$H$123</f>
        <v>0</v>
      </c>
      <c r="I127">
        <f>-28.542*$I$123</f>
        <v>0</v>
      </c>
      <c r="J127">
        <f>-72.374*$J$123</f>
        <v>0</v>
      </c>
      <c r="K127">
        <f>96.499*$K$123</f>
        <v>0</v>
      </c>
      <c r="L127">
        <f>-0.026*$L$123</f>
        <v>0</v>
      </c>
      <c r="M127">
        <f>0+D127+E127+G127+H127+I127+J127+K127+L127</f>
        <v>0</v>
      </c>
      <c r="N127">
        <f>0+D127+F127+G127+H127+I127+J127+K127+L127</f>
        <v>0</v>
      </c>
    </row>
    <row r="128" spans="3:14">
      <c r="C128" t="s">
        <v>17</v>
      </c>
      <c r="D128">
        <f>-188.196*$D$123</f>
        <v>0</v>
      </c>
      <c r="E128">
        <f>43.965*$E$123</f>
        <v>0</v>
      </c>
      <c r="F128">
        <f>-337.569*$F$123</f>
        <v>0</v>
      </c>
      <c r="G128">
        <f>-28.64*$G$123</f>
        <v>0</v>
      </c>
      <c r="H128">
        <f>0*$H$123</f>
        <v>0</v>
      </c>
      <c r="I128">
        <f>-27.079*$I$123</f>
        <v>0</v>
      </c>
      <c r="J128">
        <f>-63.679*$J$123</f>
        <v>0</v>
      </c>
      <c r="K128">
        <f>84.905*$K$123</f>
        <v>0</v>
      </c>
      <c r="L128">
        <f>-0.025*$L$123</f>
        <v>0</v>
      </c>
      <c r="M128">
        <f>0+D128+E128+G128+H128+I128+J128+K128+L128</f>
        <v>0</v>
      </c>
      <c r="N128">
        <f>0+D128+F128+G128+H128+I128+J128+K128+L128</f>
        <v>0</v>
      </c>
    </row>
    <row r="129" spans="3:14">
      <c r="C129" t="s">
        <v>17</v>
      </c>
      <c r="D129">
        <f>-185.934*$D$123</f>
        <v>0</v>
      </c>
      <c r="E129">
        <f>48.049*$E$123</f>
        <v>0</v>
      </c>
      <c r="F129">
        <f>-323.854*$F$123</f>
        <v>0</v>
      </c>
      <c r="G129">
        <f>-25.255*$G$123</f>
        <v>0</v>
      </c>
      <c r="H129">
        <f>0*$H$123</f>
        <v>0</v>
      </c>
      <c r="I129">
        <f>-25.349*$I$123</f>
        <v>0</v>
      </c>
      <c r="J129">
        <f>-58.867*$J$123</f>
        <v>0</v>
      </c>
      <c r="K129">
        <f>78.489*$K$123</f>
        <v>0</v>
      </c>
      <c r="L129">
        <f>-0.024*$L$123</f>
        <v>0</v>
      </c>
      <c r="M129">
        <f>0+D129+E129+G129+H129+I129+J129+K129+L129</f>
        <v>0</v>
      </c>
      <c r="N129">
        <f>0+D129+F129+G129+H129+I129+J129+K129+L129</f>
        <v>0</v>
      </c>
    </row>
    <row r="130" spans="3:14">
      <c r="C130" t="s">
        <v>18</v>
      </c>
      <c r="D130">
        <f>-165.322*$D$123</f>
        <v>0</v>
      </c>
      <c r="E130">
        <f>51.68*$E$123</f>
        <v>0</v>
      </c>
      <c r="F130">
        <f>-313.619*$F$123</f>
        <v>0</v>
      </c>
      <c r="G130">
        <f>-22.423*$G$123</f>
        <v>0</v>
      </c>
      <c r="H130">
        <f>0*$H$123</f>
        <v>0</v>
      </c>
      <c r="I130">
        <f>-23.846*$I$123</f>
        <v>0</v>
      </c>
      <c r="J130">
        <f>-55.152*$J$123</f>
        <v>0</v>
      </c>
      <c r="K130">
        <f>73.536*$K$123</f>
        <v>0</v>
      </c>
      <c r="L130">
        <f>-0.023*$L$123</f>
        <v>0</v>
      </c>
      <c r="M130">
        <f>0+D130+E130+G130+H130+I130+J130+K130+L130</f>
        <v>0</v>
      </c>
      <c r="N130">
        <f>0+D130+F130+G130+H130+I130+J130+K130+L130</f>
        <v>0</v>
      </c>
    </row>
    <row r="131" spans="3:14">
      <c r="C131" t="s">
        <v>18</v>
      </c>
      <c r="D131">
        <f>-162.433*$D$123</f>
        <v>0</v>
      </c>
      <c r="E131">
        <f>57.674*$E$123</f>
        <v>0</v>
      </c>
      <c r="F131">
        <f>-298.994*$F$123</f>
        <v>0</v>
      </c>
      <c r="G131">
        <f>-19.243*$G$123</f>
        <v>0</v>
      </c>
      <c r="H131">
        <f>0*$H$123</f>
        <v>0</v>
      </c>
      <c r="I131">
        <f>-22.016*$I$123</f>
        <v>0</v>
      </c>
      <c r="J131">
        <f>-52.961*$J$123</f>
        <v>0</v>
      </c>
      <c r="K131">
        <f>70.614*$K$123</f>
        <v>0</v>
      </c>
      <c r="L131">
        <f>-0.022*$L$123</f>
        <v>0</v>
      </c>
      <c r="M131">
        <f>0+D131+E131+G131+H131+I131+J131+K131+L131</f>
        <v>0</v>
      </c>
      <c r="N131">
        <f>0+D131+F131+G131+H131+I131+J131+K131+L131</f>
        <v>0</v>
      </c>
    </row>
    <row r="132" spans="3:14">
      <c r="C132" t="s">
        <v>19</v>
      </c>
      <c r="D132">
        <f>-141.582*$D$123</f>
        <v>0</v>
      </c>
      <c r="E132">
        <f>61.733*$E$123</f>
        <v>0</v>
      </c>
      <c r="F132">
        <f>-288.377*$F$123</f>
        <v>0</v>
      </c>
      <c r="G132">
        <f>-16.733*$G$123</f>
        <v>0</v>
      </c>
      <c r="H132">
        <f>0*$H$123</f>
        <v>0</v>
      </c>
      <c r="I132">
        <f>-20.456*$I$123</f>
        <v>0</v>
      </c>
      <c r="J132">
        <f>-50.482*$J$123</f>
        <v>0</v>
      </c>
      <c r="K132">
        <f>67.31*$K$123</f>
        <v>0</v>
      </c>
      <c r="L132">
        <f>-0.021*$L$123</f>
        <v>0</v>
      </c>
      <c r="M132">
        <f>0+D132+E132+G132+H132+I132+J132+K132+L132</f>
        <v>0</v>
      </c>
      <c r="N132">
        <f>0+D132+F132+G132+H132+I132+J132+K132+L132</f>
        <v>0</v>
      </c>
    </row>
    <row r="133" spans="3:14">
      <c r="C133" t="s">
        <v>19</v>
      </c>
      <c r="D133">
        <f>-148.487*$D$123</f>
        <v>0</v>
      </c>
      <c r="E133">
        <f>61.799*$E$123</f>
        <v>0</v>
      </c>
      <c r="F133">
        <f>-284.581*$F$123</f>
        <v>0</v>
      </c>
      <c r="G133">
        <f>-14.849*$G$123</f>
        <v>0</v>
      </c>
      <c r="H133">
        <f>0*$H$123</f>
        <v>0</v>
      </c>
      <c r="I133">
        <f>-20.017*$I$123</f>
        <v>0</v>
      </c>
      <c r="J133">
        <f>-58.773*$J$123</f>
        <v>0</v>
      </c>
      <c r="K133">
        <f>78.364*$K$123</f>
        <v>0</v>
      </c>
      <c r="L133">
        <f>-0.019*$L$123</f>
        <v>0</v>
      </c>
      <c r="M133">
        <f>0+D133+E133+G133+H133+I133+J133+K133+L133</f>
        <v>0</v>
      </c>
      <c r="N133">
        <f>0+D133+F133+G133+H133+I133+J133+K133+L133</f>
        <v>0</v>
      </c>
    </row>
    <row r="134" spans="3:14">
      <c r="C134" t="s">
        <v>20</v>
      </c>
      <c r="D134">
        <f>-127.452*$D$123</f>
        <v>0</v>
      </c>
      <c r="E134">
        <f>65.682*$E$123</f>
        <v>0</v>
      </c>
      <c r="F134">
        <f>-273.914*$F$123</f>
        <v>0</v>
      </c>
      <c r="G134">
        <f>-12.711*$G$123</f>
        <v>0</v>
      </c>
      <c r="H134">
        <f>0*$H$123</f>
        <v>0</v>
      </c>
      <c r="I134">
        <f>-18.414*$I$123</f>
        <v>0</v>
      </c>
      <c r="J134">
        <f>-55.938*$J$123</f>
        <v>0</v>
      </c>
      <c r="K134">
        <f>74.584*$K$123</f>
        <v>0</v>
      </c>
      <c r="L134">
        <f>-0.018*$L$123</f>
        <v>0</v>
      </c>
      <c r="M134">
        <f>0+D134+E134+G134+H134+I134+J134+K134+L134</f>
        <v>0</v>
      </c>
      <c r="N134">
        <f>0+D134+F134+G134+H134+I134+J134+K134+L134</f>
        <v>0</v>
      </c>
    </row>
    <row r="135" spans="3:14">
      <c r="C135" t="s">
        <v>20</v>
      </c>
      <c r="D135">
        <f>-112.691*$D$123</f>
        <v>0</v>
      </c>
      <c r="E135">
        <f>62.813*$E$123</f>
        <v>0</v>
      </c>
      <c r="F135">
        <f>-242.26*$F$123</f>
        <v>0</v>
      </c>
      <c r="G135">
        <f>-16.461*$G$123</f>
        <v>0</v>
      </c>
      <c r="H135">
        <f>0*$H$123</f>
        <v>0</v>
      </c>
      <c r="I135">
        <f>-15.465*$I$123</f>
        <v>0</v>
      </c>
      <c r="J135">
        <f>1.739*$J$123</f>
        <v>0</v>
      </c>
      <c r="K135">
        <f>-2.318*$K$123</f>
        <v>0</v>
      </c>
      <c r="L135">
        <f>-0.018*$L$123</f>
        <v>0</v>
      </c>
      <c r="M135">
        <f>0+D135+E135+G135+H135+I135+J135+K135+L135</f>
        <v>0</v>
      </c>
      <c r="N135">
        <f>0+D135+F135+G135+H135+I135+J135+K135+L135</f>
        <v>0</v>
      </c>
    </row>
    <row r="136" spans="3:14">
      <c r="C136" t="s">
        <v>21</v>
      </c>
      <c r="D136">
        <f>-91.475*$D$123</f>
        <v>0</v>
      </c>
      <c r="E136">
        <f>68.455*$E$123</f>
        <v>0</v>
      </c>
      <c r="F136">
        <f>-233.148*$F$123</f>
        <v>0</v>
      </c>
      <c r="G136">
        <f>-14.43*$G$123</f>
        <v>0</v>
      </c>
      <c r="H136">
        <f>0*$H$123</f>
        <v>0</v>
      </c>
      <c r="I136">
        <f>-13.828*$I$123</f>
        <v>0</v>
      </c>
      <c r="J136">
        <f>3.28*$J$123</f>
        <v>0</v>
      </c>
      <c r="K136">
        <f>-4.373*$K$123</f>
        <v>0</v>
      </c>
      <c r="L136">
        <f>-0.018*$L$123</f>
        <v>0</v>
      </c>
      <c r="M136">
        <f>0+D136+E136+G136+H136+I136+J136+K136+L136</f>
        <v>0</v>
      </c>
      <c r="N136">
        <f>0+D136+F136+G136+H136+I136+J136+K136+L136</f>
        <v>0</v>
      </c>
    </row>
    <row r="137" spans="3:14">
      <c r="C137" t="s">
        <v>21</v>
      </c>
      <c r="D137">
        <f>-90.359*$D$123</f>
        <v>0</v>
      </c>
      <c r="E137">
        <f>75.75*$E$123</f>
        <v>0</v>
      </c>
      <c r="F137">
        <f>-222.227*$F$123</f>
        <v>0</v>
      </c>
      <c r="G137">
        <f>-11.935*$G$123</f>
        <v>0</v>
      </c>
      <c r="H137">
        <f>0*$H$123</f>
        <v>0</v>
      </c>
      <c r="I137">
        <f>-12.218*$I$123</f>
        <v>0</v>
      </c>
      <c r="J137">
        <f>2.007*$J$123</f>
        <v>0</v>
      </c>
      <c r="K137">
        <f>-2.676*$K$123</f>
        <v>0</v>
      </c>
      <c r="L137">
        <f>-0.017*$L$123</f>
        <v>0</v>
      </c>
      <c r="M137">
        <f>0+D137+E137+G137+H137+I137+J137+K137+L137</f>
        <v>0</v>
      </c>
      <c r="N137">
        <f>0+D137+F137+G137+H137+I137+J137+K137+L137</f>
        <v>0</v>
      </c>
    </row>
    <row r="138" spans="3:14">
      <c r="C138" t="s">
        <v>22</v>
      </c>
      <c r="D138">
        <f>-69.003*$D$123</f>
        <v>0</v>
      </c>
      <c r="E138">
        <f>82.192*$E$123</f>
        <v>0</v>
      </c>
      <c r="F138">
        <f>-212.926*$F$123</f>
        <v>0</v>
      </c>
      <c r="G138">
        <f>-9.692*$G$123</f>
        <v>0</v>
      </c>
      <c r="H138">
        <f>0*$H$123</f>
        <v>0</v>
      </c>
      <c r="I138">
        <f>-10.566*$I$123</f>
        <v>0</v>
      </c>
      <c r="J138">
        <f>1.109*$J$123</f>
        <v>0</v>
      </c>
      <c r="K138">
        <f>-1.478*$K$123</f>
        <v>0</v>
      </c>
      <c r="L138">
        <f>-0.017*$L$123</f>
        <v>0</v>
      </c>
      <c r="M138">
        <f>0+D138+E138+G138+H138+I138+J138+K138+L138</f>
        <v>0</v>
      </c>
      <c r="N138">
        <f>0+D138+F138+G138+H138+I138+J138+K138+L138</f>
        <v>0</v>
      </c>
    </row>
    <row r="139" spans="3:14">
      <c r="C139" t="s">
        <v>22</v>
      </c>
      <c r="D139">
        <f>-67.669*$D$123</f>
        <v>0</v>
      </c>
      <c r="E139">
        <f>89.865*$E$123</f>
        <v>0</v>
      </c>
      <c r="F139">
        <f>-201.938*$F$123</f>
        <v>0</v>
      </c>
      <c r="G139">
        <f>-7.149*$G$123</f>
        <v>0</v>
      </c>
      <c r="H139">
        <f>0*$H$123</f>
        <v>0</v>
      </c>
      <c r="I139">
        <f>-8.936*$I$123</f>
        <v>0</v>
      </c>
      <c r="J139">
        <f>-1.441*$J$123</f>
        <v>0</v>
      </c>
      <c r="K139">
        <f>1.922*$K$123</f>
        <v>0</v>
      </c>
      <c r="L139">
        <f>-0.017*$L$123</f>
        <v>0</v>
      </c>
      <c r="M139">
        <f>0+D139+E139+G139+H139+I139+J139+K139+L139</f>
        <v>0</v>
      </c>
      <c r="N139">
        <f>0+D139+F139+G139+H139+I139+J139+K139+L139</f>
        <v>0</v>
      </c>
    </row>
    <row r="140" spans="3:14">
      <c r="C140" t="s">
        <v>23</v>
      </c>
      <c r="D140">
        <f>-46.252*$D$123</f>
        <v>0</v>
      </c>
      <c r="E140">
        <f>96.411*$E$123</f>
        <v>0</v>
      </c>
      <c r="F140">
        <f>-192.347*$F$123</f>
        <v>0</v>
      </c>
      <c r="G140">
        <f>-4.809*$G$123</f>
        <v>0</v>
      </c>
      <c r="H140">
        <f>0*$H$123</f>
        <v>0</v>
      </c>
      <c r="I140">
        <f>-7.281*$I$123</f>
        <v>0</v>
      </c>
      <c r="J140">
        <f>-3.792*$J$123</f>
        <v>0</v>
      </c>
      <c r="K140">
        <f>5.056*$K$123</f>
        <v>0</v>
      </c>
      <c r="L140">
        <f>-0.017*$L$123</f>
        <v>0</v>
      </c>
      <c r="M140">
        <f>0+D140+E140+G140+H140+I140+J140+K140+L140</f>
        <v>0</v>
      </c>
      <c r="N140">
        <f>0+D140+F140+G140+H140+I140+J140+K140+L140</f>
        <v>0</v>
      </c>
    </row>
    <row r="141" spans="3:14">
      <c r="C141" t="s">
        <v>23</v>
      </c>
      <c r="D141">
        <f>-44.955*$D$123</f>
        <v>0</v>
      </c>
      <c r="E141">
        <f>104.116*$E$123</f>
        <v>0</v>
      </c>
      <c r="F141">
        <f>-181.29*$F$123</f>
        <v>0</v>
      </c>
      <c r="G141">
        <f>-2.3*$G$123</f>
        <v>0</v>
      </c>
      <c r="H141">
        <f>0*$H$123</f>
        <v>0</v>
      </c>
      <c r="I141">
        <f>-5.637*$I$123</f>
        <v>0</v>
      </c>
      <c r="J141">
        <f>-6.796*$J$123</f>
        <v>0</v>
      </c>
      <c r="K141">
        <f>9.062*$K$123</f>
        <v>0</v>
      </c>
      <c r="L141">
        <f>-0.016*$L$123</f>
        <v>0</v>
      </c>
      <c r="M141">
        <f>0+D141+E141+G141+H141+I141+J141+K141+L141</f>
        <v>0</v>
      </c>
      <c r="N141">
        <f>0+D141+F141+G141+H141+I141+J141+K141+L141</f>
        <v>0</v>
      </c>
    </row>
    <row r="142" spans="3:14">
      <c r="C142" t="s">
        <v>24</v>
      </c>
      <c r="D142">
        <f>-23.462*$D$123</f>
        <v>0</v>
      </c>
      <c r="E142">
        <f>110.464*$E$123</f>
        <v>0</v>
      </c>
      <c r="F142">
        <f>-171.215*$F$123</f>
        <v>0</v>
      </c>
      <c r="G142">
        <f>-0.141*$G$123</f>
        <v>0</v>
      </c>
      <c r="H142">
        <f>0*$H$123</f>
        <v>0</v>
      </c>
      <c r="I142">
        <f>-3.959*$I$123</f>
        <v>0</v>
      </c>
      <c r="J142">
        <f>-8.697*$J$123</f>
        <v>0</v>
      </c>
      <c r="K142">
        <f>11.596*$K$123</f>
        <v>0</v>
      </c>
      <c r="L142">
        <f>-0.016*$L$123</f>
        <v>0</v>
      </c>
      <c r="M142">
        <f>0+D142+E142+G142+H142+I142+J142+K142+L142</f>
        <v>0</v>
      </c>
      <c r="N142">
        <f>0+D142+F142+G142+H142+I142+J142+K142+L142</f>
        <v>0</v>
      </c>
    </row>
    <row r="143" spans="3:14">
      <c r="C143" t="s">
        <v>24</v>
      </c>
      <c r="D143">
        <f>-22.142*$D$123</f>
        <v>0</v>
      </c>
      <c r="E143">
        <f>118.274*$E$123</f>
        <v>0</v>
      </c>
      <c r="F143">
        <f>-160.12*$F$123</f>
        <v>0</v>
      </c>
      <c r="G143">
        <f>2.249*$G$123</f>
        <v>0</v>
      </c>
      <c r="H143">
        <f>0*$H$123</f>
        <v>0</v>
      </c>
      <c r="I143">
        <f>-2.309*$I$123</f>
        <v>0</v>
      </c>
      <c r="J143">
        <f>-11.315*$J$123</f>
        <v>0</v>
      </c>
      <c r="K143">
        <f>15.087*$K$123</f>
        <v>0</v>
      </c>
      <c r="L143">
        <f>-0.015*$L$123</f>
        <v>0</v>
      </c>
      <c r="M143">
        <f>0+D143+E143+G143+H143+I143+J143+K143+L143</f>
        <v>0</v>
      </c>
      <c r="N143">
        <f>0+D143+F143+G143+H143+I143+J143+K143+L143</f>
        <v>0</v>
      </c>
    </row>
    <row r="144" spans="3:14">
      <c r="C144" t="s">
        <v>25</v>
      </c>
      <c r="D144">
        <f>-0.704*$D$123</f>
        <v>0</v>
      </c>
      <c r="E144">
        <f>125.081*$E$123</f>
        <v>0</v>
      </c>
      <c r="F144">
        <f>-149.991*$F$123</f>
        <v>0</v>
      </c>
      <c r="G144">
        <f>4.119*$G$123</f>
        <v>0</v>
      </c>
      <c r="H144">
        <f>0*$H$123</f>
        <v>0</v>
      </c>
      <c r="I144">
        <f>-0.63*$I$123</f>
        <v>0</v>
      </c>
      <c r="J144">
        <f>-11.685*$J$123</f>
        <v>0</v>
      </c>
      <c r="K144">
        <f>15.58*$K$123</f>
        <v>0</v>
      </c>
      <c r="L144">
        <f>-0.015*$L$123</f>
        <v>0</v>
      </c>
      <c r="M144">
        <f>0+D144+E144+G144+H144+I144+J144+K144+L144</f>
        <v>0</v>
      </c>
      <c r="N144">
        <f>0+D144+F144+G144+H144+I144+J144+K144+L144</f>
        <v>0</v>
      </c>
    </row>
    <row r="145" spans="3:14">
      <c r="C145" t="s">
        <v>25</v>
      </c>
      <c r="D145">
        <f>16.552*$D$123</f>
        <v>0</v>
      </c>
      <c r="E145">
        <f>142.037*$E$123</f>
        <v>0</v>
      </c>
      <c r="F145">
        <f>-121.696*$F$123</f>
        <v>0</v>
      </c>
      <c r="G145">
        <f>-3.104*$G$123</f>
        <v>0</v>
      </c>
      <c r="H145">
        <f>0*$H$123</f>
        <v>0</v>
      </c>
      <c r="I145">
        <f>2.904*$I$123</f>
        <v>0</v>
      </c>
      <c r="J145">
        <f>8.779*$J$123</f>
        <v>0</v>
      </c>
      <c r="K145">
        <f>-11.706*$K$123</f>
        <v>0</v>
      </c>
      <c r="L145">
        <f>-0.015*$L$123</f>
        <v>0</v>
      </c>
      <c r="M145">
        <f>0+D145+E145+G145+H145+I145+J145+K145+L145</f>
        <v>0</v>
      </c>
      <c r="N145">
        <f>0+D145+F145+G145+H145+I145+J145+K145+L145</f>
        <v>0</v>
      </c>
    </row>
    <row r="146" spans="3:14">
      <c r="C146" t="s">
        <v>26</v>
      </c>
      <c r="D146">
        <f>37.988*$D$123</f>
        <v>0</v>
      </c>
      <c r="E146">
        <f>152.118*$E$123</f>
        <v>0</v>
      </c>
      <c r="F146">
        <f>-114.155*$F$123</f>
        <v>0</v>
      </c>
      <c r="G146">
        <f>-1.247*$G$123</f>
        <v>0</v>
      </c>
      <c r="H146">
        <f>0*$H$123</f>
        <v>0</v>
      </c>
      <c r="I146">
        <f>4.585*$I$123</f>
        <v>0</v>
      </c>
      <c r="J146">
        <f>8.28*$J$123</f>
        <v>0</v>
      </c>
      <c r="K146">
        <f>-11.039*$K$123</f>
        <v>0</v>
      </c>
      <c r="L146">
        <f>-0.015*$L$123</f>
        <v>0</v>
      </c>
      <c r="M146">
        <f>0+D146+E146+G146+H146+I146+J146+K146+L146</f>
        <v>0</v>
      </c>
      <c r="N146">
        <f>0+D146+F146+G146+H146+I146+J146+K146+L146</f>
        <v>0</v>
      </c>
    </row>
    <row r="147" spans="3:14">
      <c r="C147" t="s">
        <v>26</v>
      </c>
      <c r="D147">
        <f>39.343*$D$123</f>
        <v>0</v>
      </c>
      <c r="E147">
        <f>163.051*$E$123</f>
        <v>0</v>
      </c>
      <c r="F147">
        <f>-105.297*$F$123</f>
        <v>0</v>
      </c>
      <c r="G147">
        <f>1.126*$G$123</f>
        <v>0</v>
      </c>
      <c r="H147">
        <f>0*$H$123</f>
        <v>0</v>
      </c>
      <c r="I147">
        <f>6.24*$I$123</f>
        <v>0</v>
      </c>
      <c r="J147">
        <f>5.495*$J$123</f>
        <v>0</v>
      </c>
      <c r="K147">
        <f>-7.327*$K$123</f>
        <v>0</v>
      </c>
      <c r="L147">
        <f>-0.015*$L$123</f>
        <v>0</v>
      </c>
      <c r="M147">
        <f>0+D147+E147+G147+H147+I147+J147+K147+L147</f>
        <v>0</v>
      </c>
      <c r="N147">
        <f>0+D147+F147+G147+H147+I147+J147+K147+L147</f>
        <v>0</v>
      </c>
    </row>
    <row r="148" spans="3:14">
      <c r="C148" t="s">
        <v>27</v>
      </c>
      <c r="D148">
        <f>60.869*$D$123</f>
        <v>0</v>
      </c>
      <c r="E148">
        <f>172.981*$E$123</f>
        <v>0</v>
      </c>
      <c r="F148">
        <f>-98.826*$F$123</f>
        <v>0</v>
      </c>
      <c r="G148">
        <f>3.257*$G$123</f>
        <v>0</v>
      </c>
      <c r="H148">
        <f>0*$H$123</f>
        <v>0</v>
      </c>
      <c r="I148">
        <f>7.925*$I$123</f>
        <v>0</v>
      </c>
      <c r="J148">
        <f>3.31*$J$123</f>
        <v>0</v>
      </c>
      <c r="K148">
        <f>-4.413*$K$123</f>
        <v>0</v>
      </c>
      <c r="L148">
        <f>-0.016*$L$123</f>
        <v>0</v>
      </c>
      <c r="M148">
        <f>0+D148+E148+G148+H148+I148+J148+K148+L148</f>
        <v>0</v>
      </c>
      <c r="N148">
        <f>0+D148+F148+G148+H148+I148+J148+K148+L148</f>
        <v>0</v>
      </c>
    </row>
    <row r="149" spans="3:14">
      <c r="C149" t="s">
        <v>27</v>
      </c>
      <c r="D149">
        <f>62.226*$D$123</f>
        <v>0</v>
      </c>
      <c r="E149">
        <f>183.945*$E$123</f>
        <v>0</v>
      </c>
      <c r="F149">
        <f>-91.36*$F$123</f>
        <v>0</v>
      </c>
      <c r="G149">
        <f>5.728*$G$123</f>
        <v>0</v>
      </c>
      <c r="H149">
        <f>0*$H$123</f>
        <v>0</v>
      </c>
      <c r="I149">
        <f>9.58*$I$123</f>
        <v>0</v>
      </c>
      <c r="J149">
        <f>-0.075*$J$123</f>
        <v>0</v>
      </c>
      <c r="K149">
        <f>0.1*$K$123</f>
        <v>0</v>
      </c>
      <c r="L149">
        <f>-0.016*$L$123</f>
        <v>0</v>
      </c>
      <c r="M149">
        <f>0+D149+E149+G149+H149+I149+J149+K149+L149</f>
        <v>0</v>
      </c>
      <c r="N149">
        <f>0+D149+F149+G149+H149+I149+J149+K149+L149</f>
        <v>0</v>
      </c>
    </row>
    <row r="150" spans="3:14">
      <c r="C150" t="s">
        <v>28</v>
      </c>
      <c r="D150">
        <f>83.695*$D$123</f>
        <v>0</v>
      </c>
      <c r="E150">
        <f>193.59*$E$123</f>
        <v>0</v>
      </c>
      <c r="F150">
        <f>-85.158*$F$123</f>
        <v>0</v>
      </c>
      <c r="G150">
        <f>8.018*$G$123</f>
        <v>0</v>
      </c>
      <c r="H150">
        <f>0*$H$123</f>
        <v>0</v>
      </c>
      <c r="I150">
        <f>11.246*$I$123</f>
        <v>0</v>
      </c>
      <c r="J150">
        <f>-2.921*$J$123</f>
        <v>0</v>
      </c>
      <c r="K150">
        <f>3.895*$K$123</f>
        <v>0</v>
      </c>
      <c r="L150">
        <f>-0.016*$L$123</f>
        <v>0</v>
      </c>
      <c r="M150">
        <f>0+D150+E150+G150+H150+I150+J150+K150+L150</f>
        <v>0</v>
      </c>
      <c r="N150">
        <f>0+D150+F150+G150+H150+I150+J150+K150+L150</f>
        <v>0</v>
      </c>
    </row>
    <row r="151" spans="3:14">
      <c r="C151" t="s">
        <v>28</v>
      </c>
      <c r="D151">
        <f>85.073*$D$123</f>
        <v>0</v>
      </c>
      <c r="E151">
        <f>204.591*$E$123</f>
        <v>0</v>
      </c>
      <c r="F151">
        <f>-77.606*$F$123</f>
        <v>0</v>
      </c>
      <c r="G151">
        <f>10.493*$G$123</f>
        <v>0</v>
      </c>
      <c r="H151">
        <f>0*$H$123</f>
        <v>0</v>
      </c>
      <c r="I151">
        <f>12.887*$I$123</f>
        <v>0</v>
      </c>
      <c r="J151">
        <f>-6.162*$J$123</f>
        <v>0</v>
      </c>
      <c r="K151">
        <f>8.215*$K$123</f>
        <v>0</v>
      </c>
      <c r="L151">
        <f>-0.016*$L$123</f>
        <v>0</v>
      </c>
      <c r="M151">
        <f>0+D151+E151+G151+H151+I151+J151+K151+L151</f>
        <v>0</v>
      </c>
      <c r="N151">
        <f>0+D151+F151+G151+H151+I151+J151+K151+L151</f>
        <v>0</v>
      </c>
    </row>
    <row r="152" spans="3:14">
      <c r="C152" t="s">
        <v>29</v>
      </c>
      <c r="D152">
        <f>106.403*$D$123</f>
        <v>0</v>
      </c>
      <c r="E152">
        <f>214.102*$E$123</f>
        <v>0</v>
      </c>
      <c r="F152">
        <f>-71.616*$F$123</f>
        <v>0</v>
      </c>
      <c r="G152">
        <f>12.636*$G$123</f>
        <v>0</v>
      </c>
      <c r="H152">
        <f>0*$H$123</f>
        <v>0</v>
      </c>
      <c r="I152">
        <f>14.544*$I$123</f>
        <v>0</v>
      </c>
      <c r="J152">
        <f>-8.025*$J$123</f>
        <v>0</v>
      </c>
      <c r="K152">
        <f>10.7*$K$123</f>
        <v>0</v>
      </c>
      <c r="L152">
        <f>-0.016*$L$123</f>
        <v>0</v>
      </c>
      <c r="M152">
        <f>0+D152+E152+G152+H152+I152+J152+K152+L152</f>
        <v>0</v>
      </c>
      <c r="N152">
        <f>0+D152+F152+G152+H152+I152+J152+K152+L152</f>
        <v>0</v>
      </c>
    </row>
    <row r="153" spans="3:14">
      <c r="C153" t="s">
        <v>29</v>
      </c>
      <c r="D153">
        <f>107.496*$D$123</f>
        <v>0</v>
      </c>
      <c r="E153">
        <f>225.113*$E$123</f>
        <v>0</v>
      </c>
      <c r="F153">
        <f>-64.197*$F$123</f>
        <v>0</v>
      </c>
      <c r="G153">
        <f>15.022*$G$123</f>
        <v>0</v>
      </c>
      <c r="H153">
        <f>0*$H$123</f>
        <v>0</v>
      </c>
      <c r="I153">
        <f>16.158*$I$123</f>
        <v>0</v>
      </c>
      <c r="J153">
        <f>-10.39*$J$123</f>
        <v>0</v>
      </c>
      <c r="K153">
        <f>13.853*$K$123</f>
        <v>0</v>
      </c>
      <c r="L153">
        <f>-0.016*$L$123</f>
        <v>0</v>
      </c>
      <c r="M153">
        <f>0+D153+E153+G153+H153+I153+J153+K153+L153</f>
        <v>0</v>
      </c>
      <c r="N153">
        <f>0+D153+F153+G153+H153+I153+J153+K153+L153</f>
        <v>0</v>
      </c>
    </row>
    <row r="154" spans="3:14">
      <c r="C154" t="s">
        <v>30</v>
      </c>
      <c r="D154">
        <f>128.575*$D$123</f>
        <v>0</v>
      </c>
      <c r="E154">
        <f>234.56*$E$123</f>
        <v>0</v>
      </c>
      <c r="F154">
        <f>-58.542*$F$123</f>
        <v>0</v>
      </c>
      <c r="G154">
        <f>16.915*$G$123</f>
        <v>0</v>
      </c>
      <c r="H154">
        <f>0*$H$123</f>
        <v>0</v>
      </c>
      <c r="I154">
        <f>17.785*$I$123</f>
        <v>0</v>
      </c>
      <c r="J154">
        <f>-10.312*$J$123</f>
        <v>0</v>
      </c>
      <c r="K154">
        <f>13.75*$K$123</f>
        <v>0</v>
      </c>
      <c r="L154">
        <f>-0.015*$L$123</f>
        <v>0</v>
      </c>
      <c r="M154">
        <f>0+D154+E154+G154+H154+I154+J154+K154+L154</f>
        <v>0</v>
      </c>
      <c r="N154">
        <f>0+D154+F154+G154+H154+I154+J154+K154+L154</f>
        <v>0</v>
      </c>
    </row>
    <row r="155" spans="3:14">
      <c r="C155" t="s">
        <v>30</v>
      </c>
      <c r="D155">
        <f>134.79*$D$123</f>
        <v>0</v>
      </c>
      <c r="E155">
        <f>262.93*$E$123</f>
        <v>0</v>
      </c>
      <c r="F155">
        <f>-59.044*$F$123</f>
        <v>0</v>
      </c>
      <c r="G155">
        <f>10.272*$G$123</f>
        <v>0</v>
      </c>
      <c r="H155">
        <f>0*$H$123</f>
        <v>0</v>
      </c>
      <c r="I155">
        <f>19.665*$I$123</f>
        <v>0</v>
      </c>
      <c r="J155">
        <f>22.525*$J$123</f>
        <v>0</v>
      </c>
      <c r="K155">
        <f>-30.033*$K$123</f>
        <v>0</v>
      </c>
      <c r="L155">
        <f>-0.008546*$L$123</f>
        <v>0</v>
      </c>
      <c r="M155">
        <f>0+D155+E155+G155+H155+I155+J155+K155+L155</f>
        <v>0</v>
      </c>
      <c r="N155">
        <f>0+D155+F155+G155+H155+I155+J155+K155+L155</f>
        <v>0</v>
      </c>
    </row>
    <row r="156" spans="3:14">
      <c r="C156" t="s">
        <v>31</v>
      </c>
      <c r="D156">
        <f>153.599*$D$123</f>
        <v>0</v>
      </c>
      <c r="E156">
        <f>272.938*$E$123</f>
        <v>0</v>
      </c>
      <c r="F156">
        <f>-54.524*$F$123</f>
        <v>0</v>
      </c>
      <c r="G156">
        <f>11.964*$G$123</f>
        <v>0</v>
      </c>
      <c r="H156">
        <f>0*$H$123</f>
        <v>0</v>
      </c>
      <c r="I156">
        <f>21.094*$I$123</f>
        <v>0</v>
      </c>
      <c r="J156">
        <f>23.442*$J$123</f>
        <v>0</v>
      </c>
      <c r="K156">
        <f>-31.257*$K$123</f>
        <v>0</v>
      </c>
      <c r="L156">
        <f>-0.008774*$L$123</f>
        <v>0</v>
      </c>
      <c r="M156">
        <f>0+D156+E156+G156+H156+I156+J156+K156+L156</f>
        <v>0</v>
      </c>
      <c r="N156">
        <f>0+D156+F156+G156+H156+I156+J156+K156+L156</f>
        <v>0</v>
      </c>
    </row>
    <row r="157" spans="3:14">
      <c r="C157" t="s">
        <v>31</v>
      </c>
      <c r="D157">
        <f>148.07*$D$123</f>
        <v>0</v>
      </c>
      <c r="E157">
        <f>275.272*$E$123</f>
        <v>0</v>
      </c>
      <c r="F157">
        <f>-51.114*$F$123</f>
        <v>0</v>
      </c>
      <c r="G157">
        <f>13.456*$G$123</f>
        <v>0</v>
      </c>
      <c r="H157">
        <f>0*$H$123</f>
        <v>0</v>
      </c>
      <c r="I157">
        <f>21.621*$I$123</f>
        <v>0</v>
      </c>
      <c r="J157">
        <f>13.236*$J$123</f>
        <v>0</v>
      </c>
      <c r="K157">
        <f>-17.649*$K$123</f>
        <v>0</v>
      </c>
      <c r="L157">
        <f>-0.008588*$L$123</f>
        <v>0</v>
      </c>
      <c r="M157">
        <f>0+D157+E157+G157+H157+I157+J157+K157+L157</f>
        <v>0</v>
      </c>
      <c r="N157">
        <f>0+D157+F157+G157+H157+I157+J157+K157+L157</f>
        <v>0</v>
      </c>
    </row>
    <row r="158" spans="3:14">
      <c r="C158" t="s">
        <v>32</v>
      </c>
      <c r="D158">
        <f>166.619*$D$123</f>
        <v>0</v>
      </c>
      <c r="E158">
        <f>285.247*$E$123</f>
        <v>0</v>
      </c>
      <c r="F158">
        <f>-45.367*$F$123</f>
        <v>0</v>
      </c>
      <c r="G158">
        <f>15.394*$G$123</f>
        <v>0</v>
      </c>
      <c r="H158">
        <f>0*$H$123</f>
        <v>0</v>
      </c>
      <c r="I158">
        <f>23.005*$I$123</f>
        <v>0</v>
      </c>
      <c r="J158">
        <f>13.095*$J$123</f>
        <v>0</v>
      </c>
      <c r="K158">
        <f>-17.46*$K$123</f>
        <v>0</v>
      </c>
      <c r="L158">
        <f>-0.008438*$L$123</f>
        <v>0</v>
      </c>
      <c r="M158">
        <f>0+D158+E158+G158+H158+I158+J158+K158+L158</f>
        <v>0</v>
      </c>
      <c r="N158">
        <f>0+D158+F158+G158+H158+I158+J158+K158+L158</f>
        <v>0</v>
      </c>
    </row>
    <row r="159" spans="3:14">
      <c r="C159" t="s">
        <v>32</v>
      </c>
      <c r="D159">
        <f>167.427*$D$123</f>
        <v>0</v>
      </c>
      <c r="E159">
        <f>297.536*$E$123</f>
        <v>0</v>
      </c>
      <c r="F159">
        <f>-37.991*$F$123</f>
        <v>0</v>
      </c>
      <c r="G159">
        <f>17.755*$G$123</f>
        <v>0</v>
      </c>
      <c r="H159">
        <f>0*$H$123</f>
        <v>0</v>
      </c>
      <c r="I159">
        <f>24.444*$I$123</f>
        <v>0</v>
      </c>
      <c r="J159">
        <f>10.96*$J$123</f>
        <v>0</v>
      </c>
      <c r="K159">
        <f>-14.613*$K$123</f>
        <v>0</v>
      </c>
      <c r="L159">
        <f>-0.007665*$L$123</f>
        <v>0</v>
      </c>
      <c r="M159">
        <f>0+D159+E159+G159+H159+I159+J159+K159+L159</f>
        <v>0</v>
      </c>
      <c r="N159">
        <f>0+D159+F159+G159+H159+I159+J159+K159+L159</f>
        <v>0</v>
      </c>
    </row>
    <row r="160" spans="3:14">
      <c r="C160" t="s">
        <v>33</v>
      </c>
      <c r="D160">
        <f>185.571*$D$123</f>
        <v>0</v>
      </c>
      <c r="E160">
        <f>307.2*$E$123</f>
        <v>0</v>
      </c>
      <c r="F160">
        <f>-32.502*$F$123</f>
        <v>0</v>
      </c>
      <c r="G160">
        <f>19.871*$G$123</f>
        <v>0</v>
      </c>
      <c r="H160">
        <f>0*$H$123</f>
        <v>0</v>
      </c>
      <c r="I160">
        <f>25.759*$I$123</f>
        <v>0</v>
      </c>
      <c r="J160">
        <f>10.658*$J$123</f>
        <v>0</v>
      </c>
      <c r="K160">
        <f>-14.21*$K$123</f>
        <v>0</v>
      </c>
      <c r="L160">
        <f>-0.006589*$L$123</f>
        <v>0</v>
      </c>
      <c r="M160">
        <f>0+D160+E160+G160+H160+I160+J160+K160+L160</f>
        <v>0</v>
      </c>
      <c r="N160">
        <f>0+D160+F160+G160+H160+I160+J160+K160+L160</f>
        <v>0</v>
      </c>
    </row>
    <row r="161" spans="3:14">
      <c r="C161" t="s">
        <v>33</v>
      </c>
      <c r="D161">
        <f>186.799*$D$123</f>
        <v>0</v>
      </c>
      <c r="E161">
        <f>320.804*$E$123</f>
        <v>0</v>
      </c>
      <c r="F161">
        <f>-28.097*$F$123</f>
        <v>0</v>
      </c>
      <c r="G161">
        <f>22.408*$G$123</f>
        <v>0</v>
      </c>
      <c r="H161">
        <f>0*$H$123</f>
        <v>0</v>
      </c>
      <c r="I161">
        <f>27.259*$I$123</f>
        <v>0</v>
      </c>
      <c r="J161">
        <f>10.466*$J$123</f>
        <v>0</v>
      </c>
      <c r="K161">
        <f>-13.955*$K$123</f>
        <v>0</v>
      </c>
      <c r="L161">
        <f>-0.004826*$L$123</f>
        <v>0</v>
      </c>
      <c r="M161">
        <f>0+D161+E161+G161+H161+I161+J161+K161+L161</f>
        <v>0</v>
      </c>
      <c r="N161">
        <f>0+D161+F161+G161+H161+I161+J161+K161+L161</f>
        <v>0</v>
      </c>
    </row>
    <row r="162" spans="3:14">
      <c r="C162" t="s">
        <v>34</v>
      </c>
      <c r="D162">
        <f>204.033*$D$123</f>
        <v>0</v>
      </c>
      <c r="E162">
        <f>330.228*$E$123</f>
        <v>0</v>
      </c>
      <c r="F162">
        <f>-25.441*$F$123</f>
        <v>0</v>
      </c>
      <c r="G162">
        <f>24.489*$G$123</f>
        <v>0</v>
      </c>
      <c r="H162">
        <f>0*$H$123</f>
        <v>0</v>
      </c>
      <c r="I162">
        <f>28.45*$I$123</f>
        <v>0</v>
      </c>
      <c r="J162">
        <f>12.396*$J$123</f>
        <v>0</v>
      </c>
      <c r="K162">
        <f>-16.528*$K$123</f>
        <v>0</v>
      </c>
      <c r="L162">
        <f>-0.00245*$L$123</f>
        <v>0</v>
      </c>
      <c r="M162">
        <f>0+D162+E162+G162+H162+I162+J162+K162+L162</f>
        <v>0</v>
      </c>
      <c r="N162">
        <f>0+D162+F162+G162+H162+I162+J162+K162+L162</f>
        <v>0</v>
      </c>
    </row>
    <row r="163" spans="3:14">
      <c r="C163" t="s">
        <v>34</v>
      </c>
      <c r="D163">
        <f>204.66*$D$123</f>
        <v>0</v>
      </c>
      <c r="E163">
        <f>344.269*$E$123</f>
        <v>0</v>
      </c>
      <c r="F163">
        <f>-21.426*$F$123</f>
        <v>0</v>
      </c>
      <c r="G163">
        <f>27.135*$G$123</f>
        <v>0</v>
      </c>
      <c r="H163">
        <f>0*$H$123</f>
        <v>0</v>
      </c>
      <c r="I163">
        <f>29.844*$I$123</f>
        <v>0</v>
      </c>
      <c r="J163">
        <f>14.791*$J$123</f>
        <v>0</v>
      </c>
      <c r="K163">
        <f>-19.721*$K$123</f>
        <v>0</v>
      </c>
      <c r="L163">
        <f>0.0006107*$L$123</f>
        <v>0</v>
      </c>
      <c r="M163">
        <f>0+D163+E163+G163+H163+I163+J163+K163+L163</f>
        <v>0</v>
      </c>
      <c r="N163">
        <f>0+D163+F163+G163+H163+I163+J163+K163+L163</f>
        <v>0</v>
      </c>
    </row>
    <row r="164" spans="3:14">
      <c r="C164" t="s">
        <v>35</v>
      </c>
      <c r="D164">
        <f>220.107*$D$123</f>
        <v>0</v>
      </c>
      <c r="E164">
        <f>353.778*$E$123</f>
        <v>0</v>
      </c>
      <c r="F164">
        <f>-18.574*$F$123</f>
        <v>0</v>
      </c>
      <c r="G164">
        <f>29.168*$G$123</f>
        <v>0</v>
      </c>
      <c r="H164">
        <f>0*$H$123</f>
        <v>0</v>
      </c>
      <c r="I164">
        <f>30.789*$I$123</f>
        <v>0</v>
      </c>
      <c r="J164">
        <f>22.356*$J$123</f>
        <v>0</v>
      </c>
      <c r="K164">
        <f>-29.808*$K$123</f>
        <v>0</v>
      </c>
      <c r="L164">
        <f>0.004067*$L$123</f>
        <v>0</v>
      </c>
      <c r="M164">
        <f>0+D164+E164+G164+H164+I164+J164+K164+L164</f>
        <v>0</v>
      </c>
      <c r="N164">
        <f>0+D164+F164+G164+H164+I164+J164+K164+L164</f>
        <v>0</v>
      </c>
    </row>
    <row r="165" spans="3:14">
      <c r="C165" t="s">
        <v>35</v>
      </c>
      <c r="D165">
        <f>1.086*$D$123</f>
        <v>0</v>
      </c>
      <c r="E165">
        <f>41.392*$E$123</f>
        <v>0</v>
      </c>
      <c r="F165">
        <f>-145.04*$F$123</f>
        <v>0</v>
      </c>
      <c r="G165">
        <f>-1.972*$G$123</f>
        <v>0</v>
      </c>
      <c r="H165">
        <f>0*$H$123</f>
        <v>0</v>
      </c>
      <c r="I165">
        <f>0.842*$I$123</f>
        <v>0</v>
      </c>
      <c r="J165">
        <f>-32.655*$J$123</f>
        <v>0</v>
      </c>
      <c r="K165">
        <f>43.54*$K$123</f>
        <v>0</v>
      </c>
      <c r="L165">
        <f>0.01*$L$123</f>
        <v>0</v>
      </c>
      <c r="M165">
        <f>0+D165+E165+G165+H165+I165+J165+K165+L165</f>
        <v>0</v>
      </c>
      <c r="N165">
        <f>0+D165+F165+G165+H165+I165+J165+K165+L165</f>
        <v>0</v>
      </c>
    </row>
    <row r="166" spans="3:14">
      <c r="C166" t="s">
        <v>36</v>
      </c>
      <c r="D166">
        <f>10.224*$D$123</f>
        <v>0</v>
      </c>
      <c r="E166">
        <f>41.392*$E$123</f>
        <v>0</v>
      </c>
      <c r="F166">
        <f>-145.04*$F$123</f>
        <v>0</v>
      </c>
      <c r="G166">
        <f>-1.972*$G$123</f>
        <v>0</v>
      </c>
      <c r="H166">
        <f>0*$H$123</f>
        <v>0</v>
      </c>
      <c r="I166">
        <f>0.842*$I$123</f>
        <v>0</v>
      </c>
      <c r="J166">
        <f>-32.655*$J$123</f>
        <v>0</v>
      </c>
      <c r="K166">
        <f>43.54*$K$123</f>
        <v>0</v>
      </c>
      <c r="L166">
        <f>0.01*$L$123</f>
        <v>0</v>
      </c>
      <c r="M166">
        <f>0+D166+E166+G166+H166+I166+J166+K166+L166</f>
        <v>0</v>
      </c>
      <c r="N166">
        <f>0+D166+F166+G166+H166+I166+J166+K166+L166</f>
        <v>0</v>
      </c>
    </row>
    <row r="167" spans="3:14">
      <c r="C167" t="s">
        <v>36</v>
      </c>
      <c r="D167">
        <f>-9.171*$D$123</f>
        <v>0</v>
      </c>
      <c r="E167">
        <f>32.745*$E$123</f>
        <v>0</v>
      </c>
      <c r="F167">
        <f>-45.048*$F$123</f>
        <v>0</v>
      </c>
      <c r="G167">
        <f>1.915*$G$123</f>
        <v>0</v>
      </c>
      <c r="H167">
        <f>0*$H$123</f>
        <v>0</v>
      </c>
      <c r="I167">
        <f>-0.687*$I$123</f>
        <v>0</v>
      </c>
      <c r="J167">
        <f>31.755*$J$123</f>
        <v>0</v>
      </c>
      <c r="K167">
        <f>-42.34*$K$123</f>
        <v>0</v>
      </c>
      <c r="L167">
        <f>0.45*$L$123</f>
        <v>0</v>
      </c>
      <c r="M167">
        <f>0+D167+E167+G167+H167+I167+J167+K167+L167</f>
        <v>0</v>
      </c>
      <c r="N167">
        <f>0+D167+F167+G167+H167+I167+J167+K167+L167</f>
        <v>0</v>
      </c>
    </row>
    <row r="168" spans="3:14">
      <c r="C168" t="s">
        <v>37</v>
      </c>
      <c r="D168">
        <f>-0.033*$D$123</f>
        <v>0</v>
      </c>
      <c r="E168">
        <f>32.745*$E$123</f>
        <v>0</v>
      </c>
      <c r="F168">
        <f>-45.048*$F$123</f>
        <v>0</v>
      </c>
      <c r="G168">
        <f>1.915*$G$123</f>
        <v>0</v>
      </c>
      <c r="H168">
        <f>0*$H$123</f>
        <v>0</v>
      </c>
      <c r="I168">
        <f>-0.687*$I$123</f>
        <v>0</v>
      </c>
      <c r="J168">
        <f>31.755*$J$123</f>
        <v>0</v>
      </c>
      <c r="K168">
        <f>-42.34*$K$123</f>
        <v>0</v>
      </c>
      <c r="L168">
        <f>0.45*$L$123</f>
        <v>0</v>
      </c>
      <c r="M168">
        <f>0+D168+E168+G168+H168+I168+J168+K168+L168</f>
        <v>0</v>
      </c>
      <c r="N168">
        <f>0+D168+F168+G168+H168+I168+J168+K168+L168</f>
        <v>0</v>
      </c>
    </row>
    <row r="169" spans="3:14">
      <c r="C169" t="s">
        <v>37</v>
      </c>
      <c r="D169">
        <f>-209.401*$D$123</f>
        <v>0</v>
      </c>
      <c r="E169">
        <f>21.46*$E$123</f>
        <v>0</v>
      </c>
      <c r="F169">
        <f>-346.076*$F$123</f>
        <v>0</v>
      </c>
      <c r="G169">
        <f>-29.229*$G$123</f>
        <v>0</v>
      </c>
      <c r="H169">
        <f>0*$H$123</f>
        <v>0</v>
      </c>
      <c r="I169">
        <f>-29.214*$I$123</f>
        <v>0</v>
      </c>
      <c r="J169">
        <f>-30.122*$J$123</f>
        <v>0</v>
      </c>
      <c r="K169">
        <f>40.163*$K$123</f>
        <v>0</v>
      </c>
      <c r="L169">
        <f>-0.333*$L$123</f>
        <v>0</v>
      </c>
      <c r="M169">
        <f>0+D169+E169+G169+H169+I169+J169+K169+L169</f>
        <v>0</v>
      </c>
      <c r="N169">
        <f>0+D169+F169+G169+H169+I169+J169+K169+L169</f>
        <v>0</v>
      </c>
    </row>
    <row r="170" spans="3:14">
      <c r="C170" t="s">
        <v>38</v>
      </c>
      <c r="D170">
        <f>-194.218*$D$123</f>
        <v>0</v>
      </c>
      <c r="E170">
        <f>24.202*$E$123</f>
        <v>0</v>
      </c>
      <c r="F170">
        <f>-337.214*$F$123</f>
        <v>0</v>
      </c>
      <c r="G170">
        <f>-27.144*$G$123</f>
        <v>0</v>
      </c>
      <c r="H170">
        <f>0*$H$123</f>
        <v>0</v>
      </c>
      <c r="I170">
        <f>-28.31*$I$123</f>
        <v>0</v>
      </c>
      <c r="J170">
        <f>-21.971*$J$123</f>
        <v>0</v>
      </c>
      <c r="K170">
        <f>29.295*$K$123</f>
        <v>0</v>
      </c>
      <c r="L170">
        <f>-0.334*$L$123</f>
        <v>0</v>
      </c>
      <c r="M170">
        <f>0+D170+E170+G170+H170+I170+J170+K170+L170</f>
        <v>0</v>
      </c>
      <c r="N170">
        <f>0+D170+F170+G170+H170+I170+J170+K170+L170</f>
        <v>0</v>
      </c>
    </row>
    <row r="171" spans="3:14">
      <c r="C171" t="s">
        <v>38</v>
      </c>
      <c r="D171">
        <f>-193.956*$D$123</f>
        <v>0</v>
      </c>
      <c r="E171">
        <f>28.846*$E$123</f>
        <v>0</v>
      </c>
      <c r="F171">
        <f>-324.142*$F$123</f>
        <v>0</v>
      </c>
      <c r="G171">
        <f>-24.458*$G$123</f>
        <v>0</v>
      </c>
      <c r="H171">
        <f>0*$H$123</f>
        <v>0</v>
      </c>
      <c r="I171">
        <f>-26.971*$I$123</f>
        <v>0</v>
      </c>
      <c r="J171">
        <f>-19.025*$J$123</f>
        <v>0</v>
      </c>
      <c r="K171">
        <f>25.366*$K$123</f>
        <v>0</v>
      </c>
      <c r="L171">
        <f>-0.352*$L$123</f>
        <v>0</v>
      </c>
      <c r="M171">
        <f>0+D171+E171+G171+H171+I171+J171+K171+L171</f>
        <v>0</v>
      </c>
      <c r="N171">
        <f>0+D171+F171+G171+H171+I171+J171+K171+L171</f>
        <v>0</v>
      </c>
    </row>
    <row r="172" spans="3:14">
      <c r="C172" t="s">
        <v>39</v>
      </c>
      <c r="D172">
        <f>-177.037*$D$123</f>
        <v>0</v>
      </c>
      <c r="E172">
        <f>31.893*$E$123</f>
        <v>0</v>
      </c>
      <c r="F172">
        <f>-315.53*$F$123</f>
        <v>0</v>
      </c>
      <c r="G172">
        <f>-22.328*$G$123</f>
        <v>0</v>
      </c>
      <c r="H172">
        <f>0*$H$123</f>
        <v>0</v>
      </c>
      <c r="I172">
        <f>-25.829*$I$123</f>
        <v>0</v>
      </c>
      <c r="J172">
        <f>-16.506*$J$123</f>
        <v>0</v>
      </c>
      <c r="K172">
        <f>22.008*$K$123</f>
        <v>0</v>
      </c>
      <c r="L172">
        <f>-0.351*$L$123</f>
        <v>0</v>
      </c>
      <c r="M172">
        <f>0+D172+E172+G172+H172+I172+J172+K172+L172</f>
        <v>0</v>
      </c>
      <c r="N172">
        <f>0+D172+F172+G172+H172+I172+J172+K172+L172</f>
        <v>0</v>
      </c>
    </row>
    <row r="173" spans="3:14">
      <c r="C173" t="s">
        <v>39</v>
      </c>
      <c r="D173">
        <f>-176.161*$D$123</f>
        <v>0</v>
      </c>
      <c r="E173">
        <f>36.545*$E$123</f>
        <v>0</v>
      </c>
      <c r="F173">
        <f>-302.856*$F$123</f>
        <v>0</v>
      </c>
      <c r="G173">
        <f>-19.752*$G$123</f>
        <v>0</v>
      </c>
      <c r="H173">
        <f>0*$H$123</f>
        <v>0</v>
      </c>
      <c r="I173">
        <f>-24.383*$I$123</f>
        <v>0</v>
      </c>
      <c r="J173">
        <f>-16.159*$J$123</f>
        <v>0</v>
      </c>
      <c r="K173">
        <f>21.546*$K$123</f>
        <v>0</v>
      </c>
      <c r="L173">
        <f>-0.345*$L$123</f>
        <v>0</v>
      </c>
      <c r="M173">
        <f>0+D173+E173+G173+H173+I173+J173+K173+L173</f>
        <v>0</v>
      </c>
      <c r="N173">
        <f>0+D173+F173+G173+H173+I173+J173+K173+L173</f>
        <v>0</v>
      </c>
    </row>
    <row r="174" spans="3:14">
      <c r="C174" t="s">
        <v>40</v>
      </c>
      <c r="D174">
        <f>-158.25*$D$123</f>
        <v>0</v>
      </c>
      <c r="E174">
        <f>41.495*$E$123</f>
        <v>0</v>
      </c>
      <c r="F174">
        <f>-293.915*$F$123</f>
        <v>0</v>
      </c>
      <c r="G174">
        <f>-17.597*$G$123</f>
        <v>0</v>
      </c>
      <c r="H174">
        <f>0*$H$123</f>
        <v>0</v>
      </c>
      <c r="I174">
        <f>-23.103*$I$123</f>
        <v>0</v>
      </c>
      <c r="J174">
        <f>-16.011*$J$123</f>
        <v>0</v>
      </c>
      <c r="K174">
        <f>21.348*$K$123</f>
        <v>0</v>
      </c>
      <c r="L174">
        <f>-0.325*$L$123</f>
        <v>0</v>
      </c>
      <c r="M174">
        <f>0+D174+E174+G174+H174+I174+J174+K174+L174</f>
        <v>0</v>
      </c>
      <c r="N174">
        <f>0+D174+F174+G174+H174+I174+J174+K174+L174</f>
        <v>0</v>
      </c>
    </row>
    <row r="175" spans="3:14">
      <c r="C175" t="s">
        <v>40</v>
      </c>
      <c r="D175">
        <f>-157.689*$D$123</f>
        <v>0</v>
      </c>
      <c r="E175">
        <f>48.673*$E$123</f>
        <v>0</v>
      </c>
      <c r="F175">
        <f>-282.326*$F$123</f>
        <v>0</v>
      </c>
      <c r="G175">
        <f>-15.202*$G$123</f>
        <v>0</v>
      </c>
      <c r="H175">
        <f>0*$H$123</f>
        <v>0</v>
      </c>
      <c r="I175">
        <f>-21.703*$I$123</f>
        <v>0</v>
      </c>
      <c r="J175">
        <f>-17.702*$J$123</f>
        <v>0</v>
      </c>
      <c r="K175">
        <f>23.602*$K$123</f>
        <v>0</v>
      </c>
      <c r="L175">
        <f>-0.297*$L$123</f>
        <v>0</v>
      </c>
      <c r="M175">
        <f>0+D175+E175+G175+H175+I175+J175+K175+L175</f>
        <v>0</v>
      </c>
      <c r="N175">
        <f>0+D175+F175+G175+H175+I175+J175+K175+L175</f>
        <v>0</v>
      </c>
    </row>
    <row r="176" spans="3:14">
      <c r="C176" t="s">
        <v>41</v>
      </c>
      <c r="D176">
        <f>-139.307*$D$123</f>
        <v>0</v>
      </c>
      <c r="E176">
        <f>54.157*$E$123</f>
        <v>0</v>
      </c>
      <c r="F176">
        <f>-272.88*$F$123</f>
        <v>0</v>
      </c>
      <c r="G176">
        <f>-13.232*$G$123</f>
        <v>0</v>
      </c>
      <c r="H176">
        <f>0*$H$123</f>
        <v>0</v>
      </c>
      <c r="I176">
        <f>-20.344*$I$123</f>
        <v>0</v>
      </c>
      <c r="J176">
        <f>-17.471*$J$123</f>
        <v>0</v>
      </c>
      <c r="K176">
        <f>23.295*$K$123</f>
        <v>0</v>
      </c>
      <c r="L176">
        <f>-0.253*$L$123</f>
        <v>0</v>
      </c>
      <c r="M176">
        <f>0+D176+E176+G176+H176+I176+J176+K176+L176</f>
        <v>0</v>
      </c>
      <c r="N176">
        <f>0+D176+F176+G176+H176+I176+J176+K176+L176</f>
        <v>0</v>
      </c>
    </row>
    <row r="177" spans="3:14">
      <c r="C177" t="s">
        <v>41</v>
      </c>
      <c r="D177">
        <f>-144.873*$D$123</f>
        <v>0</v>
      </c>
      <c r="E177">
        <f>57.264*$E$123</f>
        <v>0</v>
      </c>
      <c r="F177">
        <f>-270.986*$F$123</f>
        <v>0</v>
      </c>
      <c r="G177">
        <f>-11.682*$G$123</f>
        <v>0</v>
      </c>
      <c r="H177">
        <f>0*$H$123</f>
        <v>0</v>
      </c>
      <c r="I177">
        <f>-19.826*$I$123</f>
        <v>0</v>
      </c>
      <c r="J177">
        <f>-27.205*$J$123</f>
        <v>0</v>
      </c>
      <c r="K177">
        <f>36.273*$K$123</f>
        <v>0</v>
      </c>
      <c r="L177">
        <f>-0.178*$L$123</f>
        <v>0</v>
      </c>
      <c r="M177">
        <f>0+D177+E177+G177+H177+I177+J177+K177+L177</f>
        <v>0</v>
      </c>
      <c r="N177">
        <f>0+D177+F177+G177+H177+I177+J177+K177+L177</f>
        <v>0</v>
      </c>
    </row>
    <row r="178" spans="3:14">
      <c r="C178" t="s">
        <v>42</v>
      </c>
      <c r="D178">
        <f>-126.177*$D$123</f>
        <v>0</v>
      </c>
      <c r="E178">
        <f>61.595*$E$123</f>
        <v>0</v>
      </c>
      <c r="F178">
        <f>-261.369*$F$123</f>
        <v>0</v>
      </c>
      <c r="G178">
        <f>-9.963*$G$123</f>
        <v>0</v>
      </c>
      <c r="H178">
        <f>0*$H$123</f>
        <v>0</v>
      </c>
      <c r="I178">
        <f>-18.415*$I$123</f>
        <v>0</v>
      </c>
      <c r="J178">
        <f>-25.988*$J$123</f>
        <v>0</v>
      </c>
      <c r="K178">
        <f>34.65*$K$123</f>
        <v>0</v>
      </c>
      <c r="L178">
        <f>-0.129*$L$123</f>
        <v>0</v>
      </c>
      <c r="M178">
        <f>0+D178+E178+G178+H178+I178+J178+K178+L178</f>
        <v>0</v>
      </c>
      <c r="N178">
        <f>0+D178+F178+G178+H178+I178+J178+K178+L178</f>
        <v>0</v>
      </c>
    </row>
    <row r="179" spans="3:14">
      <c r="C179" t="s">
        <v>42</v>
      </c>
      <c r="D179">
        <f>-120.942*$D$123</f>
        <v>0</v>
      </c>
      <c r="E179">
        <f>55.588*$E$123</f>
        <v>0</v>
      </c>
      <c r="F179">
        <f>-233.844*$F$123</f>
        <v>0</v>
      </c>
      <c r="G179">
        <f>-16.4*$G$123</f>
        <v>0</v>
      </c>
      <c r="H179">
        <f>0*$H$123</f>
        <v>0</v>
      </c>
      <c r="I179">
        <f>-16.691*$I$123</f>
        <v>0</v>
      </c>
      <c r="J179">
        <f>9.197*$J$123</f>
        <v>0</v>
      </c>
      <c r="K179">
        <f>-12.263*$K$123</f>
        <v>0</v>
      </c>
      <c r="L179">
        <f>0.183*$L$123</f>
        <v>0</v>
      </c>
      <c r="M179">
        <f>0+D179+E179+G179+H179+I179+J179+K179+L179</f>
        <v>0</v>
      </c>
      <c r="N179">
        <f>0+D179+F179+G179+H179+I179+J179+K179+L179</f>
        <v>0</v>
      </c>
    </row>
    <row r="180" spans="3:14">
      <c r="C180" t="s">
        <v>43</v>
      </c>
      <c r="D180">
        <f>-99.942*$D$123</f>
        <v>0</v>
      </c>
      <c r="E180">
        <f>61.164*$E$123</f>
        <v>0</v>
      </c>
      <c r="F180">
        <f>-224.454*$F$123</f>
        <v>0</v>
      </c>
      <c r="G180">
        <f>-14.486*$G$123</f>
        <v>0</v>
      </c>
      <c r="H180">
        <f>0*$H$123</f>
        <v>0</v>
      </c>
      <c r="I180">
        <f>-15.077*$I$123</f>
        <v>0</v>
      </c>
      <c r="J180">
        <f>9.525*$J$123</f>
        <v>0</v>
      </c>
      <c r="K180">
        <f>-12.7*$K$123</f>
        <v>0</v>
      </c>
      <c r="L180">
        <f>0.223*$L$123</f>
        <v>0</v>
      </c>
      <c r="M180">
        <f>0+D180+E180+G180+H180+I180+J180+K180+L180</f>
        <v>0</v>
      </c>
      <c r="N180">
        <f>0+D180+F180+G180+H180+I180+J180+K180+L180</f>
        <v>0</v>
      </c>
    </row>
    <row r="181" spans="3:14">
      <c r="C181" t="s">
        <v>43</v>
      </c>
      <c r="D181">
        <f>-98.903*$D$123</f>
        <v>0</v>
      </c>
      <c r="E181">
        <f>68.635*$E$123</f>
        <v>0</v>
      </c>
      <c r="F181">
        <f>-213.477*$F$123</f>
        <v>0</v>
      </c>
      <c r="G181">
        <f>-12.078*$G$123</f>
        <v>0</v>
      </c>
      <c r="H181">
        <f>0*$H$123</f>
        <v>0</v>
      </c>
      <c r="I181">
        <f>-13.471*$I$123</f>
        <v>0</v>
      </c>
      <c r="J181">
        <f>7.406*$J$123</f>
        <v>0</v>
      </c>
      <c r="K181">
        <f>-9.875*$K$123</f>
        <v>0</v>
      </c>
      <c r="L181">
        <f>0.284*$L$123</f>
        <v>0</v>
      </c>
      <c r="M181">
        <f>0+D181+E181+G181+H181+I181+J181+K181+L181</f>
        <v>0</v>
      </c>
      <c r="N181">
        <f>0+D181+F181+G181+H181+I181+J181+K181+L181</f>
        <v>0</v>
      </c>
    </row>
    <row r="182" spans="3:14">
      <c r="C182" t="s">
        <v>44</v>
      </c>
      <c r="D182">
        <f>-77.609*$D$123</f>
        <v>0</v>
      </c>
      <c r="E182">
        <f>74.979*$E$123</f>
        <v>0</v>
      </c>
      <c r="F182">
        <f>-203.921*$F$123</f>
        <v>0</v>
      </c>
      <c r="G182">
        <f>-9.917*$G$123</f>
        <v>0</v>
      </c>
      <c r="H182">
        <f>0*$H$123</f>
        <v>0</v>
      </c>
      <c r="I182">
        <f>-11.822*$I$123</f>
        <v>0</v>
      </c>
      <c r="J182">
        <f>5.757*$J$123</f>
        <v>0</v>
      </c>
      <c r="K182">
        <f>-7.676*$K$123</f>
        <v>0</v>
      </c>
      <c r="L182">
        <f>0.339*$L$123</f>
        <v>0</v>
      </c>
      <c r="M182">
        <f>0+D182+E182+G182+H182+I182+J182+K182+L182</f>
        <v>0</v>
      </c>
      <c r="N182">
        <f>0+D182+F182+G182+H182+I182+J182+K182+L182</f>
        <v>0</v>
      </c>
    </row>
    <row r="183" spans="3:14">
      <c r="C183" t="s">
        <v>44</v>
      </c>
      <c r="D183">
        <f>-76.241*$D$123</f>
        <v>0</v>
      </c>
      <c r="E183">
        <f>82.762*$E$123</f>
        <v>0</v>
      </c>
      <c r="F183">
        <f>-192.855*$F$123</f>
        <v>0</v>
      </c>
      <c r="G183">
        <f>-7.425*$G$123</f>
        <v>0</v>
      </c>
      <c r="H183">
        <f>0*$H$123</f>
        <v>0</v>
      </c>
      <c r="I183">
        <f>-10.184*$I$123</f>
        <v>0</v>
      </c>
      <c r="J183">
        <f>2.719*$J$123</f>
        <v>0</v>
      </c>
      <c r="K183">
        <f>-3.625*$K$123</f>
        <v>0</v>
      </c>
      <c r="L183">
        <f>0.419*$L$123</f>
        <v>0</v>
      </c>
      <c r="M183">
        <f>0+D183+E183+G183+H183+I183+J183+K183+L183</f>
        <v>0</v>
      </c>
      <c r="N183">
        <f>0+D183+F183+G183+H183+I183+J183+K183+L183</f>
        <v>0</v>
      </c>
    </row>
    <row r="184" spans="3:14">
      <c r="C184" t="s">
        <v>45</v>
      </c>
      <c r="D184">
        <f>-54.761*$D$123</f>
        <v>0</v>
      </c>
      <c r="E184">
        <f>89.237*$E$123</f>
        <v>0</v>
      </c>
      <c r="F184">
        <f>-183.513*$F$123</f>
        <v>0</v>
      </c>
      <c r="G184">
        <f>-5.12*$G$123</f>
        <v>0</v>
      </c>
      <c r="H184">
        <f>0*$H$123</f>
        <v>0</v>
      </c>
      <c r="I184">
        <f>-8.518*$I$123</f>
        <v>0</v>
      </c>
      <c r="J184">
        <f>0.036*$J$123</f>
        <v>0</v>
      </c>
      <c r="K184">
        <f>-0.048*$K$123</f>
        <v>0</v>
      </c>
      <c r="L184">
        <f>0.503*$L$123</f>
        <v>0</v>
      </c>
      <c r="M184">
        <f>0+D184+E184+G184+H184+I184+J184+K184+L184</f>
        <v>0</v>
      </c>
      <c r="N184">
        <f>0+D184+F184+G184+H184+I184+J184+K184+L184</f>
        <v>0</v>
      </c>
    </row>
    <row r="185" spans="3:14">
      <c r="C185" t="s">
        <v>45</v>
      </c>
      <c r="D185">
        <f>-53.374*$D$123</f>
        <v>0</v>
      </c>
      <c r="E185">
        <f>96.872*$E$123</f>
        <v>0</v>
      </c>
      <c r="F185">
        <f>-172.936*$F$123</f>
        <v>0</v>
      </c>
      <c r="G185">
        <f>-2.637*$G$123</f>
        <v>0</v>
      </c>
      <c r="H185">
        <f>0*$H$123</f>
        <v>0</v>
      </c>
      <c r="I185">
        <f>-6.86*$I$123</f>
        <v>0</v>
      </c>
      <c r="J185">
        <f>-3.206*$J$123</f>
        <v>0</v>
      </c>
      <c r="K185">
        <f>4.274*$K$123</f>
        <v>0</v>
      </c>
      <c r="L185">
        <f>0.606*$L$123</f>
        <v>0</v>
      </c>
      <c r="M185">
        <f>0+D185+E185+G185+H185+I185+J185+K185+L185</f>
        <v>0</v>
      </c>
      <c r="N185">
        <f>0+D185+F185+G185+H185+I185+J185+K185+L185</f>
        <v>0</v>
      </c>
    </row>
    <row r="186" spans="3:14">
      <c r="C186" t="s">
        <v>46</v>
      </c>
      <c r="D186">
        <f>-31.798*$D$123</f>
        <v>0</v>
      </c>
      <c r="E186">
        <f>103.012*$E$123</f>
        <v>0</v>
      </c>
      <c r="F186">
        <f>-163.197*$F$123</f>
        <v>0</v>
      </c>
      <c r="G186">
        <f>-0.499*$G$123</f>
        <v>0</v>
      </c>
      <c r="H186">
        <f>0*$H$123</f>
        <v>0</v>
      </c>
      <c r="I186">
        <f>-5.169*$I$123</f>
        <v>0</v>
      </c>
      <c r="J186">
        <f>-5.308*$J$123</f>
        <v>0</v>
      </c>
      <c r="K186">
        <f>7.077*$K$123</f>
        <v>0</v>
      </c>
      <c r="L186">
        <f>0.719*$L$123</f>
        <v>0</v>
      </c>
      <c r="M186">
        <f>0+D186+E186+G186+H186+I186+J186+K186+L186</f>
        <v>0</v>
      </c>
      <c r="N186">
        <f>0+D186+F186+G186+H186+I186+J186+K186+L186</f>
        <v>0</v>
      </c>
    </row>
    <row r="187" spans="3:14">
      <c r="C187" t="s">
        <v>46</v>
      </c>
      <c r="D187">
        <f>-30.378*$D$123</f>
        <v>0</v>
      </c>
      <c r="E187">
        <f>111.557*$E$123</f>
        <v>0</v>
      </c>
      <c r="F187">
        <f>-152.569*$F$123</f>
        <v>0</v>
      </c>
      <c r="G187">
        <f>1.88*$G$123</f>
        <v>0</v>
      </c>
      <c r="H187">
        <f>0*$H$123</f>
        <v>0</v>
      </c>
      <c r="I187">
        <f>-3.505*$I$123</f>
        <v>0</v>
      </c>
      <c r="J187">
        <f>-8.026*$J$123</f>
        <v>0</v>
      </c>
      <c r="K187">
        <f>10.701*$K$123</f>
        <v>0</v>
      </c>
      <c r="L187">
        <f>0.834*$L$123</f>
        <v>0</v>
      </c>
      <c r="M187">
        <f>0+D187+E187+G187+H187+I187+J187+K187+L187</f>
        <v>0</v>
      </c>
      <c r="N187">
        <f>0+D187+F187+G187+H187+I187+J187+K187+L187</f>
        <v>0</v>
      </c>
    </row>
    <row r="188" spans="3:14">
      <c r="C188" t="s">
        <v>47</v>
      </c>
      <c r="D188">
        <f>-8.864*$D$123</f>
        <v>0</v>
      </c>
      <c r="E188">
        <f>118.944*$E$123</f>
        <v>0</v>
      </c>
      <c r="F188">
        <f>-142.657*$F$123</f>
        <v>0</v>
      </c>
      <c r="G188">
        <f>3.736*$G$123</f>
        <v>0</v>
      </c>
      <c r="H188">
        <f>0*$H$123</f>
        <v>0</v>
      </c>
      <c r="I188">
        <f>-1.815*$I$123</f>
        <v>0</v>
      </c>
      <c r="J188">
        <f>-8.539*$J$123</f>
        <v>0</v>
      </c>
      <c r="K188">
        <f>11.386*$K$123</f>
        <v>0</v>
      </c>
      <c r="L188">
        <f>0.942*$L$123</f>
        <v>0</v>
      </c>
      <c r="M188">
        <f>0+D188+E188+G188+H188+I188+J188+K188+L188</f>
        <v>0</v>
      </c>
      <c r="N188">
        <f>0+D188+F188+G188+H188+I188+J188+K188+L188</f>
        <v>0</v>
      </c>
    </row>
    <row r="189" spans="3:14">
      <c r="C189" t="s">
        <v>47</v>
      </c>
      <c r="D189">
        <f>8.339*$D$123</f>
        <v>0</v>
      </c>
      <c r="E189">
        <f>140.513*$E$123</f>
        <v>0</v>
      </c>
      <c r="F189">
        <f>-119.135*$F$123</f>
        <v>0</v>
      </c>
      <c r="G189">
        <f>-3.912*$G$123</f>
        <v>0</v>
      </c>
      <c r="H189">
        <f>0*$H$123</f>
        <v>0</v>
      </c>
      <c r="I189">
        <f>1.744*$I$123</f>
        <v>0</v>
      </c>
      <c r="J189">
        <f>7.695*$J$123</f>
        <v>0</v>
      </c>
      <c r="K189">
        <f>-10.261*$K$123</f>
        <v>0</v>
      </c>
      <c r="L189">
        <f>1.153*$L$123</f>
        <v>0</v>
      </c>
      <c r="M189">
        <f>0+D189+E189+G189+H189+I189+J189+K189+L189</f>
        <v>0</v>
      </c>
      <c r="N189">
        <f>0+D189+F189+G189+H189+I189+J189+K189+L189</f>
        <v>0</v>
      </c>
    </row>
    <row r="190" spans="3:14">
      <c r="C190" t="s">
        <v>48</v>
      </c>
      <c r="D190">
        <f>29.866*$D$123</f>
        <v>0</v>
      </c>
      <c r="E190">
        <f>150.444*$E$123</f>
        <v>0</v>
      </c>
      <c r="F190">
        <f>-111.768*$F$123</f>
        <v>0</v>
      </c>
      <c r="G190">
        <f>-2.057*$G$123</f>
        <v>0</v>
      </c>
      <c r="H190">
        <f>0*$H$123</f>
        <v>0</v>
      </c>
      <c r="I190">
        <f>3.437*$I$123</f>
        <v>0</v>
      </c>
      <c r="J190">
        <f>7.163*$J$123</f>
        <v>0</v>
      </c>
      <c r="K190">
        <f>-9.55*$K$123</f>
        <v>0</v>
      </c>
      <c r="L190">
        <f>1.241*$L$123</f>
        <v>0</v>
      </c>
      <c r="M190">
        <f>0+D190+E190+G190+H190+I190+J190+K190+L190</f>
        <v>0</v>
      </c>
      <c r="N190">
        <f>0+D190+F190+G190+H190+I190+J190+K190+L190</f>
        <v>0</v>
      </c>
    </row>
    <row r="191" spans="3:14">
      <c r="C191" t="s">
        <v>48</v>
      </c>
      <c r="D191">
        <f>31.298*$D$123</f>
        <v>0</v>
      </c>
      <c r="E191">
        <f>161.106*$E$123</f>
        <v>0</v>
      </c>
      <c r="F191">
        <f>-103.224*$F$123</f>
        <v>0</v>
      </c>
      <c r="G191">
        <f>0.318*$G$123</f>
        <v>0</v>
      </c>
      <c r="H191">
        <f>0*$H$123</f>
        <v>0</v>
      </c>
      <c r="I191">
        <f>5.103*$I$123</f>
        <v>0</v>
      </c>
      <c r="J191">
        <f>4.415*$J$123</f>
        <v>0</v>
      </c>
      <c r="K191">
        <f>-5.887*$K$123</f>
        <v>0</v>
      </c>
      <c r="L191">
        <f>1.388*$L$123</f>
        <v>0</v>
      </c>
      <c r="M191">
        <f>0+D191+E191+G191+H191+I191+J191+K191+L191</f>
        <v>0</v>
      </c>
      <c r="N191">
        <f>0+D191+F191+G191+H191+I191+J191+K191+L191</f>
        <v>0</v>
      </c>
    </row>
    <row r="192" spans="3:14">
      <c r="C192" t="s">
        <v>49</v>
      </c>
      <c r="D192">
        <f>52.899*$D$123</f>
        <v>0</v>
      </c>
      <c r="E192">
        <f>170.886*$E$123</f>
        <v>0</v>
      </c>
      <c r="F192">
        <f>-97.027*$F$123</f>
        <v>0</v>
      </c>
      <c r="G192">
        <f>2.452*$G$123</f>
        <v>0</v>
      </c>
      <c r="H192">
        <f>0*$H$123</f>
        <v>0</v>
      </c>
      <c r="I192">
        <f>6.798*$I$123</f>
        <v>0</v>
      </c>
      <c r="J192">
        <f>2.266*$J$123</f>
        <v>0</v>
      </c>
      <c r="K192">
        <f>-3.021*$K$123</f>
        <v>0</v>
      </c>
      <c r="L192">
        <f>1.513*$L$123</f>
        <v>0</v>
      </c>
      <c r="M192">
        <f>0+D192+E192+G192+H192+I192+J192+K192+L192</f>
        <v>0</v>
      </c>
      <c r="N192">
        <f>0+D192+F192+G192+H192+I192+J192+K192+L192</f>
        <v>0</v>
      </c>
    </row>
    <row r="193" spans="3:14">
      <c r="C193" t="s">
        <v>49</v>
      </c>
      <c r="D193">
        <f>54.317*$D$123</f>
        <v>0</v>
      </c>
      <c r="E193">
        <f>181.902*$E$123</f>
        <v>0</v>
      </c>
      <c r="F193">
        <f>-89.3*$F$123</f>
        <v>0</v>
      </c>
      <c r="G193">
        <f>4.929*$G$123</f>
        <v>0</v>
      </c>
      <c r="H193">
        <f>0*$H$123</f>
        <v>0</v>
      </c>
      <c r="I193">
        <f>8.46*$I$123</f>
        <v>0</v>
      </c>
      <c r="J193">
        <f>-1.042*$J$123</f>
        <v>0</v>
      </c>
      <c r="K193">
        <f>1.389*$K$123</f>
        <v>0</v>
      </c>
      <c r="L193">
        <f>1.678*$L$123</f>
        <v>0</v>
      </c>
      <c r="M193">
        <f>0+D193+E193+G193+H193+I193+J193+K193+L193</f>
        <v>0</v>
      </c>
      <c r="N193">
        <f>0+D193+F193+G193+H193+I193+J193+K193+L193</f>
        <v>0</v>
      </c>
    </row>
    <row r="194" spans="3:14">
      <c r="C194" t="s">
        <v>50</v>
      </c>
      <c r="D194">
        <f>75.842*$D$123</f>
        <v>0</v>
      </c>
      <c r="E194">
        <f>191.768*$E$123</f>
        <v>0</v>
      </c>
      <c r="F194">
        <f>-82.746*$F$123</f>
        <v>0</v>
      </c>
      <c r="G194">
        <f>7.226*$G$123</f>
        <v>0</v>
      </c>
      <c r="H194">
        <f>0*$H$123</f>
        <v>0</v>
      </c>
      <c r="I194">
        <f>10.134*$I$123</f>
        <v>0</v>
      </c>
      <c r="J194">
        <f>-3.806*$J$123</f>
        <v>0</v>
      </c>
      <c r="K194">
        <f>5.075*$K$123</f>
        <v>0</v>
      </c>
      <c r="L194">
        <f>1.822*$L$123</f>
        <v>0</v>
      </c>
      <c r="M194">
        <f>0+D194+E194+G194+H194+I194+J194+K194+L194</f>
        <v>0</v>
      </c>
      <c r="N194">
        <f>0+D194+F194+G194+H194+I194+J194+K194+L194</f>
        <v>0</v>
      </c>
    </row>
    <row r="195" spans="3:14">
      <c r="C195" t="s">
        <v>50</v>
      </c>
      <c r="D195">
        <f>77.276*$D$123</f>
        <v>0</v>
      </c>
      <c r="E195">
        <f>202.836*$E$123</f>
        <v>0</v>
      </c>
      <c r="F195">
        <f>-75.011*$F$123</f>
        <v>0</v>
      </c>
      <c r="G195">
        <f>9.709*$G$123</f>
        <v>0</v>
      </c>
      <c r="H195">
        <f>0*$H$123</f>
        <v>0</v>
      </c>
      <c r="I195">
        <f>11.782*$I$123</f>
        <v>0</v>
      </c>
      <c r="J195">
        <f>-6.955*$J$123</f>
        <v>0</v>
      </c>
      <c r="K195">
        <f>9.273*$K$123</f>
        <v>0</v>
      </c>
      <c r="L195">
        <f>1.971*$L$123</f>
        <v>0</v>
      </c>
      <c r="M195">
        <f>0+D195+E195+G195+H195+I195+J195+K195+L195</f>
        <v>0</v>
      </c>
      <c r="N195">
        <f>0+D195+F195+G195+H195+I195+J195+K195+L195</f>
        <v>0</v>
      </c>
    </row>
    <row r="196" spans="3:14">
      <c r="C196" t="s">
        <v>51</v>
      </c>
      <c r="D196">
        <f>98.675*$D$123</f>
        <v>0</v>
      </c>
      <c r="E196">
        <f>212.427*$E$123</f>
        <v>0</v>
      </c>
      <c r="F196">
        <f>-68.669*$F$123</f>
        <v>0</v>
      </c>
      <c r="G196">
        <f>11.86*$G$123</f>
        <v>0</v>
      </c>
      <c r="H196">
        <f>0*$H$123</f>
        <v>0</v>
      </c>
      <c r="I196">
        <f>13.447*$I$123</f>
        <v>0</v>
      </c>
      <c r="J196">
        <f>-8.745*$J$123</f>
        <v>0</v>
      </c>
      <c r="K196">
        <f>11.66*$K$123</f>
        <v>0</v>
      </c>
      <c r="L196">
        <f>2.069*$L$123</f>
        <v>0</v>
      </c>
      <c r="M196">
        <f>0+D196+E196+G196+H196+I196+J196+K196+L196</f>
        <v>0</v>
      </c>
      <c r="N196">
        <f>0+D196+F196+G196+H196+I196+J196+K196+L196</f>
        <v>0</v>
      </c>
    </row>
    <row r="197" spans="3:14">
      <c r="C197" t="s">
        <v>51</v>
      </c>
      <c r="D197">
        <f>99.832*$D$123</f>
        <v>0</v>
      </c>
      <c r="E197">
        <f>223.457*$E$123</f>
        <v>0</v>
      </c>
      <c r="F197">
        <f>-61.239*$F$123</f>
        <v>0</v>
      </c>
      <c r="G197">
        <f>14.256*$G$123</f>
        <v>0</v>
      </c>
      <c r="H197">
        <f>0*$H$123</f>
        <v>0</v>
      </c>
      <c r="I197">
        <f>15.069*$I$123</f>
        <v>0</v>
      </c>
      <c r="J197">
        <f>-11.025*$J$123</f>
        <v>0</v>
      </c>
      <c r="K197">
        <f>14.699*$K$123</f>
        <v>0</v>
      </c>
      <c r="L197">
        <f>2.16*$L$123</f>
        <v>0</v>
      </c>
      <c r="M197">
        <f>0+D197+E197+G197+H197+I197+J197+K197+L197</f>
        <v>0</v>
      </c>
      <c r="N197">
        <f>0+D197+F197+G197+H197+I197+J197+K197+L197</f>
        <v>0</v>
      </c>
    </row>
    <row r="198" spans="3:14">
      <c r="C198" t="s">
        <v>52</v>
      </c>
      <c r="D198">
        <f>121.006*$D$123</f>
        <v>0</v>
      </c>
      <c r="E198">
        <f>232.946*$E$123</f>
        <v>0</v>
      </c>
      <c r="F198">
        <f>-55.535*$F$123</f>
        <v>0</v>
      </c>
      <c r="G198">
        <f>16.159*$G$123</f>
        <v>0</v>
      </c>
      <c r="H198">
        <f>0*$H$123</f>
        <v>0</v>
      </c>
      <c r="I198">
        <f>16.71*$I$123</f>
        <v>0</v>
      </c>
      <c r="J198">
        <f>-10.895*$J$123</f>
        <v>0</v>
      </c>
      <c r="K198">
        <f>14.527*$K$123</f>
        <v>0</v>
      </c>
      <c r="L198">
        <f>2.204*$L$123</f>
        <v>0</v>
      </c>
      <c r="M198">
        <f>0+D198+E198+G198+H198+I198+J198+K198+L198</f>
        <v>0</v>
      </c>
      <c r="N198">
        <f>0+D198+F198+G198+H198+I198+J198+K198+L198</f>
        <v>0</v>
      </c>
    </row>
    <row r="199" spans="3:14">
      <c r="C199" t="s">
        <v>52</v>
      </c>
      <c r="D199">
        <f>129.979*$D$123</f>
        <v>0</v>
      </c>
      <c r="E199">
        <f>262.374*$E$123</f>
        <v>0</v>
      </c>
      <c r="F199">
        <f>-60.483*$F$123</f>
        <v>0</v>
      </c>
      <c r="G199">
        <f>9.732*$G$123</f>
        <v>0</v>
      </c>
      <c r="H199">
        <f>0*$H$123</f>
        <v>0</v>
      </c>
      <c r="I199">
        <f>18.982*$I$123</f>
        <v>0</v>
      </c>
      <c r="J199">
        <f>21.744*$J$123</f>
        <v>0</v>
      </c>
      <c r="K199">
        <f>-28.992*$K$123</f>
        <v>0</v>
      </c>
      <c r="L199">
        <f>-3.287*$L$123</f>
        <v>0</v>
      </c>
      <c r="M199">
        <f>0+D199+E199+G199+H199+I199+J199+K199+L199</f>
        <v>0</v>
      </c>
      <c r="N199">
        <f>0+D199+F199+G199+H199+I199+J199+K199+L199</f>
        <v>0</v>
      </c>
    </row>
    <row r="200" spans="3:14">
      <c r="C200" t="s">
        <v>53</v>
      </c>
      <c r="D200">
        <f>148.927*$D$123</f>
        <v>0</v>
      </c>
      <c r="E200">
        <f>272.281*$E$123</f>
        <v>0</v>
      </c>
      <c r="F200">
        <f>-56.155*$F$123</f>
        <v>0</v>
      </c>
      <c r="G200">
        <f>11.44*$G$123</f>
        <v>0</v>
      </c>
      <c r="H200">
        <f>0*$H$123</f>
        <v>0</v>
      </c>
      <c r="I200">
        <f>20.431*$I$123</f>
        <v>0</v>
      </c>
      <c r="J200">
        <f>22.713*$J$123</f>
        <v>0</v>
      </c>
      <c r="K200">
        <f>-30.283*$K$123</f>
        <v>0</v>
      </c>
      <c r="L200">
        <f>-3.47*$L$123</f>
        <v>0</v>
      </c>
      <c r="M200">
        <f>0+D200+E200+G200+H200+I200+J200+K200+L200</f>
        <v>0</v>
      </c>
      <c r="N200">
        <f>0+D200+F200+G200+H200+I200+J200+K200+L200</f>
        <v>0</v>
      </c>
    </row>
    <row r="201" spans="3:14">
      <c r="C201" t="s">
        <v>53</v>
      </c>
      <c r="D201">
        <f>143.633*$D$123</f>
        <v>0</v>
      </c>
      <c r="E201">
        <f>274.479*$E$123</f>
        <v>0</v>
      </c>
      <c r="F201">
        <f>-52.909*$F$123</f>
        <v>0</v>
      </c>
      <c r="G201">
        <f>12.96*$G$123</f>
        <v>0</v>
      </c>
      <c r="H201">
        <f>0*$H$123</f>
        <v>0</v>
      </c>
      <c r="I201">
        <f>20.99*$I$123</f>
        <v>0</v>
      </c>
      <c r="J201">
        <f>12.581*$J$123</f>
        <v>0</v>
      </c>
      <c r="K201">
        <f>-16.774*$K$123</f>
        <v>0</v>
      </c>
      <c r="L201">
        <f>-3.53*$L$123</f>
        <v>0</v>
      </c>
      <c r="M201">
        <f>0+D201+E201+G201+H201+I201+J201+K201+L201</f>
        <v>0</v>
      </c>
      <c r="N201">
        <f>0+D201+F201+G201+H201+I201+J201+K201+L201</f>
        <v>0</v>
      </c>
    </row>
    <row r="202" spans="3:14">
      <c r="C202" t="s">
        <v>54</v>
      </c>
      <c r="D202">
        <f>162.337*$D$123</f>
        <v>0</v>
      </c>
      <c r="E202">
        <f>284.289*$E$123</f>
        <v>0</v>
      </c>
      <c r="F202">
        <f>-47.36*$F$123</f>
        <v>0</v>
      </c>
      <c r="G202">
        <f>14.915*$G$123</f>
        <v>0</v>
      </c>
      <c r="H202">
        <f>0*$H$123</f>
        <v>0</v>
      </c>
      <c r="I202">
        <f>22.396*$I$123</f>
        <v>0</v>
      </c>
      <c r="J202">
        <f>12.485*$J$123</f>
        <v>0</v>
      </c>
      <c r="K202">
        <f>-16.646*$K$123</f>
        <v>0</v>
      </c>
      <c r="L202">
        <f>-3.928*$L$123</f>
        <v>0</v>
      </c>
      <c r="M202">
        <f>0+D202+E202+G202+H202+I202+J202+K202+L202</f>
        <v>0</v>
      </c>
      <c r="N202">
        <f>0+D202+F202+G202+H202+I202+J202+K202+L202</f>
        <v>0</v>
      </c>
    </row>
    <row r="203" spans="3:14">
      <c r="C203" t="s">
        <v>54</v>
      </c>
      <c r="D203">
        <f>163.281*$D$123</f>
        <v>0</v>
      </c>
      <c r="E203">
        <f>296.281*$E$123</f>
        <v>0</v>
      </c>
      <c r="F203">
        <f>-40.324*$F$123</f>
        <v>0</v>
      </c>
      <c r="G203">
        <f>17.291*$G$123</f>
        <v>0</v>
      </c>
      <c r="H203">
        <f>0*$H$123</f>
        <v>0</v>
      </c>
      <c r="I203">
        <f>23.854*$I$123</f>
        <v>0</v>
      </c>
      <c r="J203">
        <f>10.385*$J$123</f>
        <v>0</v>
      </c>
      <c r="K203">
        <f>-13.847*$K$123</f>
        <v>0</v>
      </c>
      <c r="L203">
        <f>-4.493*$L$123</f>
        <v>0</v>
      </c>
      <c r="M203">
        <f>0+D203+E203+G203+H203+I203+J203+K203+L203</f>
        <v>0</v>
      </c>
      <c r="N203">
        <f>0+D203+F203+G203+H203+I203+J203+K203+L203</f>
        <v>0</v>
      </c>
    </row>
    <row r="204" spans="3:14">
      <c r="C204" t="s">
        <v>55</v>
      </c>
      <c r="D204">
        <f>181.612*$D$123</f>
        <v>0</v>
      </c>
      <c r="E204">
        <f>305.715*$E$123</f>
        <v>0</v>
      </c>
      <c r="F204">
        <f>-34.714*$F$123</f>
        <v>0</v>
      </c>
      <c r="G204">
        <f>19.427*$G$123</f>
        <v>0</v>
      </c>
      <c r="H204">
        <f>0*$H$123</f>
        <v>0</v>
      </c>
      <c r="I204">
        <f>25.196*$I$123</f>
        <v>0</v>
      </c>
      <c r="J204">
        <f>10.112*$J$123</f>
        <v>0</v>
      </c>
      <c r="K204">
        <f>-13.483*$K$123</f>
        <v>0</v>
      </c>
      <c r="L204">
        <f>-5.17*$L$123</f>
        <v>0</v>
      </c>
      <c r="M204">
        <f>0+D204+E204+G204+H204+I204+J204+K204+L204</f>
        <v>0</v>
      </c>
      <c r="N204">
        <f>0+D204+F204+G204+H204+I204+J204+K204+L204</f>
        <v>0</v>
      </c>
    </row>
    <row r="205" spans="3:14">
      <c r="C205" t="s">
        <v>55</v>
      </c>
      <c r="D205">
        <f>183.043*$D$123</f>
        <v>0</v>
      </c>
      <c r="E205">
        <f>319.036*$E$123</f>
        <v>0</v>
      </c>
      <c r="F205">
        <f>-30.069*$F$123</f>
        <v>0</v>
      </c>
      <c r="G205">
        <f>21.985*$G$123</f>
        <v>0</v>
      </c>
      <c r="H205">
        <f>0*$H$123</f>
        <v>0</v>
      </c>
      <c r="I205">
        <f>26.724*$I$123</f>
        <v>0</v>
      </c>
      <c r="J205">
        <f>9.932*$J$123</f>
        <v>0</v>
      </c>
      <c r="K205">
        <f>-13.243*$K$123</f>
        <v>0</v>
      </c>
      <c r="L205">
        <f>-6.273*$L$123</f>
        <v>0</v>
      </c>
      <c r="M205">
        <f>0+D205+E205+G205+H205+I205+J205+K205+L205</f>
        <v>0</v>
      </c>
      <c r="N205">
        <f>0+D205+F205+G205+H205+I205+J205+K205+L205</f>
        <v>0</v>
      </c>
    </row>
    <row r="206" spans="3:14">
      <c r="C206" t="s">
        <v>56</v>
      </c>
      <c r="D206">
        <f>200.638*$D$123</f>
        <v>0</v>
      </c>
      <c r="E206">
        <f>328.255*$E$123</f>
        <v>0</v>
      </c>
      <c r="F206">
        <f>-27.06*$F$123</f>
        <v>0</v>
      </c>
      <c r="G206">
        <f>24.101*$G$123</f>
        <v>0</v>
      </c>
      <c r="H206">
        <f>0*$H$123</f>
        <v>0</v>
      </c>
      <c r="I206">
        <f>27.966*$I$123</f>
        <v>0</v>
      </c>
      <c r="J206">
        <f>11.878*$J$123</f>
        <v>0</v>
      </c>
      <c r="K206">
        <f>-15.838*$K$123</f>
        <v>0</v>
      </c>
      <c r="L206">
        <f>-7.646*$L$123</f>
        <v>0</v>
      </c>
      <c r="M206">
        <f>0+D206+E206+G206+H206+I206+J206+K206+L206</f>
        <v>0</v>
      </c>
      <c r="N206">
        <f>0+D206+F206+G206+H206+I206+J206+K206+L206</f>
        <v>0</v>
      </c>
    </row>
    <row r="207" spans="3:14">
      <c r="C207" t="s">
        <v>56</v>
      </c>
      <c r="D207">
        <f>201.686*$D$123</f>
        <v>0</v>
      </c>
      <c r="E207">
        <f>342.014*$E$123</f>
        <v>0</v>
      </c>
      <c r="F207">
        <f>-22.759*$F$123</f>
        <v>0</v>
      </c>
      <c r="G207">
        <f>26.788*$G$123</f>
        <v>0</v>
      </c>
      <c r="H207">
        <f>0*$H$123</f>
        <v>0</v>
      </c>
      <c r="I207">
        <f>29.421*$I$123</f>
        <v>0</v>
      </c>
      <c r="J207">
        <f>14.262*$J$123</f>
        <v>0</v>
      </c>
      <c r="K207">
        <f>-19.016*$K$123</f>
        <v>0</v>
      </c>
      <c r="L207">
        <f>-9.805*$L$123</f>
        <v>0</v>
      </c>
      <c r="M207">
        <f>0+D207+E207+G207+H207+I207+J207+K207+L207</f>
        <v>0</v>
      </c>
      <c r="N207">
        <f>0+D207+F207+G207+H207+I207+J207+K207+L207</f>
        <v>0</v>
      </c>
    </row>
    <row r="208" spans="3:14">
      <c r="C208" t="s">
        <v>57</v>
      </c>
      <c r="D208">
        <f>217.936*$D$123</f>
        <v>0</v>
      </c>
      <c r="E208">
        <f>351.402*$E$123</f>
        <v>0</v>
      </c>
      <c r="F208">
        <f>-19.569*$F$123</f>
        <v>0</v>
      </c>
      <c r="G208">
        <f>28.901*$G$123</f>
        <v>0</v>
      </c>
      <c r="H208">
        <f>0*$H$123</f>
        <v>0</v>
      </c>
      <c r="I208">
        <f>30.48*$I$123</f>
        <v>0</v>
      </c>
      <c r="J208">
        <f>21.851*$J$123</f>
        <v>0</v>
      </c>
      <c r="K208">
        <f>-29.134*$K$123</f>
        <v>0</v>
      </c>
      <c r="L208">
        <f>-12.8*$L$123</f>
        <v>0</v>
      </c>
      <c r="M208">
        <f>0+D208+E208+G208+H208+I208+J208+K208+L208</f>
        <v>0</v>
      </c>
      <c r="N208">
        <f>0+D208+F208+G208+H208+I208+J208+K208+L208</f>
        <v>0</v>
      </c>
    </row>
    <row r="209" spans="3:14">
      <c r="C209" t="s">
        <v>57</v>
      </c>
      <c r="D209">
        <f>-1.426*$D$123</f>
        <v>0</v>
      </c>
      <c r="E209">
        <f>46.191*$E$123</f>
        <v>0</v>
      </c>
      <c r="F209">
        <f>-149.617*$F$123</f>
        <v>0</v>
      </c>
      <c r="G209">
        <f>-2.248*$G$123</f>
        <v>0</v>
      </c>
      <c r="H209">
        <f>0*$H$123</f>
        <v>0</v>
      </c>
      <c r="I209">
        <f>0.486*$I$123</f>
        <v>0</v>
      </c>
      <c r="J209">
        <f>-32.992*$J$123</f>
        <v>0</v>
      </c>
      <c r="K209">
        <f>43.989*$K$123</f>
        <v>0</v>
      </c>
      <c r="L209">
        <f>9.229*$L$123</f>
        <v>0</v>
      </c>
      <c r="M209">
        <f>0+D209+E209+G209+H209+I209+J209+K209+L209</f>
        <v>0</v>
      </c>
      <c r="N209">
        <f>0+D209+F209+G209+H209+I209+J209+K209+L209</f>
        <v>0</v>
      </c>
    </row>
    <row r="210" spans="3:14">
      <c r="C210" t="s">
        <v>58</v>
      </c>
      <c r="D210">
        <f>7.712*$D$123</f>
        <v>0</v>
      </c>
      <c r="E210">
        <f>46.191*$E$123</f>
        <v>0</v>
      </c>
      <c r="F210">
        <f>-149.617*$F$123</f>
        <v>0</v>
      </c>
      <c r="G210">
        <f>-2.248*$G$123</f>
        <v>0</v>
      </c>
      <c r="H210">
        <f>0*$H$123</f>
        <v>0</v>
      </c>
      <c r="I210">
        <f>0.486*$I$123</f>
        <v>0</v>
      </c>
      <c r="J210">
        <f>-32.992*$J$123</f>
        <v>0</v>
      </c>
      <c r="K210">
        <f>43.989*$K$123</f>
        <v>0</v>
      </c>
      <c r="L210">
        <f>9.229*$L$123</f>
        <v>0</v>
      </c>
      <c r="M210">
        <f>0+D210+E210+G210+H210+I210+J210+K210+L210</f>
        <v>0</v>
      </c>
      <c r="N210">
        <f>0+D210+F210+G210+H210+I210+J210+K210+L210</f>
        <v>0</v>
      </c>
    </row>
    <row r="211" spans="3:14">
      <c r="C211" t="s">
        <v>58</v>
      </c>
      <c r="D211">
        <f>-6.877*$D$123</f>
        <v>0</v>
      </c>
      <c r="E211">
        <f>9.858*$E$123</f>
        <v>0</v>
      </c>
      <c r="F211">
        <f>-19.631*$F$123</f>
        <v>0</v>
      </c>
      <c r="G211">
        <f>1.805*$G$123</f>
        <v>0</v>
      </c>
      <c r="H211">
        <f>0*$H$123</f>
        <v>0</v>
      </c>
      <c r="I211">
        <f>-0.336*$I$123</f>
        <v>0</v>
      </c>
      <c r="J211">
        <f>36.106*$J$123</f>
        <v>0</v>
      </c>
      <c r="K211">
        <f>-48.142*$K$123</f>
        <v>0</v>
      </c>
      <c r="L211">
        <f>45.233*$L$123</f>
        <v>0</v>
      </c>
      <c r="M211">
        <f>0+D211+E211+G211+H211+I211+J211+K211+L211</f>
        <v>0</v>
      </c>
      <c r="N211">
        <f>0+D211+F211+G211+H211+I211+J211+K211+L211</f>
        <v>0</v>
      </c>
    </row>
    <row r="212" spans="3:14">
      <c r="C212" t="s">
        <v>59</v>
      </c>
      <c r="D212">
        <f>2.261*$D$123</f>
        <v>0</v>
      </c>
      <c r="E212">
        <f>9.858*$E$123</f>
        <v>0</v>
      </c>
      <c r="F212">
        <f>-19.631*$F$123</f>
        <v>0</v>
      </c>
      <c r="G212">
        <f>1.805*$G$123</f>
        <v>0</v>
      </c>
      <c r="H212">
        <f>0*$H$123</f>
        <v>0</v>
      </c>
      <c r="I212">
        <f>-0.336*$I$123</f>
        <v>0</v>
      </c>
      <c r="J212">
        <f>36.106*$J$123</f>
        <v>0</v>
      </c>
      <c r="K212">
        <f>-48.142*$K$123</f>
        <v>0</v>
      </c>
      <c r="L212">
        <f>45.233*$L$123</f>
        <v>0</v>
      </c>
      <c r="M212">
        <f>0+D212+E212+G212+H212+I212+J212+K212+L212</f>
        <v>0</v>
      </c>
      <c r="N212">
        <f>0+D212+F212+G212+H212+I212+J212+K212+L212</f>
        <v>0</v>
      </c>
    </row>
    <row r="213" spans="3:14">
      <c r="C213" t="s">
        <v>59</v>
      </c>
      <c r="D213">
        <f>-90.12*$D$123</f>
        <v>0</v>
      </c>
      <c r="E213">
        <f>19.714*$E$123</f>
        <v>0</v>
      </c>
      <c r="F213">
        <f>-223.554*$F$123</f>
        <v>0</v>
      </c>
      <c r="G213">
        <f>-18.313*$G$123</f>
        <v>0</v>
      </c>
      <c r="H213">
        <f>0*$H$123</f>
        <v>0</v>
      </c>
      <c r="I213">
        <f>-12.15*$I$123</f>
        <v>0</v>
      </c>
      <c r="J213">
        <f>-31.236*$J$123</f>
        <v>0</v>
      </c>
      <c r="K213">
        <f>41.648*$K$123</f>
        <v>0</v>
      </c>
      <c r="L213">
        <f>-348.327*$L$123</f>
        <v>0</v>
      </c>
      <c r="M213">
        <f>0+D213+E213+G213+H213+I213+J213+K213+L213</f>
        <v>0</v>
      </c>
      <c r="N213">
        <f>0+D213+F213+G213+H213+I213+J213+K213+L213</f>
        <v>0</v>
      </c>
    </row>
    <row r="214" spans="3:14">
      <c r="C214" t="s">
        <v>60</v>
      </c>
      <c r="D214">
        <f>-74.356*$D$123</f>
        <v>0</v>
      </c>
      <c r="E214">
        <f>23.58*$E$123</f>
        <v>0</v>
      </c>
      <c r="F214">
        <f>-209.632*$F$123</f>
        <v>0</v>
      </c>
      <c r="G214">
        <f>-16.176*$G$123</f>
        <v>0</v>
      </c>
      <c r="H214">
        <f>0*$H$123</f>
        <v>0</v>
      </c>
      <c r="I214">
        <f>-11.164*$I$123</f>
        <v>0</v>
      </c>
      <c r="J214">
        <f>-23.096*$J$123</f>
        <v>0</v>
      </c>
      <c r="K214">
        <f>30.794*$K$123</f>
        <v>0</v>
      </c>
      <c r="L214">
        <f>-306.087*$L$123</f>
        <v>0</v>
      </c>
      <c r="M214">
        <f>0+D214+E214+G214+H214+I214+J214+K214+L214</f>
        <v>0</v>
      </c>
      <c r="N214">
        <f>0+D214+F214+G214+H214+I214+J214+K214+L214</f>
        <v>0</v>
      </c>
    </row>
    <row r="215" spans="3:14">
      <c r="C215" t="s">
        <v>60</v>
      </c>
      <c r="D215">
        <f>-75.802*$D$123</f>
        <v>0</v>
      </c>
      <c r="E215">
        <f>29.752*$E$123</f>
        <v>0</v>
      </c>
      <c r="F215">
        <f>-195.159*$F$123</f>
        <v>0</v>
      </c>
      <c r="G215">
        <f>-13.721*$G$123</f>
        <v>0</v>
      </c>
      <c r="H215">
        <f>0*$H$123</f>
        <v>0</v>
      </c>
      <c r="I215">
        <f>-10.061*$I$123</f>
        <v>0</v>
      </c>
      <c r="J215">
        <f>-25.964*$J$123</f>
        <v>0</v>
      </c>
      <c r="K215">
        <f>34.619*$K$123</f>
        <v>0</v>
      </c>
      <c r="L215">
        <f>-264.528*$L$123</f>
        <v>0</v>
      </c>
      <c r="M215">
        <f>0+D215+E215+G215+H215+I215+J215+K215+L215</f>
        <v>0</v>
      </c>
      <c r="N215">
        <f>0+D215+F215+G215+H215+I215+J215+K215+L215</f>
        <v>0</v>
      </c>
    </row>
    <row r="216" spans="3:14">
      <c r="C216" t="s">
        <v>61</v>
      </c>
      <c r="D216">
        <f>-58.561*$D$123</f>
        <v>0</v>
      </c>
      <c r="E216">
        <f>35.113*$E$123</f>
        <v>0</v>
      </c>
      <c r="F216">
        <f>-182.092*$F$123</f>
        <v>0</v>
      </c>
      <c r="G216">
        <f>-11.592*$G$123</f>
        <v>0</v>
      </c>
      <c r="H216">
        <f>0*$H$123</f>
        <v>0</v>
      </c>
      <c r="I216">
        <f>-8.871*$I$123</f>
        <v>0</v>
      </c>
      <c r="J216">
        <f>-23.728*$J$123</f>
        <v>0</v>
      </c>
      <c r="K216">
        <f>31.637*$K$123</f>
        <v>0</v>
      </c>
      <c r="L216">
        <f>-227.783*$L$123</f>
        <v>0</v>
      </c>
      <c r="M216">
        <f>0+D216+E216+G216+H216+I216+J216+K216+L216</f>
        <v>0</v>
      </c>
      <c r="N216">
        <f>0+D216+F216+G216+H216+I216+J216+K216+L216</f>
        <v>0</v>
      </c>
    </row>
    <row r="217" spans="3:14">
      <c r="C217" t="s">
        <v>61</v>
      </c>
      <c r="D217">
        <f>-61.392*$D$123</f>
        <v>0</v>
      </c>
      <c r="E217">
        <f>39.885*$E$123</f>
        <v>0</v>
      </c>
      <c r="F217">
        <f>-174.446*$F$123</f>
        <v>0</v>
      </c>
      <c r="G217">
        <f>-9.58*$G$123</f>
        <v>0</v>
      </c>
      <c r="H217">
        <f>0*$H$123</f>
        <v>0</v>
      </c>
      <c r="I217">
        <f>-7.95*$I$123</f>
        <v>0</v>
      </c>
      <c r="J217">
        <f>-36.647*$J$123</f>
        <v>0</v>
      </c>
      <c r="K217">
        <f>48.863*$K$123</f>
        <v>0</v>
      </c>
      <c r="L217">
        <f>-195.547*$L$123</f>
        <v>0</v>
      </c>
      <c r="M217">
        <f>0+D217+E217+G217+H217+I217+J217+K217+L217</f>
        <v>0</v>
      </c>
      <c r="N217">
        <f>0+D217+F217+G217+H217+I217+J217+K217+L217</f>
        <v>0</v>
      </c>
    </row>
    <row r="218" spans="3:14">
      <c r="C218" t="s">
        <v>62</v>
      </c>
      <c r="D218">
        <f>-43.379*$D$123</f>
        <v>0</v>
      </c>
      <c r="E218">
        <f>47.857*$E$123</f>
        <v>0</v>
      </c>
      <c r="F218">
        <f>-163.115*$F$123</f>
        <v>0</v>
      </c>
      <c r="G218">
        <f>-7.447*$G$123</f>
        <v>0</v>
      </c>
      <c r="H218">
        <f>0*$H$123</f>
        <v>0</v>
      </c>
      <c r="I218">
        <f>-6.653*$I$123</f>
        <v>0</v>
      </c>
      <c r="J218">
        <f>-36.725*$J$123</f>
        <v>0</v>
      </c>
      <c r="K218">
        <f>48.967*$K$123</f>
        <v>0</v>
      </c>
      <c r="L218">
        <f>-159.947*$L$123</f>
        <v>0</v>
      </c>
      <c r="M218">
        <f>0+D218+E218+G218+H218+I218+J218+K218+L218</f>
        <v>0</v>
      </c>
      <c r="N218">
        <f>0+D218+F218+G218+H218+I218+J218+K218+L218</f>
        <v>0</v>
      </c>
    </row>
    <row r="219" spans="3:14">
      <c r="C219" t="s">
        <v>62</v>
      </c>
      <c r="D219">
        <f>-43.517*$D$123</f>
        <v>0</v>
      </c>
      <c r="E219">
        <f>57.795*$E$123</f>
        <v>0</v>
      </c>
      <c r="F219">
        <f>-150.805*$F$123</f>
        <v>0</v>
      </c>
      <c r="G219">
        <f>-5.159*$G$123</f>
        <v>0</v>
      </c>
      <c r="H219">
        <f>0*$H$123</f>
        <v>0</v>
      </c>
      <c r="I219">
        <f>-5.352*$I$123</f>
        <v>0</v>
      </c>
      <c r="J219">
        <f>-37.61*$J$123</f>
        <v>0</v>
      </c>
      <c r="K219">
        <f>50.147*$K$123</f>
        <v>0</v>
      </c>
      <c r="L219">
        <f>-122.537*$L$123</f>
        <v>0</v>
      </c>
      <c r="M219">
        <f>0+D219+E219+G219+H219+I219+J219+K219+L219</f>
        <v>0</v>
      </c>
      <c r="N219">
        <f>0+D219+F219+G219+H219+I219+J219+K219+L219</f>
        <v>0</v>
      </c>
    </row>
    <row r="220" spans="3:14">
      <c r="C220" t="s">
        <v>63</v>
      </c>
      <c r="D220">
        <f>-25.116*$D$123</f>
        <v>0</v>
      </c>
      <c r="E220">
        <f>66.421*$E$123</f>
        <v>0</v>
      </c>
      <c r="F220">
        <f>-138.878*$F$123</f>
        <v>0</v>
      </c>
      <c r="G220">
        <f>-3.192*$G$123</f>
        <v>0</v>
      </c>
      <c r="H220">
        <f>0*$H$123</f>
        <v>0</v>
      </c>
      <c r="I220">
        <f>-3.99*$I$123</f>
        <v>0</v>
      </c>
      <c r="J220">
        <f>-37.296*$J$123</f>
        <v>0</v>
      </c>
      <c r="K220">
        <f>49.728*$K$123</f>
        <v>0</v>
      </c>
      <c r="L220">
        <f>-87.703*$L$123</f>
        <v>0</v>
      </c>
      <c r="M220">
        <f>0+D220+E220+G220+H220+I220+J220+K220+L220</f>
        <v>0</v>
      </c>
      <c r="N220">
        <f>0+D220+F220+G220+H220+I220+J220+K220+L220</f>
        <v>0</v>
      </c>
    </row>
    <row r="221" spans="3:14">
      <c r="C221" t="s">
        <v>63</v>
      </c>
      <c r="D221">
        <f>-24.9*$D$123</f>
        <v>0</v>
      </c>
      <c r="E221">
        <f>76.373*$E$123</f>
        <v>0</v>
      </c>
      <c r="F221">
        <f>-126.501*$F$123</f>
        <v>0</v>
      </c>
      <c r="G221">
        <f>-0.998*$G$123</f>
        <v>0</v>
      </c>
      <c r="H221">
        <f>0*$H$123</f>
        <v>0</v>
      </c>
      <c r="I221">
        <f>-2.635*$I$123</f>
        <v>0</v>
      </c>
      <c r="J221">
        <f>-38.128*$J$123</f>
        <v>0</v>
      </c>
      <c r="K221">
        <f>50.838*$K$123</f>
        <v>0</v>
      </c>
      <c r="L221">
        <f>-50.391*$L$123</f>
        <v>0</v>
      </c>
      <c r="M221">
        <f>0+D221+E221+G221+H221+I221+J221+K221+L221</f>
        <v>0</v>
      </c>
      <c r="N221">
        <f>0+D221+F221+G221+H221+I221+J221+K221+L221</f>
        <v>0</v>
      </c>
    </row>
    <row r="222" spans="3:14">
      <c r="C222" t="s">
        <v>64</v>
      </c>
      <c r="D222">
        <f>-6.192*$D$123</f>
        <v>0</v>
      </c>
      <c r="E222">
        <f>84.837*$E$123</f>
        <v>0</v>
      </c>
      <c r="F222">
        <f>-114.05*$F$123</f>
        <v>0</v>
      </c>
      <c r="G222">
        <f>0.751*$G$123</f>
        <v>0</v>
      </c>
      <c r="H222">
        <f>0*$H$123</f>
        <v>0</v>
      </c>
      <c r="I222">
        <f>-1.222*$I$123</f>
        <v>0</v>
      </c>
      <c r="J222">
        <f>-36.399*$J$123</f>
        <v>0</v>
      </c>
      <c r="K222">
        <f>48.532*$K$123</f>
        <v>0</v>
      </c>
      <c r="L222">
        <f>-15.096*$L$123</f>
        <v>0</v>
      </c>
      <c r="M222">
        <f>0+D222+E222+G222+H222+I222+J222+K222+L222</f>
        <v>0</v>
      </c>
      <c r="N222">
        <f>0+D222+F222+G222+H222+I222+J222+K222+L222</f>
        <v>0</v>
      </c>
    </row>
    <row r="223" spans="3:14">
      <c r="C223" t="s">
        <v>64</v>
      </c>
      <c r="D223">
        <f>-0.789*$D$123</f>
        <v>0</v>
      </c>
      <c r="E223">
        <f>102.497*$E$123</f>
        <v>0</v>
      </c>
      <c r="F223">
        <f>-92.463*$F$123</f>
        <v>0</v>
      </c>
      <c r="G223">
        <f>-2.994*$G$123</f>
        <v>0</v>
      </c>
      <c r="H223">
        <f>0*$H$123</f>
        <v>0</v>
      </c>
      <c r="I223">
        <f>0.357*$I$123</f>
        <v>0</v>
      </c>
      <c r="J223">
        <f>27.287*$J$123</f>
        <v>0</v>
      </c>
      <c r="K223">
        <f>-36.383*$K$123</f>
        <v>0</v>
      </c>
      <c r="L223">
        <f>-27.005*$L$123</f>
        <v>0</v>
      </c>
      <c r="M223">
        <f>0+D223+E223+G223+H223+I223+J223+K223+L223</f>
        <v>0</v>
      </c>
      <c r="N223">
        <f>0+D223+F223+G223+H223+I223+J223+K223+L223</f>
        <v>0</v>
      </c>
    </row>
    <row r="224" spans="3:14">
      <c r="C224" t="s">
        <v>65</v>
      </c>
      <c r="D224">
        <f>19.992*$D$123</f>
        <v>0</v>
      </c>
      <c r="E224">
        <f>116.439*$E$123</f>
        <v>0</v>
      </c>
      <c r="F224">
        <f>-82.462*$F$123</f>
        <v>0</v>
      </c>
      <c r="G224">
        <f>-1.002*$G$123</f>
        <v>0</v>
      </c>
      <c r="H224">
        <f>0*$H$123</f>
        <v>0</v>
      </c>
      <c r="I224">
        <f>1.935*$I$123</f>
        <v>0</v>
      </c>
      <c r="J224">
        <f>28.954*$J$123</f>
        <v>0</v>
      </c>
      <c r="K224">
        <f>-38.605*$K$123</f>
        <v>0</v>
      </c>
      <c r="L224">
        <f>11.922*$L$123</f>
        <v>0</v>
      </c>
      <c r="M224">
        <f>0+D224+E224+G224+H224+I224+J224+K224+L224</f>
        <v>0</v>
      </c>
      <c r="N224">
        <f>0+D224+F224+G224+H224+I224+J224+K224+L224</f>
        <v>0</v>
      </c>
    </row>
    <row r="225" spans="3:14">
      <c r="C225" t="s">
        <v>65</v>
      </c>
      <c r="D225">
        <f>20.529*$D$123</f>
        <v>0</v>
      </c>
      <c r="E225">
        <f>130.396*$E$123</f>
        <v>0</v>
      </c>
      <c r="F225">
        <f>-71.115*$F$123</f>
        <v>0</v>
      </c>
      <c r="G225">
        <f>1.434*$G$123</f>
        <v>0</v>
      </c>
      <c r="H225">
        <f>0*$H$123</f>
        <v>0</v>
      </c>
      <c r="I225">
        <f>3.466*$I$123</f>
        <v>0</v>
      </c>
      <c r="J225">
        <f>28.067*$J$123</f>
        <v>0</v>
      </c>
      <c r="K225">
        <f>-37.422*$K$123</f>
        <v>0</v>
      </c>
      <c r="L225">
        <f>52.722*$L$123</f>
        <v>0</v>
      </c>
      <c r="M225">
        <f>0+D225+E225+G225+H225+I225+J225+K225+L225</f>
        <v>0</v>
      </c>
      <c r="N225">
        <f>0+D225+F225+G225+H225+I225+J225+K225+L225</f>
        <v>0</v>
      </c>
    </row>
    <row r="226" spans="3:14">
      <c r="C226" t="s">
        <v>66</v>
      </c>
      <c r="D226">
        <f>41.265*$D$123</f>
        <v>0</v>
      </c>
      <c r="E226">
        <f>144.068*$E$123</f>
        <v>0</v>
      </c>
      <c r="F226">
        <f>-60.86*$F$123</f>
        <v>0</v>
      </c>
      <c r="G226">
        <f>3.687*$G$123</f>
        <v>0</v>
      </c>
      <c r="H226">
        <f>0*$H$123</f>
        <v>0</v>
      </c>
      <c r="I226">
        <f>5.028*$I$123</f>
        <v>0</v>
      </c>
      <c r="J226">
        <f>28.379*$J$123</f>
        <v>0</v>
      </c>
      <c r="K226">
        <f>-37.838*$K$123</f>
        <v>0</v>
      </c>
      <c r="L226">
        <f>91.167*$L$123</f>
        <v>0</v>
      </c>
      <c r="M226">
        <f>0+D226+E226+G226+H226+I226+J226+K226+L226</f>
        <v>0</v>
      </c>
      <c r="N226">
        <f>0+D226+F226+G226+H226+I226+J226+K226+L226</f>
        <v>0</v>
      </c>
    </row>
    <row r="227" spans="3:14">
      <c r="C227" t="s">
        <v>66</v>
      </c>
      <c r="D227">
        <f>41.771*$D$123</f>
        <v>0</v>
      </c>
      <c r="E227">
        <f>158.199*$E$123</f>
        <v>0</v>
      </c>
      <c r="F227">
        <f>-49.32*$F$123</f>
        <v>0</v>
      </c>
      <c r="G227">
        <f>6.278*$G$123</f>
        <v>0</v>
      </c>
      <c r="H227">
        <f>0*$H$123</f>
        <v>0</v>
      </c>
      <c r="I227">
        <f>6.545*$I$123</f>
        <v>0</v>
      </c>
      <c r="J227">
        <f>27.671*$J$123</f>
        <v>0</v>
      </c>
      <c r="K227">
        <f>-36.895*$K$123</f>
        <v>0</v>
      </c>
      <c r="L227">
        <f>132.361*$L$123</f>
        <v>0</v>
      </c>
      <c r="M227">
        <f>0+D227+E227+G227+H227+I227+J227+K227+L227</f>
        <v>0</v>
      </c>
      <c r="N227">
        <f>0+D227+F227+G227+H227+I227+J227+K227+L227</f>
        <v>0</v>
      </c>
    </row>
    <row r="228" spans="3:14">
      <c r="C228" t="s">
        <v>67</v>
      </c>
      <c r="D228">
        <f>62.426*$D$123</f>
        <v>0</v>
      </c>
      <c r="E228">
        <f>171.638*$E$123</f>
        <v>0</v>
      </c>
      <c r="F228">
        <f>-38.714*$F$123</f>
        <v>0</v>
      </c>
      <c r="G228">
        <f>8.755*$G$123</f>
        <v>0</v>
      </c>
      <c r="H228">
        <f>0*$H$123</f>
        <v>0</v>
      </c>
      <c r="I228">
        <f>8.08*$I$123</f>
        <v>0</v>
      </c>
      <c r="J228">
        <f>28.221*$J$123</f>
        <v>0</v>
      </c>
      <c r="K228">
        <f>-37.627*$K$123</f>
        <v>0</v>
      </c>
      <c r="L228">
        <f>171.964*$L$123</f>
        <v>0</v>
      </c>
      <c r="M228">
        <f>0+D228+E228+G228+H228+I228+J228+K228+L228</f>
        <v>0</v>
      </c>
      <c r="N228">
        <f>0+D228+F228+G228+H228+I228+J228+K228+L228</f>
        <v>0</v>
      </c>
    </row>
    <row r="229" spans="3:14">
      <c r="C229" t="s">
        <v>67</v>
      </c>
      <c r="D229">
        <f>59.345*$D$123</f>
        <v>0</v>
      </c>
      <c r="E229">
        <f>178.911*$E$123</f>
        <v>0</v>
      </c>
      <c r="F229">
        <f>-31.603*$F$123</f>
        <v>0</v>
      </c>
      <c r="G229">
        <f>10.854*$G$123</f>
        <v>0</v>
      </c>
      <c r="H229">
        <f>0*$H$123</f>
        <v>0</v>
      </c>
      <c r="I229">
        <f>9.08*$I$123</f>
        <v>0</v>
      </c>
      <c r="J229">
        <f>10.362*$J$123</f>
        <v>0</v>
      </c>
      <c r="K229">
        <f>-13.815*$K$123</f>
        <v>0</v>
      </c>
      <c r="L229">
        <f>203.414*$L$123</f>
        <v>0</v>
      </c>
      <c r="M229">
        <f>0+D229+E229+G229+H229+I229+J229+K229+L229</f>
        <v>0</v>
      </c>
      <c r="N229">
        <f>0+D229+F229+G229+H229+I229+J229+K229+L229</f>
        <v>0</v>
      </c>
    </row>
    <row r="230" spans="3:14">
      <c r="C230" t="s">
        <v>68</v>
      </c>
      <c r="D230">
        <f>79.849*$D$123</f>
        <v>0</v>
      </c>
      <c r="E230">
        <f>193.676*$E$123</f>
        <v>0</v>
      </c>
      <c r="F230">
        <f>-23.777*$F$123</f>
        <v>0</v>
      </c>
      <c r="G230">
        <f>13.434*$G$123</f>
        <v>0</v>
      </c>
      <c r="H230">
        <f>0*$H$123</f>
        <v>0</v>
      </c>
      <c r="I230">
        <f>10.587*$I$123</f>
        <v>0</v>
      </c>
      <c r="J230">
        <f>14.97*$J$123</f>
        <v>0</v>
      </c>
      <c r="K230">
        <f>-19.96*$K$123</f>
        <v>0</v>
      </c>
      <c r="L230">
        <f>244.856*$L$123</f>
        <v>0</v>
      </c>
      <c r="M230">
        <f>0+D230+E230+G230+H230+I230+J230+K230+L230</f>
        <v>0</v>
      </c>
      <c r="N230">
        <f>0+D230+F230+G230+H230+I230+J230+K230+L230</f>
        <v>0</v>
      </c>
    </row>
    <row r="231" spans="3:14">
      <c r="C231" t="s">
        <v>68</v>
      </c>
      <c r="D231">
        <f>81.658*$D$123</f>
        <v>0</v>
      </c>
      <c r="E231">
        <f>213.941*$E$123</f>
        <v>0</v>
      </c>
      <c r="F231">
        <f>-16.421*$F$123</f>
        <v>0</v>
      </c>
      <c r="G231">
        <f>16.648*$G$123</f>
        <v>0</v>
      </c>
      <c r="H231">
        <f>0*$H$123</f>
        <v>0</v>
      </c>
      <c r="I231">
        <f>12.261*$I$123</f>
        <v>0</v>
      </c>
      <c r="J231">
        <f>18.492*$J$123</f>
        <v>0</v>
      </c>
      <c r="K231">
        <f>-24.656*$K$123</f>
        <v>0</v>
      </c>
      <c r="L231">
        <f>296.112*$L$123</f>
        <v>0</v>
      </c>
      <c r="M231">
        <f>0+D231+E231+G231+H231+I231+J231+K231+L231</f>
        <v>0</v>
      </c>
      <c r="N231">
        <f>0+D231+F231+G231+H231+I231+J231+K231+L231</f>
        <v>0</v>
      </c>
    </row>
    <row r="232" spans="3:14">
      <c r="C232" t="s">
        <v>69</v>
      </c>
      <c r="D232">
        <f>101.983*$D$123</f>
        <v>0</v>
      </c>
      <c r="E232">
        <f>232.047*$E$123</f>
        <v>0</v>
      </c>
      <c r="F232">
        <f>-9.689*$F$123</f>
        <v>0</v>
      </c>
      <c r="G232">
        <f>19.255*$G$123</f>
        <v>0</v>
      </c>
      <c r="H232">
        <f>0*$H$123</f>
        <v>0</v>
      </c>
      <c r="I232">
        <f>13.739*$I$123</f>
        <v>0</v>
      </c>
      <c r="J232">
        <f>24.723*$J$123</f>
        <v>0</v>
      </c>
      <c r="K232">
        <f>-32.963*$K$123</f>
        <v>0</v>
      </c>
      <c r="L232">
        <f>340.971*$L$123</f>
        <v>0</v>
      </c>
      <c r="M232">
        <f>0+D232+E232+G232+H232+I232+J232+K232+L232</f>
        <v>0</v>
      </c>
      <c r="N232">
        <f>0+D232+F232+G232+H232+I232+J232+K232+L232</f>
        <v>0</v>
      </c>
    </row>
    <row r="237" spans="3:14">
      <c r="C237" t="s">
        <v>71</v>
      </c>
    </row>
    <row r="239" spans="3:14">
      <c r="C239" t="s">
        <v>2</v>
      </c>
    </row>
    <row r="240" spans="3:14">
      <c r="C240" t="s">
        <v>3</v>
      </c>
      <c r="D240" t="s">
        <v>4</v>
      </c>
      <c r="E240" t="s">
        <v>5</v>
      </c>
      <c r="F240" t="s">
        <v>6</v>
      </c>
      <c r="G240" t="s">
        <v>7</v>
      </c>
      <c r="H240" t="s">
        <v>8</v>
      </c>
      <c r="I240" t="s">
        <v>9</v>
      </c>
      <c r="J240" t="s">
        <v>10</v>
      </c>
      <c r="K240" t="s">
        <v>11</v>
      </c>
      <c r="L240" t="s">
        <v>12</v>
      </c>
      <c r="M240" t="s">
        <v>13</v>
      </c>
      <c r="N240" t="s">
        <v>14</v>
      </c>
    </row>
    <row r="241" spans="3:14">
      <c r="C241" t="s">
        <v>15</v>
      </c>
      <c r="D241">
        <f>-5.3606*$D$239</f>
        <v>0</v>
      </c>
      <c r="E241">
        <f>5.3647*$E$239</f>
        <v>0</v>
      </c>
      <c r="F241">
        <f>-14.0446*$F$239</f>
        <v>0</v>
      </c>
      <c r="G241">
        <f>0.6916*$G$239</f>
        <v>0</v>
      </c>
      <c r="H241">
        <f>0*$H$239</f>
        <v>0</v>
      </c>
      <c r="I241">
        <f>-0.8221*$I$239</f>
        <v>0</v>
      </c>
      <c r="J241">
        <f>-97.8027*$J$239</f>
        <v>0</v>
      </c>
      <c r="K241">
        <f>130.4036*$K$239</f>
        <v>0</v>
      </c>
      <c r="L241">
        <f>-0.0012*$L$239</f>
        <v>0</v>
      </c>
      <c r="M241">
        <f>0+D241+E241+G241+H241+I241+J241+K241+L241</f>
        <v>0</v>
      </c>
      <c r="N241">
        <f>0+D241+F241+G241+H241+I241+J241+K241+L241</f>
        <v>0</v>
      </c>
    </row>
    <row r="242" spans="3:14">
      <c r="C242" t="s">
        <v>16</v>
      </c>
      <c r="D242">
        <f>67.2131*$D$239</f>
        <v>0</v>
      </c>
      <c r="E242">
        <f>106.5263*$E$239</f>
        <v>0</v>
      </c>
      <c r="F242">
        <f>-16.6347*$F$239</f>
        <v>0</v>
      </c>
      <c r="G242">
        <f>6.5809*$G$239</f>
        <v>0</v>
      </c>
      <c r="H242">
        <f>0*$H$239</f>
        <v>0</v>
      </c>
      <c r="I242">
        <f>9.5141*$I$239</f>
        <v>0</v>
      </c>
      <c r="J242">
        <f>227.9122*$J$239</f>
        <v>0</v>
      </c>
      <c r="K242">
        <f>-303.8829*$K$239</f>
        <v>0</v>
      </c>
      <c r="L242">
        <f>0.0114*$L$239</f>
        <v>0</v>
      </c>
      <c r="M242">
        <f>0+D242+E242+G242+H242+I242+J242+K242+L242</f>
        <v>0</v>
      </c>
      <c r="N242">
        <f>0+D242+F242+G242+H242+I242+J242+K242+L242</f>
        <v>0</v>
      </c>
    </row>
    <row r="243" spans="3:14">
      <c r="C243" t="s">
        <v>16</v>
      </c>
      <c r="D243">
        <f>57.4373*$D$239</f>
        <v>0</v>
      </c>
      <c r="E243">
        <f>87.2065*$E$239</f>
        <v>0</v>
      </c>
      <c r="F243">
        <f>-4.7678*$F$239</f>
        <v>0</v>
      </c>
      <c r="G243">
        <f>1.869*$G$239</f>
        <v>0</v>
      </c>
      <c r="H243">
        <f>0*$H$239</f>
        <v>0</v>
      </c>
      <c r="I243">
        <f>8.4085*$I$239</f>
        <v>0</v>
      </c>
      <c r="J243">
        <f>94.4454*$J$239</f>
        <v>0</v>
      </c>
      <c r="K243">
        <f>-125.9272*$K$239</f>
        <v>0</v>
      </c>
      <c r="L243">
        <f>-0.0015*$L$239</f>
        <v>0</v>
      </c>
      <c r="M243">
        <f>0+D243+E243+G243+H243+I243+J243+K243+L243</f>
        <v>0</v>
      </c>
      <c r="N243">
        <f>0+D243+F243+G243+H243+I243+J243+K243+L243</f>
        <v>0</v>
      </c>
    </row>
    <row r="244" spans="3:14">
      <c r="C244" t="s">
        <v>17</v>
      </c>
      <c r="D244">
        <f>145.1342*$D$239</f>
        <v>0</v>
      </c>
      <c r="E244">
        <f>207.7497*$E$239</f>
        <v>0</v>
      </c>
      <c r="F244">
        <f>-7.3457*$F$239</f>
        <v>0</v>
      </c>
      <c r="G244">
        <f>14.4964*$G$239</f>
        <v>0</v>
      </c>
      <c r="H244">
        <f>0*$H$239</f>
        <v>0</v>
      </c>
      <c r="I244">
        <f>20.7187*$I$239</f>
        <v>0</v>
      </c>
      <c r="J244">
        <f>166.5009*$J$239</f>
        <v>0</v>
      </c>
      <c r="K244">
        <f>-222.0013*$K$239</f>
        <v>0</v>
      </c>
      <c r="L244">
        <f>0.0092*$L$239</f>
        <v>0</v>
      </c>
      <c r="M244">
        <f>0+D244+E244+G244+H244+I244+J244+K244+L244</f>
        <v>0</v>
      </c>
      <c r="N244">
        <f>0+D244+F244+G244+H244+I244+J244+K244+L244</f>
        <v>0</v>
      </c>
    </row>
    <row r="245" spans="3:14">
      <c r="C245" t="s">
        <v>17</v>
      </c>
      <c r="D245">
        <f>130.7116*$D$239</f>
        <v>0</v>
      </c>
      <c r="E245">
        <f>190.9365*$E$239</f>
        <v>0</v>
      </c>
      <c r="F245">
        <f>-4.5837*$F$239</f>
        <v>0</v>
      </c>
      <c r="G245">
        <f>8.0887*$G$239</f>
        <v>0</v>
      </c>
      <c r="H245">
        <f>0*$H$239</f>
        <v>0</v>
      </c>
      <c r="I245">
        <f>19.0024*$I$239</f>
        <v>0</v>
      </c>
      <c r="J245">
        <f>87.2883*$J$239</f>
        <v>0</v>
      </c>
      <c r="K245">
        <f>-116.3843*$K$239</f>
        <v>0</v>
      </c>
      <c r="L245">
        <f>-0.0018*$L$239</f>
        <v>0</v>
      </c>
      <c r="M245">
        <f>0+D245+E245+G245+H245+I245+J245+K245+L245</f>
        <v>0</v>
      </c>
      <c r="N245">
        <f>0+D245+F245+G245+H245+I245+J245+K245+L245</f>
        <v>0</v>
      </c>
    </row>
    <row r="246" spans="3:14">
      <c r="C246" t="s">
        <v>18</v>
      </c>
      <c r="D246">
        <f>212.9764*$D$239</f>
        <v>0</v>
      </c>
      <c r="E246">
        <f>300.1306*$E$239</f>
        <v>0</v>
      </c>
      <c r="F246">
        <f>-4.8328*$F$239</f>
        <v>0</v>
      </c>
      <c r="G246">
        <f>21.9076*$G$239</f>
        <v>0</v>
      </c>
      <c r="H246">
        <f>0*$H$239</f>
        <v>0</v>
      </c>
      <c r="I246">
        <f>30.4035*$I$239</f>
        <v>0</v>
      </c>
      <c r="J246">
        <f>99.4631*$J$239</f>
        <v>0</v>
      </c>
      <c r="K246">
        <f>-132.6174*$K$239</f>
        <v>0</v>
      </c>
      <c r="L246">
        <f>0.0088*$L$239</f>
        <v>0</v>
      </c>
      <c r="M246">
        <f>0+D246+E246+G246+H246+I246+J246+K246+L246</f>
        <v>0</v>
      </c>
      <c r="N246">
        <f>0+D246+F246+G246+H246+I246+J246+K246+L246</f>
        <v>0</v>
      </c>
    </row>
    <row r="247" spans="3:14">
      <c r="C247" t="s">
        <v>18</v>
      </c>
      <c r="D247">
        <f>197.9171*$D$239</f>
        <v>0</v>
      </c>
      <c r="E247">
        <f>284.1262*$E$239</f>
        <v>0</v>
      </c>
      <c r="F247">
        <f>-4.1732*$F$239</f>
        <v>0</v>
      </c>
      <c r="G247">
        <f>14.1546*$G$239</f>
        <v>0</v>
      </c>
      <c r="H247">
        <f>0*$H$239</f>
        <v>0</v>
      </c>
      <c r="I247">
        <f>28.6612*$I$239</f>
        <v>0</v>
      </c>
      <c r="J247">
        <f>73.803*$J$239</f>
        <v>0</v>
      </c>
      <c r="K247">
        <f>-98.404*$K$239</f>
        <v>0</v>
      </c>
      <c r="L247">
        <f>-0.002*$L$239</f>
        <v>0</v>
      </c>
      <c r="M247">
        <f>0+D247+E247+G247+H247+I247+J247+K247+L247</f>
        <v>0</v>
      </c>
      <c r="N247">
        <f>0+D247+F247+G247+H247+I247+J247+K247+L247</f>
        <v>0</v>
      </c>
    </row>
    <row r="248" spans="3:14">
      <c r="C248" t="s">
        <v>19</v>
      </c>
      <c r="D248">
        <f>269.7458*$D$239</f>
        <v>0</v>
      </c>
      <c r="E248">
        <f>375.4699*$E$239</f>
        <v>0</v>
      </c>
      <c r="F248">
        <f>-5.9784*$F$239</f>
        <v>0</v>
      </c>
      <c r="G248">
        <f>29.1529*$G$239</f>
        <v>0</v>
      </c>
      <c r="H248">
        <f>0*$H$239</f>
        <v>0</v>
      </c>
      <c r="I248">
        <f>38.4024*$I$239</f>
        <v>0</v>
      </c>
      <c r="J248">
        <f>41.3089*$J$239</f>
        <v>0</v>
      </c>
      <c r="K248">
        <f>-55.0785*$K$239</f>
        <v>0</v>
      </c>
      <c r="L248">
        <f>0.0089*$L$239</f>
        <v>0</v>
      </c>
      <c r="M248">
        <f>0+D248+E248+G248+H248+I248+J248+K248+L248</f>
        <v>0</v>
      </c>
      <c r="N248">
        <f>0+D248+F248+G248+H248+I248+J248+K248+L248</f>
        <v>0</v>
      </c>
    </row>
    <row r="249" spans="3:14">
      <c r="C249" t="s">
        <v>19</v>
      </c>
      <c r="D249">
        <f>256.1488*$D$239</f>
        <v>0</v>
      </c>
      <c r="E249">
        <f>361.2784*$E$239</f>
        <v>0</v>
      </c>
      <c r="F249">
        <f>-4.6524*$F$239</f>
        <v>0</v>
      </c>
      <c r="G249">
        <f>21.231*$G$239</f>
        <v>0</v>
      </c>
      <c r="H249">
        <f>0*$H$239</f>
        <v>0</v>
      </c>
      <c r="I249">
        <f>36.8664*$I$239</f>
        <v>0</v>
      </c>
      <c r="J249">
        <f>47.2961*$J$239</f>
        <v>0</v>
      </c>
      <c r="K249">
        <f>-63.0615*$K$239</f>
        <v>0</v>
      </c>
      <c r="L249">
        <f>-0.0032*$L$239</f>
        <v>0</v>
      </c>
      <c r="M249">
        <f>0+D249+E249+G249+H249+I249+J249+K249+L249</f>
        <v>0</v>
      </c>
      <c r="N249">
        <f>0+D249+F249+G249+H249+I249+J249+K249+L249</f>
        <v>0</v>
      </c>
    </row>
    <row r="250" spans="3:14">
      <c r="C250" t="s">
        <v>20</v>
      </c>
      <c r="D250">
        <f>311.2963*$D$239</f>
        <v>0</v>
      </c>
      <c r="E250">
        <f>417.7425*$E$239</f>
        <v>0</v>
      </c>
      <c r="F250">
        <f>-7.2587*$F$239</f>
        <v>0</v>
      </c>
      <c r="G250">
        <f>42.3214*$G$239</f>
        <v>0</v>
      </c>
      <c r="H250">
        <f>0*$H$239</f>
        <v>0</v>
      </c>
      <c r="I250">
        <f>43.7876*$I$239</f>
        <v>0</v>
      </c>
      <c r="J250">
        <f>-102.0536*$J$239</f>
        <v>0</v>
      </c>
      <c r="K250">
        <f>136.0715*$K$239</f>
        <v>0</v>
      </c>
      <c r="L250">
        <f>0.0045*$L$239</f>
        <v>0</v>
      </c>
      <c r="M250">
        <f>0+D250+E250+G250+H250+I250+J250+K250+L250</f>
        <v>0</v>
      </c>
      <c r="N250">
        <f>0+D250+F250+G250+H250+I250+J250+K250+L250</f>
        <v>0</v>
      </c>
    </row>
    <row r="251" spans="3:14">
      <c r="C251" t="s">
        <v>20</v>
      </c>
      <c r="D251">
        <f>296.5771*$D$239</f>
        <v>0</v>
      </c>
      <c r="E251">
        <f>399.8382*$E$239</f>
        <v>0</v>
      </c>
      <c r="F251">
        <f>-5.9017*$F$239</f>
        <v>0</v>
      </c>
      <c r="G251">
        <f>38.422*$G$239</f>
        <v>0</v>
      </c>
      <c r="H251">
        <f>0*$H$239</f>
        <v>0</v>
      </c>
      <c r="I251">
        <f>41.8349*$I$239</f>
        <v>0</v>
      </c>
      <c r="J251">
        <f>-107.3795*$J$239</f>
        <v>0</v>
      </c>
      <c r="K251">
        <f>143.1726*$K$239</f>
        <v>0</v>
      </c>
      <c r="L251">
        <f>0.0056*$L$239</f>
        <v>0</v>
      </c>
      <c r="M251">
        <f>0+D251+E251+G251+H251+I251+J251+K251+L251</f>
        <v>0</v>
      </c>
      <c r="N251">
        <f>0+D251+F251+G251+H251+I251+J251+K251+L251</f>
        <v>0</v>
      </c>
    </row>
    <row r="252" spans="3:14">
      <c r="C252" t="s">
        <v>21</v>
      </c>
      <c r="D252">
        <f>356.1698*$D$239</f>
        <v>0</v>
      </c>
      <c r="E252">
        <f>498.75*$E$239</f>
        <v>0</v>
      </c>
      <c r="F252">
        <f>-9.0372*$F$239</f>
        <v>0</v>
      </c>
      <c r="G252">
        <f>34.4204*$G$239</f>
        <v>0</v>
      </c>
      <c r="H252">
        <f>0*$H$239</f>
        <v>0</v>
      </c>
      <c r="I252">
        <f>50.9311*$I$239</f>
        <v>0</v>
      </c>
      <c r="J252">
        <f>48.7232*$J$239</f>
        <v>0</v>
      </c>
      <c r="K252">
        <f>-64.9643*$K$239</f>
        <v>0</v>
      </c>
      <c r="L252">
        <f>0.012*$L$239</f>
        <v>0</v>
      </c>
      <c r="M252">
        <f>0+D252+E252+G252+H252+I252+J252+K252+L252</f>
        <v>0</v>
      </c>
      <c r="N252">
        <f>0+D252+F252+G252+H252+I252+J252+K252+L252</f>
        <v>0</v>
      </c>
    </row>
    <row r="253" spans="3:14">
      <c r="C253" t="s">
        <v>21</v>
      </c>
      <c r="D253">
        <f>343.1144*$D$239</f>
        <v>0</v>
      </c>
      <c r="E253">
        <f>472.5839*$E$239</f>
        <v>0</v>
      </c>
      <c r="F253">
        <f>-7.0318*$F$239</f>
        <v>0</v>
      </c>
      <c r="G253">
        <f>32.7025*$G$239</f>
        <v>0</v>
      </c>
      <c r="H253">
        <f>0*$H$239</f>
        <v>0</v>
      </c>
      <c r="I253">
        <f>49.0971*$I$239</f>
        <v>0</v>
      </c>
      <c r="J253">
        <f>8.6438*$J$239</f>
        <v>0</v>
      </c>
      <c r="K253">
        <f>-11.5251*$K$239</f>
        <v>0</v>
      </c>
      <c r="L253">
        <f>-0.000203*$L$239</f>
        <v>0</v>
      </c>
      <c r="M253">
        <f>0+D253+E253+G253+H253+I253+J253+K253+L253</f>
        <v>0</v>
      </c>
      <c r="N253">
        <f>0+D253+F253+G253+H253+I253+J253+K253+L253</f>
        <v>0</v>
      </c>
    </row>
    <row r="254" spans="3:14">
      <c r="C254" t="s">
        <v>22</v>
      </c>
      <c r="D254">
        <f>383.7347*$D$239</f>
        <v>0</v>
      </c>
      <c r="E254">
        <f>535.7208*$E$239</f>
        <v>0</v>
      </c>
      <c r="F254">
        <f>-10.2436*$F$239</f>
        <v>0</v>
      </c>
      <c r="G254">
        <f>35.4887*$G$239</f>
        <v>0</v>
      </c>
      <c r="H254">
        <f>0*$H$239</f>
        <v>0</v>
      </c>
      <c r="I254">
        <f>54.9957*$I$239</f>
        <v>0</v>
      </c>
      <c r="J254">
        <f>54.8092*$J$239</f>
        <v>0</v>
      </c>
      <c r="K254">
        <f>-73.0789*$K$239</f>
        <v>0</v>
      </c>
      <c r="L254">
        <f>0.0112*$L$239</f>
        <v>0</v>
      </c>
      <c r="M254">
        <f>0+D254+E254+G254+H254+I254+J254+K254+L254</f>
        <v>0</v>
      </c>
      <c r="N254">
        <f>0+D254+F254+G254+H254+I254+J254+K254+L254</f>
        <v>0</v>
      </c>
    </row>
    <row r="255" spans="3:14">
      <c r="C255" t="s">
        <v>22</v>
      </c>
      <c r="D255">
        <f>375.4781*$D$239</f>
        <v>0</v>
      </c>
      <c r="E255">
        <f>517.7969*$E$239</f>
        <v>0</v>
      </c>
      <c r="F255">
        <f>-8.3197*$F$239</f>
        <v>0</v>
      </c>
      <c r="G255">
        <f>33.5654*$G$239</f>
        <v>0</v>
      </c>
      <c r="H255">
        <f>0*$H$239</f>
        <v>0</v>
      </c>
      <c r="I255">
        <f>53.8743*$I$239</f>
        <v>0</v>
      </c>
      <c r="J255">
        <f>32.9317*$J$239</f>
        <v>0</v>
      </c>
      <c r="K255">
        <f>-43.909*$K$239</f>
        <v>0</v>
      </c>
      <c r="L255">
        <f>0.000393*$L$239</f>
        <v>0</v>
      </c>
      <c r="M255">
        <f>0+D255+E255+G255+H255+I255+J255+K255+L255</f>
        <v>0</v>
      </c>
      <c r="N255">
        <f>0+D255+F255+G255+H255+I255+J255+K255+L255</f>
        <v>0</v>
      </c>
    </row>
    <row r="256" spans="3:14">
      <c r="C256" t="s">
        <v>23</v>
      </c>
      <c r="D256">
        <f>401.3718*$D$239</f>
        <v>0</v>
      </c>
      <c r="E256">
        <f>557.5432*$E$239</f>
        <v>0</v>
      </c>
      <c r="F256">
        <f>-11.4694*$F$239</f>
        <v>0</v>
      </c>
      <c r="G256">
        <f>38.023*$G$239</f>
        <v>0</v>
      </c>
      <c r="H256">
        <f>0*$H$239</f>
        <v>0</v>
      </c>
      <c r="I256">
        <f>57.459*$I$239</f>
        <v>0</v>
      </c>
      <c r="J256">
        <f>40.8404*$J$239</f>
        <v>0</v>
      </c>
      <c r="K256">
        <f>-54.4539*$K$239</f>
        <v>0</v>
      </c>
      <c r="L256">
        <f>0.0122*$L$239</f>
        <v>0</v>
      </c>
      <c r="M256">
        <f>0+D256+E256+G256+H256+I256+J256+K256+L256</f>
        <v>0</v>
      </c>
      <c r="N256">
        <f>0+D256+F256+G256+H256+I256+J256+K256+L256</f>
        <v>0</v>
      </c>
    </row>
    <row r="257" spans="3:14">
      <c r="C257" t="s">
        <v>23</v>
      </c>
      <c r="D257">
        <f>398.6033*$D$239</f>
        <v>0</v>
      </c>
      <c r="E257">
        <f>549.4621*$E$239</f>
        <v>0</v>
      </c>
      <c r="F257">
        <f>-9.6832*$F$239</f>
        <v>0</v>
      </c>
      <c r="G257">
        <f>34.6681*$G$239</f>
        <v>0</v>
      </c>
      <c r="H257">
        <f>0*$H$239</f>
        <v>0</v>
      </c>
      <c r="I257">
        <f>57.2432*$I$239</f>
        <v>0</v>
      </c>
      <c r="J257">
        <f>42.0236*$J$239</f>
        <v>0</v>
      </c>
      <c r="K257">
        <f>-56.0315*$K$239</f>
        <v>0</v>
      </c>
      <c r="L257">
        <f>0.0009809*$L$239</f>
        <v>0</v>
      </c>
      <c r="M257">
        <f>0+D257+E257+G257+H257+I257+J257+K257+L257</f>
        <v>0</v>
      </c>
      <c r="N257">
        <f>0+D257+F257+G257+H257+I257+J257+K257+L257</f>
        <v>0</v>
      </c>
    </row>
    <row r="258" spans="3:14">
      <c r="C258" t="s">
        <v>24</v>
      </c>
      <c r="D258">
        <f>409.6114*$D$239</f>
        <v>0</v>
      </c>
      <c r="E258">
        <f>564.9785*$E$239</f>
        <v>0</v>
      </c>
      <c r="F258">
        <f>-12.6053*$F$239</f>
        <v>0</v>
      </c>
      <c r="G258">
        <f>41.2967*$G$239</f>
        <v>0</v>
      </c>
      <c r="H258">
        <f>0*$H$239</f>
        <v>0</v>
      </c>
      <c r="I258">
        <f>58.4571*$I$239</f>
        <v>0</v>
      </c>
      <c r="J258">
        <f>16.0091*$J$239</f>
        <v>0</v>
      </c>
      <c r="K258">
        <f>-21.3455*$K$239</f>
        <v>0</v>
      </c>
      <c r="L258">
        <f>0.0131*$L$239</f>
        <v>0</v>
      </c>
      <c r="M258">
        <f>0+D258+E258+G258+H258+I258+J258+K258+L258</f>
        <v>0</v>
      </c>
      <c r="N258">
        <f>0+D258+F258+G258+H258+I258+J258+K258+L258</f>
        <v>0</v>
      </c>
    </row>
    <row r="259" spans="3:14">
      <c r="C259" t="s">
        <v>24</v>
      </c>
      <c r="D259">
        <f>412.2279*$D$239</f>
        <v>0</v>
      </c>
      <c r="E259">
        <f>565.2768*$E$239</f>
        <v>0</v>
      </c>
      <c r="F259">
        <f>-11.0529*$F$239</f>
        <v>0</v>
      </c>
      <c r="G259">
        <f>37.3258*$G$239</f>
        <v>0</v>
      </c>
      <c r="H259">
        <f>0*$H$239</f>
        <v>0</v>
      </c>
      <c r="I259">
        <f>59.0695*$I$239</f>
        <v>0</v>
      </c>
      <c r="J259">
        <f>30.9032*$J$239</f>
        <v>0</v>
      </c>
      <c r="K259">
        <f>-41.2043*$K$239</f>
        <v>0</v>
      </c>
      <c r="L259">
        <f>-0.0006891*$L$239</f>
        <v>0</v>
      </c>
      <c r="M259">
        <f>0+D259+E259+G259+H259+I259+J259+K259+L259</f>
        <v>0</v>
      </c>
      <c r="N259">
        <f>0+D259+F259+G259+H259+I259+J259+K259+L259</f>
        <v>0</v>
      </c>
    </row>
    <row r="260" spans="3:14">
      <c r="C260" t="s">
        <v>25</v>
      </c>
      <c r="D260">
        <f>403.0471*$D$239</f>
        <v>0</v>
      </c>
      <c r="E260">
        <f>538.4162*$E$239</f>
        <v>0</v>
      </c>
      <c r="F260">
        <f>-13.2812*$F$239</f>
        <v>0</v>
      </c>
      <c r="G260">
        <f>53.2986*$G$239</f>
        <v>0</v>
      </c>
      <c r="H260">
        <f>0*$H$239</f>
        <v>0</v>
      </c>
      <c r="I260">
        <f>56.7351*$I$239</f>
        <v>0</v>
      </c>
      <c r="J260">
        <f>-80.6882*$J$239</f>
        <v>0</v>
      </c>
      <c r="K260">
        <f>107.5843*$K$239</f>
        <v>0</v>
      </c>
      <c r="L260">
        <f>0.0066*$L$239</f>
        <v>0</v>
      </c>
      <c r="M260">
        <f>0+D260+E260+G260+H260+I260+J260+K260+L260</f>
        <v>0</v>
      </c>
      <c r="N260">
        <f>0+D260+F260+G260+H260+I260+J260+K260+L260</f>
        <v>0</v>
      </c>
    </row>
    <row r="261" spans="3:14">
      <c r="C261" t="s">
        <v>25</v>
      </c>
      <c r="D261">
        <f>407.6123*$D$239</f>
        <v>0</v>
      </c>
      <c r="E261">
        <f>534.5532*$E$239</f>
        <v>0</v>
      </c>
      <c r="F261">
        <f>-12.0454*$F$239</f>
        <v>0</v>
      </c>
      <c r="G261">
        <f>53.3058*$G$239</f>
        <v>0</v>
      </c>
      <c r="H261">
        <f>0*$H$239</f>
        <v>0</v>
      </c>
      <c r="I261">
        <f>57.3847*$I$239</f>
        <v>0</v>
      </c>
      <c r="J261">
        <f>-82.7341*$J$239</f>
        <v>0</v>
      </c>
      <c r="K261">
        <f>110.3122*$K$239</f>
        <v>0</v>
      </c>
      <c r="L261">
        <f>0.009*$L$239</f>
        <v>0</v>
      </c>
      <c r="M261">
        <f>0+D261+E261+G261+H261+I261+J261+K261+L261</f>
        <v>0</v>
      </c>
      <c r="N261">
        <f>0+D261+F261+G261+H261+I261+J261+K261+L261</f>
        <v>0</v>
      </c>
    </row>
    <row r="262" spans="3:14">
      <c r="C262" t="s">
        <v>26</v>
      </c>
      <c r="D262">
        <f>404.3361*$D$239</f>
        <v>0</v>
      </c>
      <c r="E262">
        <f>564.7998*$E$239</f>
        <v>0</v>
      </c>
      <c r="F262">
        <f>-15.6172*$F$239</f>
        <v>0</v>
      </c>
      <c r="G262">
        <f>37.023*$G$239</f>
        <v>0</v>
      </c>
      <c r="H262">
        <f>0*$H$239</f>
        <v>0</v>
      </c>
      <c r="I262">
        <f>57.9326*$I$239</f>
        <v>0</v>
      </c>
      <c r="J262">
        <f>34.0028*$J$239</f>
        <v>0</v>
      </c>
      <c r="K262">
        <f>-45.3371*$K$239</f>
        <v>0</v>
      </c>
      <c r="L262">
        <f>0.0156*$L$239</f>
        <v>0</v>
      </c>
      <c r="M262">
        <f>0+D262+E262+G262+H262+I262+J262+K262+L262</f>
        <v>0</v>
      </c>
      <c r="N262">
        <f>0+D262+F262+G262+H262+I262+J262+K262+L262</f>
        <v>0</v>
      </c>
    </row>
    <row r="263" spans="3:14">
      <c r="C263" t="s">
        <v>26</v>
      </c>
      <c r="D263">
        <f>409.2209*$D$239</f>
        <v>0</v>
      </c>
      <c r="E263">
        <f>554.8704*$E$239</f>
        <v>0</v>
      </c>
      <c r="F263">
        <f>-13.8048*$F$239</f>
        <v>0</v>
      </c>
      <c r="G263">
        <f>40.4673*$G$239</f>
        <v>0</v>
      </c>
      <c r="H263">
        <f>0*$H$239</f>
        <v>0</v>
      </c>
      <c r="I263">
        <f>58.4281*$I$239</f>
        <v>0</v>
      </c>
      <c r="J263">
        <f>10.4056*$J$239</f>
        <v>0</v>
      </c>
      <c r="K263">
        <f>-13.8742*$K$239</f>
        <v>0</v>
      </c>
      <c r="L263">
        <f>0.0012*$L$239</f>
        <v>0</v>
      </c>
      <c r="M263">
        <f>0+D263+E263+G263+H263+I263+J263+K263+L263</f>
        <v>0</v>
      </c>
      <c r="N263">
        <f>0+D263+F263+G263+H263+I263+J263+K263+L263</f>
        <v>0</v>
      </c>
    </row>
    <row r="264" spans="3:14">
      <c r="C264" t="s">
        <v>27</v>
      </c>
      <c r="D264">
        <f>386.5512*$D$239</f>
        <v>0</v>
      </c>
      <c r="E264">
        <f>543.3384*$E$239</f>
        <v>0</v>
      </c>
      <c r="F264">
        <f>-16.9382*$F$239</f>
        <v>0</v>
      </c>
      <c r="G264">
        <f>33.8821*$G$239</f>
        <v>0</v>
      </c>
      <c r="H264">
        <f>0*$H$239</f>
        <v>0</v>
      </c>
      <c r="I264">
        <f>55.5151*$I$239</f>
        <v>0</v>
      </c>
      <c r="J264">
        <f>44.525*$J$239</f>
        <v>0</v>
      </c>
      <c r="K264">
        <f>-59.3667*$K$239</f>
        <v>0</v>
      </c>
      <c r="L264">
        <f>0.0136*$L$239</f>
        <v>0</v>
      </c>
      <c r="M264">
        <f>0+D264+E264+G264+H264+I264+J264+K264+L264</f>
        <v>0</v>
      </c>
      <c r="N264">
        <f>0+D264+F264+G264+H264+I264+J264+K264+L264</f>
        <v>0</v>
      </c>
    </row>
    <row r="265" spans="3:14">
      <c r="C265" t="s">
        <v>27</v>
      </c>
      <c r="D265">
        <f>396.2279*$D$239</f>
        <v>0</v>
      </c>
      <c r="E265">
        <f>542.0892*$E$239</f>
        <v>0</v>
      </c>
      <c r="F265">
        <f>-15.4843*$F$239</f>
        <v>0</v>
      </c>
      <c r="G265">
        <f>36.3881*$G$239</f>
        <v>0</v>
      </c>
      <c r="H265">
        <f>0*$H$239</f>
        <v>0</v>
      </c>
      <c r="I265">
        <f>56.7775*$I$239</f>
        <v>0</v>
      </c>
      <c r="J265">
        <f>32.088*$J$239</f>
        <v>0</v>
      </c>
      <c r="K265">
        <f>-42.784*$K$239</f>
        <v>0</v>
      </c>
      <c r="L265">
        <f>0.0013*$L$239</f>
        <v>0</v>
      </c>
      <c r="M265">
        <f>0+D265+E265+G265+H265+I265+J265+K265+L265</f>
        <v>0</v>
      </c>
      <c r="N265">
        <f>0+D265+F265+G265+H265+I265+J265+K265+L265</f>
        <v>0</v>
      </c>
    </row>
    <row r="266" spans="3:14">
      <c r="C266" t="s">
        <v>28</v>
      </c>
      <c r="D266">
        <f>359.7758*$D$239</f>
        <v>0</v>
      </c>
      <c r="E266">
        <f>505.9721*$E$239</f>
        <v>0</v>
      </c>
      <c r="F266">
        <f>-17.7279*$F$239</f>
        <v>0</v>
      </c>
      <c r="G266">
        <f>32.494*$G$239</f>
        <v>0</v>
      </c>
      <c r="H266">
        <f>0*$H$239</f>
        <v>0</v>
      </c>
      <c r="I266">
        <f>51.6138*$I$239</f>
        <v>0</v>
      </c>
      <c r="J266">
        <f>36.4689*$J$239</f>
        <v>0</v>
      </c>
      <c r="K266">
        <f>-48.6252*$K$239</f>
        <v>0</v>
      </c>
      <c r="L266">
        <f>0.0137*$L$239</f>
        <v>0</v>
      </c>
      <c r="M266">
        <f>0+D266+E266+G266+H266+I266+J266+K266+L266</f>
        <v>0</v>
      </c>
      <c r="N266">
        <f>0+D266+F266+G266+H266+I266+J266+K266+L266</f>
        <v>0</v>
      </c>
    </row>
    <row r="267" spans="3:14">
      <c r="C267" t="s">
        <v>28</v>
      </c>
      <c r="D267">
        <f>373.5192*$D$239</f>
        <v>0</v>
      </c>
      <c r="E267">
        <f>515.1966*$E$239</f>
        <v>0</v>
      </c>
      <c r="F267">
        <f>-17.3286*$F$239</f>
        <v>0</v>
      </c>
      <c r="G267">
        <f>32.9304*$G$239</f>
        <v>0</v>
      </c>
      <c r="H267">
        <f>0*$H$239</f>
        <v>0</v>
      </c>
      <c r="I267">
        <f>53.6257*$I$239</f>
        <v>0</v>
      </c>
      <c r="J267">
        <f>42.1178*$J$239</f>
        <v>0</v>
      </c>
      <c r="K267">
        <f>-56.1571*$K$239</f>
        <v>0</v>
      </c>
      <c r="L267">
        <f>0.0019*$L$239</f>
        <v>0</v>
      </c>
      <c r="M267">
        <f>0+D267+E267+G267+H267+I267+J267+K267+L267</f>
        <v>0</v>
      </c>
      <c r="N267">
        <f>0+D267+F267+G267+H267+I267+J267+K267+L267</f>
        <v>0</v>
      </c>
    </row>
    <row r="268" spans="3:14">
      <c r="C268" t="s">
        <v>29</v>
      </c>
      <c r="D268">
        <f>324.6627*$D$239</f>
        <v>0</v>
      </c>
      <c r="E268">
        <f>454.9318*$E$239</f>
        <v>0</v>
      </c>
      <c r="F268">
        <f>-18.2799*$F$239</f>
        <v>0</v>
      </c>
      <c r="G268">
        <f>31.6331*$G$239</f>
        <v>0</v>
      </c>
      <c r="H268">
        <f>0*$H$239</f>
        <v>0</v>
      </c>
      <c r="I268">
        <f>46.413*$I$239</f>
        <v>0</v>
      </c>
      <c r="J268">
        <f>15.6637*$J$239</f>
        <v>0</v>
      </c>
      <c r="K268">
        <f>-20.885*$K$239</f>
        <v>0</v>
      </c>
      <c r="L268">
        <f>0.0124*$L$239</f>
        <v>0</v>
      </c>
      <c r="M268">
        <f>0+D268+E268+G268+H268+I268+J268+K268+L268</f>
        <v>0</v>
      </c>
      <c r="N268">
        <f>0+D268+F268+G268+H268+I268+J268+K268+L268</f>
        <v>0</v>
      </c>
    </row>
    <row r="269" spans="3:14">
      <c r="C269" t="s">
        <v>29</v>
      </c>
      <c r="D269">
        <f>341.3066*$D$239</f>
        <v>0</v>
      </c>
      <c r="E269">
        <f>473.3164*$E$239</f>
        <v>0</v>
      </c>
      <c r="F269">
        <f>-18.9557*$F$239</f>
        <v>0</v>
      </c>
      <c r="G269">
        <f>31.0801*$G$239</f>
        <v>0</v>
      </c>
      <c r="H269">
        <f>0*$H$239</f>
        <v>0</v>
      </c>
      <c r="I269">
        <f>48.9238*$I$239</f>
        <v>0</v>
      </c>
      <c r="J269">
        <f>33.9479*$J$239</f>
        <v>0</v>
      </c>
      <c r="K269">
        <f>-45.2639*$K$239</f>
        <v>0</v>
      </c>
      <c r="L269">
        <f>-0.0008488*$L$239</f>
        <v>0</v>
      </c>
      <c r="M269">
        <f>0+D269+E269+G269+H269+I269+J269+K269+L269</f>
        <v>0</v>
      </c>
      <c r="N269">
        <f>0+D269+F269+G269+H269+I269+J269+K269+L269</f>
        <v>0</v>
      </c>
    </row>
    <row r="270" spans="3:14">
      <c r="C270" t="s">
        <v>30</v>
      </c>
      <c r="D270">
        <f>280.298*$D$239</f>
        <v>0</v>
      </c>
      <c r="E270">
        <f>377.8605*$E$239</f>
        <v>0</v>
      </c>
      <c r="F270">
        <f>-16.7595*$F$239</f>
        <v>0</v>
      </c>
      <c r="G270">
        <f>38.9692*$G$239</f>
        <v>0</v>
      </c>
      <c r="H270">
        <f>0*$H$239</f>
        <v>0</v>
      </c>
      <c r="I270">
        <f>39.3101*$I$239</f>
        <v>0</v>
      </c>
      <c r="J270">
        <f>-82.4032*$J$239</f>
        <v>0</v>
      </c>
      <c r="K270">
        <f>109.8709*$K$239</f>
        <v>0</v>
      </c>
      <c r="L270">
        <f>-0.002*$L$239</f>
        <v>0</v>
      </c>
      <c r="M270">
        <f>0+D270+E270+G270+H270+I270+J270+K270+L270</f>
        <v>0</v>
      </c>
      <c r="N270">
        <f>0+D270+F270+G270+H270+I270+J270+K270+L270</f>
        <v>0</v>
      </c>
    </row>
    <row r="271" spans="3:14">
      <c r="C271" t="s">
        <v>30</v>
      </c>
      <c r="D271">
        <f>301.753*$D$239</f>
        <v>0</v>
      </c>
      <c r="E271">
        <f>389.6044*$E$239</f>
        <v>0</v>
      </c>
      <c r="F271">
        <f>-16.9269*$F$239</f>
        <v>0</v>
      </c>
      <c r="G271">
        <f>41.021*$G$239</f>
        <v>0</v>
      </c>
      <c r="H271">
        <f>0*$H$239</f>
        <v>0</v>
      </c>
      <c r="I271">
        <f>42.342*$I$239</f>
        <v>0</v>
      </c>
      <c r="J271">
        <f>-90.7579*$J$239</f>
        <v>0</v>
      </c>
      <c r="K271">
        <f>121.0105*$K$239</f>
        <v>0</v>
      </c>
      <c r="L271">
        <f>0.0006467*$L$239</f>
        <v>0</v>
      </c>
      <c r="M271">
        <f>0+D271+E271+G271+H271+I271+J271+K271+L271</f>
        <v>0</v>
      </c>
      <c r="N271">
        <f>0+D271+F271+G271+H271+I271+J271+K271+L271</f>
        <v>0</v>
      </c>
    </row>
    <row r="272" spans="3:14">
      <c r="C272" t="s">
        <v>31</v>
      </c>
      <c r="D272">
        <f>234.2233*$D$239</f>
        <v>0</v>
      </c>
      <c r="E272">
        <f>336.8531*$E$239</f>
        <v>0</v>
      </c>
      <c r="F272">
        <f>-20.9998*$F$239</f>
        <v>0</v>
      </c>
      <c r="G272">
        <f>20.136*$G$239</f>
        <v>0</v>
      </c>
      <c r="H272">
        <f>0*$H$239</f>
        <v>0</v>
      </c>
      <c r="I272">
        <f>33.6915*$I$239</f>
        <v>0</v>
      </c>
      <c r="J272">
        <f>40.6862*$J$239</f>
        <v>0</v>
      </c>
      <c r="K272">
        <f>-54.2483*$K$239</f>
        <v>0</v>
      </c>
      <c r="L272">
        <f>0.0162*$L$239</f>
        <v>0</v>
      </c>
      <c r="M272">
        <f>0+D272+E272+G272+H272+I272+J272+K272+L272</f>
        <v>0</v>
      </c>
      <c r="N272">
        <f>0+D272+F272+G272+H272+I272+J272+K272+L272</f>
        <v>0</v>
      </c>
    </row>
    <row r="273" spans="3:14">
      <c r="C273" t="s">
        <v>31</v>
      </c>
      <c r="D273">
        <f>250.579*$D$239</f>
        <v>0</v>
      </c>
      <c r="E273">
        <f>344.4415*$E$239</f>
        <v>0</v>
      </c>
      <c r="F273">
        <f>-20.414*$F$239</f>
        <v>0</v>
      </c>
      <c r="G273">
        <f>25.2689*$G$239</f>
        <v>0</v>
      </c>
      <c r="H273">
        <f>0*$H$239</f>
        <v>0</v>
      </c>
      <c r="I273">
        <f>35.8008*$I$239</f>
        <v>0</v>
      </c>
      <c r="J273">
        <f>20.9426*$J$239</f>
        <v>0</v>
      </c>
      <c r="K273">
        <f>-27.9234*$K$239</f>
        <v>0</v>
      </c>
      <c r="L273">
        <f>0.0038*$L$239</f>
        <v>0</v>
      </c>
      <c r="M273">
        <f>0+D273+E273+G273+H273+I273+J273+K273+L273</f>
        <v>0</v>
      </c>
      <c r="N273">
        <f>0+D273+F273+G273+H273+I273+J273+K273+L273</f>
        <v>0</v>
      </c>
    </row>
    <row r="274" spans="3:14">
      <c r="C274" t="s">
        <v>32</v>
      </c>
      <c r="D274">
        <f>178.6592*$D$239</f>
        <v>0</v>
      </c>
      <c r="E274">
        <f>263.9393*$E$239</f>
        <v>0</v>
      </c>
      <c r="F274">
        <f>-22.342*$F$239</f>
        <v>0</v>
      </c>
      <c r="G274">
        <f>12.7606*$G$239</f>
        <v>0</v>
      </c>
      <c r="H274">
        <f>0*$H$239</f>
        <v>0</v>
      </c>
      <c r="I274">
        <f>25.9296*$I$239</f>
        <v>0</v>
      </c>
      <c r="J274">
        <f>64.6091*$J$239</f>
        <v>0</v>
      </c>
      <c r="K274">
        <f>-86.1455*$K$239</f>
        <v>0</v>
      </c>
      <c r="L274">
        <f>0.018*$L$239</f>
        <v>0</v>
      </c>
      <c r="M274">
        <f>0+D274+E274+G274+H274+I274+J274+K274+L274</f>
        <v>0</v>
      </c>
      <c r="N274">
        <f>0+D274+F274+G274+H274+I274+J274+K274+L274</f>
        <v>0</v>
      </c>
    </row>
    <row r="275" spans="3:14">
      <c r="C275" t="s">
        <v>32</v>
      </c>
      <c r="D275">
        <f>192.364*$D$239</f>
        <v>0</v>
      </c>
      <c r="E275">
        <f>271.8615*$E$239</f>
        <v>0</v>
      </c>
      <c r="F275">
        <f>-22.8483*$F$239</f>
        <v>0</v>
      </c>
      <c r="G275">
        <f>16.9724*$G$239</f>
        <v>0</v>
      </c>
      <c r="H275">
        <f>0*$H$239</f>
        <v>0</v>
      </c>
      <c r="I275">
        <f>27.7213*$I$239</f>
        <v>0</v>
      </c>
      <c r="J275">
        <f>61.2437*$J$239</f>
        <v>0</v>
      </c>
      <c r="K275">
        <f>-81.6583*$K$239</f>
        <v>0</v>
      </c>
      <c r="L275">
        <f>0.0107*$L$239</f>
        <v>0</v>
      </c>
      <c r="M275">
        <f>0+D275+E275+G275+H275+I275+J275+K275+L275</f>
        <v>0</v>
      </c>
      <c r="N275">
        <f>0+D275+F275+G275+H275+I275+J275+K275+L275</f>
        <v>0</v>
      </c>
    </row>
    <row r="276" spans="3:14">
      <c r="C276" t="s">
        <v>33</v>
      </c>
      <c r="D276">
        <f>119.1528*$D$239</f>
        <v>0</v>
      </c>
      <c r="E276">
        <f>178.934*$E$239</f>
        <v>0</v>
      </c>
      <c r="F276">
        <f>-19.9554*$F$239</f>
        <v>0</v>
      </c>
      <c r="G276">
        <f>7.3934*$G$239</f>
        <v>0</v>
      </c>
      <c r="H276">
        <f>0*$H$239</f>
        <v>0</v>
      </c>
      <c r="I276">
        <f>17.4072*$I$239</f>
        <v>0</v>
      </c>
      <c r="J276">
        <f>65.3081*$J$239</f>
        <v>0</v>
      </c>
      <c r="K276">
        <f>-87.0775*$K$239</f>
        <v>0</v>
      </c>
      <c r="L276">
        <f>0.021*$L$239</f>
        <v>0</v>
      </c>
      <c r="M276">
        <f>0+D276+E276+G276+H276+I276+J276+K276+L276</f>
        <v>0</v>
      </c>
      <c r="N276">
        <f>0+D276+F276+G276+H276+I276+J276+K276+L276</f>
        <v>0</v>
      </c>
    </row>
    <row r="277" spans="3:14">
      <c r="C277" t="s">
        <v>33</v>
      </c>
      <c r="D277">
        <f>125.7575*$D$239</f>
        <v>0</v>
      </c>
      <c r="E277">
        <f>185.3496*$E$239</f>
        <v>0</v>
      </c>
      <c r="F277">
        <f>-23.5828*$F$239</f>
        <v>0</v>
      </c>
      <c r="G277">
        <f>9.3077*$G$239</f>
        <v>0</v>
      </c>
      <c r="H277">
        <f>0*$H$239</f>
        <v>0</v>
      </c>
      <c r="I277">
        <f>18.34*$I$239</f>
        <v>0</v>
      </c>
      <c r="J277">
        <f>92.832*$J$239</f>
        <v>0</v>
      </c>
      <c r="K277">
        <f>-123.776*$K$239</f>
        <v>0</v>
      </c>
      <c r="L277">
        <f>0.0185*$L$239</f>
        <v>0</v>
      </c>
      <c r="M277">
        <f>0+D277+E277+G277+H277+I277+J277+K277+L277</f>
        <v>0</v>
      </c>
      <c r="N277">
        <f>0+D277+F277+G277+H277+I277+J277+K277+L277</f>
        <v>0</v>
      </c>
    </row>
    <row r="278" spans="3:14">
      <c r="C278" t="s">
        <v>34</v>
      </c>
      <c r="D278">
        <f>60.2956*$D$239</f>
        <v>0</v>
      </c>
      <c r="E278">
        <f>92.3547*$E$239</f>
        <v>0</v>
      </c>
      <c r="F278">
        <f>-15.1126*$F$239</f>
        <v>0</v>
      </c>
      <c r="G278">
        <f>2.9931*$G$239</f>
        <v>0</v>
      </c>
      <c r="H278">
        <f>0*$H$239</f>
        <v>0</v>
      </c>
      <c r="I278">
        <f>8.87*$I$239</f>
        <v>0</v>
      </c>
      <c r="J278">
        <f>47.3172*$J$239</f>
        <v>0</v>
      </c>
      <c r="K278">
        <f>-63.0896*$K$239</f>
        <v>0</v>
      </c>
      <c r="L278">
        <f>0.0178*$L$239</f>
        <v>0</v>
      </c>
      <c r="M278">
        <f>0+D278+E278+G278+H278+I278+J278+K278+L278</f>
        <v>0</v>
      </c>
      <c r="N278">
        <f>0+D278+F278+G278+H278+I278+J278+K278+L278</f>
        <v>0</v>
      </c>
    </row>
    <row r="279" spans="3:14">
      <c r="C279" t="s">
        <v>34</v>
      </c>
      <c r="D279">
        <f>55.5722*$D$239</f>
        <v>0</v>
      </c>
      <c r="E279">
        <f>93.1895*$E$239</f>
        <v>0</v>
      </c>
      <c r="F279">
        <f>-21.6104*$F$239</f>
        <v>0</v>
      </c>
      <c r="G279">
        <f>2.8031*$G$239</f>
        <v>0</v>
      </c>
      <c r="H279">
        <f>0*$H$239</f>
        <v>0</v>
      </c>
      <c r="I279">
        <f>8.2966*$I$239</f>
        <v>0</v>
      </c>
      <c r="J279">
        <f>105.0602*$J$239</f>
        <v>0</v>
      </c>
      <c r="K279">
        <f>-140.0803*$K$239</f>
        <v>0</v>
      </c>
      <c r="L279">
        <f>0.0178*$L$239</f>
        <v>0</v>
      </c>
      <c r="M279">
        <f>0+D279+E279+G279+H279+I279+J279+K279+L279</f>
        <v>0</v>
      </c>
      <c r="N279">
        <f>0+D279+F279+G279+H279+I279+J279+K279+L279</f>
        <v>0</v>
      </c>
    </row>
    <row r="280" spans="3:14">
      <c r="C280" t="s">
        <v>35</v>
      </c>
      <c r="D280">
        <f>23.4902*$D$239</f>
        <v>0</v>
      </c>
      <c r="E280">
        <f>41.4956*$E$239</f>
        <v>0</v>
      </c>
      <c r="F280">
        <f>-22.8824*$F$239</f>
        <v>0</v>
      </c>
      <c r="G280">
        <f>5.3856*$G$239</f>
        <v>0</v>
      </c>
      <c r="H280">
        <f>0*$H$239</f>
        <v>0</v>
      </c>
      <c r="I280">
        <f>3.0378*$I$239</f>
        <v>0</v>
      </c>
      <c r="J280">
        <f>-80.7928*$J$239</f>
        <v>0</v>
      </c>
      <c r="K280">
        <f>107.7237*$K$239</f>
        <v>0</v>
      </c>
      <c r="L280">
        <f>-0.0184*$L$239</f>
        <v>0</v>
      </c>
      <c r="M280">
        <f>0+D280+E280+G280+H280+I280+J280+K280+L280</f>
        <v>0</v>
      </c>
      <c r="N280">
        <f>0+D280+F280+G280+H280+I280+J280+K280+L280</f>
        <v>0</v>
      </c>
    </row>
    <row r="281" spans="3:14">
      <c r="C281" t="s">
        <v>35</v>
      </c>
      <c r="D281">
        <f>20.4552*$D$239</f>
        <v>0</v>
      </c>
      <c r="E281">
        <f>23.5954*$E$239</f>
        <v>0</v>
      </c>
      <c r="F281">
        <f>-4.828*$F$239</f>
        <v>0</v>
      </c>
      <c r="G281">
        <f>3.3318*$G$239</f>
        <v>0</v>
      </c>
      <c r="H281">
        <f>0*$H$239</f>
        <v>0</v>
      </c>
      <c r="I281">
        <f>2.7861*$I$239</f>
        <v>0</v>
      </c>
      <c r="J281">
        <f>-44.8238*$J$239</f>
        <v>0</v>
      </c>
      <c r="K281">
        <f>59.765*$K$239</f>
        <v>0</v>
      </c>
      <c r="L281">
        <f>-0.0067*$L$239</f>
        <v>0</v>
      </c>
      <c r="M281">
        <f>0+D281+E281+G281+H281+I281+J281+K281+L281</f>
        <v>0</v>
      </c>
      <c r="N281">
        <f>0+D281+F281+G281+H281+I281+J281+K281+L281</f>
        <v>0</v>
      </c>
    </row>
    <row r="282" spans="3:14">
      <c r="C282" t="s">
        <v>36</v>
      </c>
      <c r="D282">
        <f>4.0639*$D$239</f>
        <v>0</v>
      </c>
      <c r="E282">
        <f>5.3798*$E$239</f>
        <v>0</v>
      </c>
      <c r="F282">
        <f>-2.3648*$F$239</f>
        <v>0</v>
      </c>
      <c r="G282">
        <f>0.525*$G$239</f>
        <v>0</v>
      </c>
      <c r="H282">
        <f>0*$H$239</f>
        <v>0</v>
      </c>
      <c r="I282">
        <f>0.5358*$I$239</f>
        <v>0</v>
      </c>
      <c r="J282">
        <f>-16.8807*$J$239</f>
        <v>0</v>
      </c>
      <c r="K282">
        <f>22.5076*$K$239</f>
        <v>0</v>
      </c>
      <c r="L282">
        <f>0.0011*$L$239</f>
        <v>0</v>
      </c>
      <c r="M282">
        <f>0+D282+E282+G282+H282+I282+J282+K282+L282</f>
        <v>0</v>
      </c>
      <c r="N282">
        <f>0+D282+F282+G282+H282+I282+J282+K282+L282</f>
        <v>0</v>
      </c>
    </row>
    <row r="283" spans="3:14">
      <c r="C283" t="s">
        <v>36</v>
      </c>
      <c r="D283">
        <f>4.5233*$D$239</f>
        <v>0</v>
      </c>
      <c r="E283">
        <f>7.8413*$E$239</f>
        <v>0</v>
      </c>
      <c r="F283">
        <f>-4.3265*$F$239</f>
        <v>0</v>
      </c>
      <c r="G283">
        <f>0.4527*$G$239</f>
        <v>0</v>
      </c>
      <c r="H283">
        <f>0*$H$239</f>
        <v>0</v>
      </c>
      <c r="I283">
        <f>0.6062*$I$239</f>
        <v>0</v>
      </c>
      <c r="J283">
        <f>-17.7374*$J$239</f>
        <v>0</v>
      </c>
      <c r="K283">
        <f>23.6499*$K$239</f>
        <v>0</v>
      </c>
      <c r="L283">
        <f>-0.0791*$L$239</f>
        <v>0</v>
      </c>
      <c r="M283">
        <f>0+D283+E283+G283+H283+I283+J283+K283+L283</f>
        <v>0</v>
      </c>
      <c r="N283">
        <f>0+D283+F283+G283+H283+I283+J283+K283+L283</f>
        <v>0</v>
      </c>
    </row>
    <row r="284" spans="3:14">
      <c r="C284" t="s">
        <v>37</v>
      </c>
      <c r="D284">
        <f>20.3178*$D$239</f>
        <v>0</v>
      </c>
      <c r="E284">
        <f>22.1648*$E$239</f>
        <v>0</v>
      </c>
      <c r="F284">
        <f>-2.6665*$F$239</f>
        <v>0</v>
      </c>
      <c r="G284">
        <f>3.1964*$G$239</f>
        <v>0</v>
      </c>
      <c r="H284">
        <f>0*$H$239</f>
        <v>0</v>
      </c>
      <c r="I284">
        <f>2.7732*$I$239</f>
        <v>0</v>
      </c>
      <c r="J284">
        <f>-45.8869*$J$239</f>
        <v>0</v>
      </c>
      <c r="K284">
        <f>61.1826*$K$239</f>
        <v>0</v>
      </c>
      <c r="L284">
        <f>-0.1198*$L$239</f>
        <v>0</v>
      </c>
      <c r="M284">
        <f>0+D284+E284+G284+H284+I284+J284+K284+L284</f>
        <v>0</v>
      </c>
      <c r="N284">
        <f>0+D284+F284+G284+H284+I284+J284+K284+L284</f>
        <v>0</v>
      </c>
    </row>
    <row r="285" spans="3:14">
      <c r="C285" t="s">
        <v>37</v>
      </c>
      <c r="D285">
        <f>24.8466*$D$239</f>
        <v>0</v>
      </c>
      <c r="E285">
        <f>34.9586*$E$239</f>
        <v>0</v>
      </c>
      <c r="F285">
        <f>-12.1759*$F$239</f>
        <v>0</v>
      </c>
      <c r="G285">
        <f>5.1064*$G$239</f>
        <v>0</v>
      </c>
      <c r="H285">
        <f>0*$H$239</f>
        <v>0</v>
      </c>
      <c r="I285">
        <f>3.2479*$I$239</f>
        <v>0</v>
      </c>
      <c r="J285">
        <f>-83.7801*$J$239</f>
        <v>0</v>
      </c>
      <c r="K285">
        <f>111.7068*$K$239</f>
        <v>0</v>
      </c>
      <c r="L285">
        <f>0.2355*$L$239</f>
        <v>0</v>
      </c>
      <c r="M285">
        <f>0+D285+E285+G285+H285+I285+J285+K285+L285</f>
        <v>0</v>
      </c>
      <c r="N285">
        <f>0+D285+F285+G285+H285+I285+J285+K285+L285</f>
        <v>0</v>
      </c>
    </row>
    <row r="286" spans="3:14">
      <c r="C286" t="s">
        <v>38</v>
      </c>
      <c r="D286">
        <f>53.3798*$D$239</f>
        <v>0</v>
      </c>
      <c r="E286">
        <f>93.7919*$E$239</f>
        <v>0</v>
      </c>
      <c r="F286">
        <f>-15.396*$F$239</f>
        <v>0</v>
      </c>
      <c r="G286">
        <f>2.7336*$G$239</f>
        <v>0</v>
      </c>
      <c r="H286">
        <f>0*$H$239</f>
        <v>0</v>
      </c>
      <c r="I286">
        <f>7.9744*$I$239</f>
        <v>0</v>
      </c>
      <c r="J286">
        <f>106.3459*$J$239</f>
        <v>0</v>
      </c>
      <c r="K286">
        <f>-141.7946*$K$239</f>
        <v>0</v>
      </c>
      <c r="L286">
        <f>-0.1196*$L$239</f>
        <v>0</v>
      </c>
      <c r="M286">
        <f>0+D286+E286+G286+H286+I286+J286+K286+L286</f>
        <v>0</v>
      </c>
      <c r="N286">
        <f>0+D286+F286+G286+H286+I286+J286+K286+L286</f>
        <v>0</v>
      </c>
    </row>
    <row r="287" spans="3:14">
      <c r="C287" t="s">
        <v>38</v>
      </c>
      <c r="D287">
        <f>59.962*$D$239</f>
        <v>0</v>
      </c>
      <c r="E287">
        <f>91.7708*$E$239</f>
        <v>0</v>
      </c>
      <c r="F287">
        <f>-6.1325*$F$239</f>
        <v>0</v>
      </c>
      <c r="G287">
        <f>2.791*$G$239</f>
        <v>0</v>
      </c>
      <c r="H287">
        <f>0*$H$239</f>
        <v>0</v>
      </c>
      <c r="I287">
        <f>8.822*$I$239</f>
        <v>0</v>
      </c>
      <c r="J287">
        <f>46.5571*$J$239</f>
        <v>0</v>
      </c>
      <c r="K287">
        <f>-62.0761*$K$239</f>
        <v>0</v>
      </c>
      <c r="L287">
        <f>0.0286*$L$239</f>
        <v>0</v>
      </c>
      <c r="M287">
        <f>0+D287+E287+G287+H287+I287+J287+K287+L287</f>
        <v>0</v>
      </c>
      <c r="N287">
        <f>0+D287+F287+G287+H287+I287+J287+K287+L287</f>
        <v>0</v>
      </c>
    </row>
    <row r="288" spans="3:14">
      <c r="C288" t="s">
        <v>39</v>
      </c>
      <c r="D288">
        <f>120.679*$D$239</f>
        <v>0</v>
      </c>
      <c r="E288">
        <f>183.6609*$E$239</f>
        <v>0</v>
      </c>
      <c r="F288">
        <f>-12.5452*$F$239</f>
        <v>0</v>
      </c>
      <c r="G288">
        <f>9.1343*$G$239</f>
        <v>0</v>
      </c>
      <c r="H288">
        <f>0*$H$239</f>
        <v>0</v>
      </c>
      <c r="I288">
        <f>17.5984*$I$239</f>
        <v>0</v>
      </c>
      <c r="J288">
        <f>95.2561*$J$239</f>
        <v>0</v>
      </c>
      <c r="K288">
        <f>-127.0082*$K$239</f>
        <v>0</v>
      </c>
      <c r="L288">
        <f>-0.1671*$L$239</f>
        <v>0</v>
      </c>
      <c r="M288">
        <f>0+D288+E288+G288+H288+I288+J288+K288+L288</f>
        <v>0</v>
      </c>
      <c r="N288">
        <f>0+D288+F288+G288+H288+I288+J288+K288+L288</f>
        <v>0</v>
      </c>
    </row>
    <row r="289" spans="3:14">
      <c r="C289" t="s">
        <v>39</v>
      </c>
      <c r="D289">
        <f>116.6703*$D$239</f>
        <v>0</v>
      </c>
      <c r="E289">
        <f>175.4294*$E$239</f>
        <v>0</v>
      </c>
      <c r="F289">
        <f>-7.0983*$F$239</f>
        <v>0</v>
      </c>
      <c r="G289">
        <f>7.0915*$G$239</f>
        <v>0</v>
      </c>
      <c r="H289">
        <f>0*$H$239</f>
        <v>0</v>
      </c>
      <c r="I289">
        <f>17.0453*$I$239</f>
        <v>0</v>
      </c>
      <c r="J289">
        <f>65.3893*$J$239</f>
        <v>0</v>
      </c>
      <c r="K289">
        <f>-87.1858*$K$239</f>
        <v>0</v>
      </c>
      <c r="L289">
        <f>0.1549*$L$239</f>
        <v>0</v>
      </c>
      <c r="M289">
        <f>0+D289+E289+G289+H289+I289+J289+K289+L289</f>
        <v>0</v>
      </c>
      <c r="N289">
        <f>0+D289+F289+G289+H289+I289+J289+K289+L289</f>
        <v>0</v>
      </c>
    </row>
    <row r="290" spans="3:14">
      <c r="C290" t="s">
        <v>40</v>
      </c>
      <c r="D290">
        <f>185.0298*$D$239</f>
        <v>0</v>
      </c>
      <c r="E290">
        <f>267.6942*$E$239</f>
        <v>0</v>
      </c>
      <c r="F290">
        <f>-7.3411*$F$239</f>
        <v>0</v>
      </c>
      <c r="G290">
        <f>16.576*$G$239</f>
        <v>0</v>
      </c>
      <c r="H290">
        <f>0*$H$239</f>
        <v>0</v>
      </c>
      <c r="I290">
        <f>26.6583*$I$239</f>
        <v>0</v>
      </c>
      <c r="J290">
        <f>63.4677*$J$239</f>
        <v>0</v>
      </c>
      <c r="K290">
        <f>-84.6236*$K$239</f>
        <v>0</v>
      </c>
      <c r="L290">
        <f>-0.1206*$L$239</f>
        <v>0</v>
      </c>
      <c r="M290">
        <f>0+D290+E290+G290+H290+I290+J290+K290+L290</f>
        <v>0</v>
      </c>
      <c r="N290">
        <f>0+D290+F290+G290+H290+I290+J290+K290+L290</f>
        <v>0</v>
      </c>
    </row>
    <row r="291" spans="3:14">
      <c r="C291" t="s">
        <v>40</v>
      </c>
      <c r="D291">
        <f>174.2413*$D$239</f>
        <v>0</v>
      </c>
      <c r="E291">
        <f>257.4508*$E$239</f>
        <v>0</v>
      </c>
      <c r="F291">
        <f>-5.4862*$F$239</f>
        <v>0</v>
      </c>
      <c r="G291">
        <f>12.2729*$G$239</f>
        <v>0</v>
      </c>
      <c r="H291">
        <f>0*$H$239</f>
        <v>0</v>
      </c>
      <c r="I291">
        <f>25.2896*$I$239</f>
        <v>0</v>
      </c>
      <c r="J291">
        <f>64.696*$J$239</f>
        <v>0</v>
      </c>
      <c r="K291">
        <f>-86.2614*$K$239</f>
        <v>0</v>
      </c>
      <c r="L291">
        <f>0.3225*$L$239</f>
        <v>0</v>
      </c>
      <c r="M291">
        <f>0+D291+E291+G291+H291+I291+J291+K291+L291</f>
        <v>0</v>
      </c>
      <c r="N291">
        <f>0+D291+F291+G291+H291+I291+J291+K291+L291</f>
        <v>0</v>
      </c>
    </row>
    <row r="292" spans="3:14">
      <c r="C292" t="s">
        <v>41</v>
      </c>
      <c r="D292">
        <f>241.3933*$D$239</f>
        <v>0</v>
      </c>
      <c r="E292">
        <f>338.3611*$E$239</f>
        <v>0</v>
      </c>
      <c r="F292">
        <f>-5.376*$F$239</f>
        <v>0</v>
      </c>
      <c r="G292">
        <f>24.6002*$G$239</f>
        <v>0</v>
      </c>
      <c r="H292">
        <f>0*$H$239</f>
        <v>0</v>
      </c>
      <c r="I292">
        <f>34.4777*$I$239</f>
        <v>0</v>
      </c>
      <c r="J292">
        <f>22.3578*$J$239</f>
        <v>0</v>
      </c>
      <c r="K292">
        <f>-29.8104*$K$239</f>
        <v>0</v>
      </c>
      <c r="L292">
        <f>-0.1246*$L$239</f>
        <v>0</v>
      </c>
      <c r="M292">
        <f>0+D292+E292+G292+H292+I292+J292+K292+L292</f>
        <v>0</v>
      </c>
      <c r="N292">
        <f>0+D292+F292+G292+H292+I292+J292+K292+L292</f>
        <v>0</v>
      </c>
    </row>
    <row r="293" spans="3:14">
      <c r="C293" t="s">
        <v>41</v>
      </c>
      <c r="D293">
        <f>227.9961*$D$239</f>
        <v>0</v>
      </c>
      <c r="E293">
        <f>327.3825*$E$239</f>
        <v>0</v>
      </c>
      <c r="F293">
        <f>-4.7061*$F$239</f>
        <v>0</v>
      </c>
      <c r="G293">
        <f>19.4127*$G$239</f>
        <v>0</v>
      </c>
      <c r="H293">
        <f>0*$H$239</f>
        <v>0</v>
      </c>
      <c r="I293">
        <f>32.7944*$I$239</f>
        <v>0</v>
      </c>
      <c r="J293">
        <f>40.2909*$J$239</f>
        <v>0</v>
      </c>
      <c r="K293">
        <f>-53.7212*$K$239</f>
        <v>0</v>
      </c>
      <c r="L293">
        <f>0.3707*$L$239</f>
        <v>0</v>
      </c>
      <c r="M293">
        <f>0+D293+E293+G293+H293+I293+J293+K293+L293</f>
        <v>0</v>
      </c>
      <c r="N293">
        <f>0+D293+F293+G293+H293+I293+J293+K293+L293</f>
        <v>0</v>
      </c>
    </row>
    <row r="294" spans="3:14">
      <c r="C294" t="s">
        <v>42</v>
      </c>
      <c r="D294">
        <f>291.304*$D$239</f>
        <v>0</v>
      </c>
      <c r="E294">
        <f>382.0742*$E$239</f>
        <v>0</v>
      </c>
      <c r="F294">
        <f>-6.4591*$F$239</f>
        <v>0</v>
      </c>
      <c r="G294">
        <f>39.9406*$G$239</f>
        <v>0</v>
      </c>
      <c r="H294">
        <f>0*$H$239</f>
        <v>0</v>
      </c>
      <c r="I294">
        <f>40.8527*$I$239</f>
        <v>0</v>
      </c>
      <c r="J294">
        <f>-91.6843*$J$239</f>
        <v>0</v>
      </c>
      <c r="K294">
        <f>122.2458*$K$239</f>
        <v>0</v>
      </c>
      <c r="L294">
        <f>-0.5668*$L$239</f>
        <v>0</v>
      </c>
      <c r="M294">
        <f>0+D294+E294+G294+H294+I294+J294+K294+L294</f>
        <v>0</v>
      </c>
      <c r="N294">
        <f>0+D294+F294+G294+H294+I294+J294+K294+L294</f>
        <v>0</v>
      </c>
    </row>
    <row r="295" spans="3:14">
      <c r="C295" t="s">
        <v>42</v>
      </c>
      <c r="D295">
        <f>273.3332*$D$239</f>
        <v>0</v>
      </c>
      <c r="E295">
        <f>367.2854*$E$239</f>
        <v>0</v>
      </c>
      <c r="F295">
        <f>-5.616*$F$239</f>
        <v>0</v>
      </c>
      <c r="G295">
        <f>37.8951*$G$239</f>
        <v>0</v>
      </c>
      <c r="H295">
        <f>0*$H$239</f>
        <v>0</v>
      </c>
      <c r="I295">
        <f>38.3174*$I$239</f>
        <v>0</v>
      </c>
      <c r="J295">
        <f>-84.7533*$J$239</f>
        <v>0</v>
      </c>
      <c r="K295">
        <f>113.0043*$K$239</f>
        <v>0</v>
      </c>
      <c r="L295">
        <f>0.6473*$L$239</f>
        <v>0</v>
      </c>
      <c r="M295">
        <f>0+D295+E295+G295+H295+I295+J295+K295+L295</f>
        <v>0</v>
      </c>
      <c r="N295">
        <f>0+D295+F295+G295+H295+I295+J295+K295+L295</f>
        <v>0</v>
      </c>
    </row>
    <row r="296" spans="3:14">
      <c r="C296" t="s">
        <v>43</v>
      </c>
      <c r="D296">
        <f>327.8782*$D$239</f>
        <v>0</v>
      </c>
      <c r="E296">
        <f>462.4773*$E$239</f>
        <v>0</v>
      </c>
      <c r="F296">
        <f>-7.9262*$F$239</f>
        <v>0</v>
      </c>
      <c r="G296">
        <f>29.9861*$G$239</f>
        <v>0</v>
      </c>
      <c r="H296">
        <f>0*$H$239</f>
        <v>0</v>
      </c>
      <c r="I296">
        <f>46.9945*$I$239</f>
        <v>0</v>
      </c>
      <c r="J296">
        <f>35.1595*$J$239</f>
        <v>0</v>
      </c>
      <c r="K296">
        <f>-46.8793*$K$239</f>
        <v>0</v>
      </c>
      <c r="L296">
        <f>-0.0088*$L$239</f>
        <v>0</v>
      </c>
      <c r="M296">
        <f>0+D296+E296+G296+H296+I296+J296+K296+L296</f>
        <v>0</v>
      </c>
      <c r="N296">
        <f>0+D296+F296+G296+H296+I296+J296+K296+L296</f>
        <v>0</v>
      </c>
    </row>
    <row r="297" spans="3:14">
      <c r="C297" t="s">
        <v>43</v>
      </c>
      <c r="D297">
        <f>315.0374*$D$239</f>
        <v>0</v>
      </c>
      <c r="E297">
        <f>439.0424*$E$239</f>
        <v>0</v>
      </c>
      <c r="F297">
        <f>-6.7365*$F$239</f>
        <v>0</v>
      </c>
      <c r="G297">
        <f>30.424*$G$239</f>
        <v>0</v>
      </c>
      <c r="H297">
        <f>0*$H$239</f>
        <v>0</v>
      </c>
      <c r="I297">
        <f>45.0336*$I$239</f>
        <v>0</v>
      </c>
      <c r="J297">
        <f>14.1471*$J$239</f>
        <v>0</v>
      </c>
      <c r="K297">
        <f>-18.8628*$K$239</f>
        <v>0</v>
      </c>
      <c r="L297">
        <f>0.7405*$L$239</f>
        <v>0</v>
      </c>
      <c r="M297">
        <f>0+D297+E297+G297+H297+I297+J297+K297+L297</f>
        <v>0</v>
      </c>
      <c r="N297">
        <f>0+D297+F297+G297+H297+I297+J297+K297+L297</f>
        <v>0</v>
      </c>
    </row>
    <row r="298" spans="3:14">
      <c r="C298" t="s">
        <v>44</v>
      </c>
      <c r="D298">
        <f>358.1313*$D$239</f>
        <v>0</v>
      </c>
      <c r="E298">
        <f>501.4181*$E$239</f>
        <v>0</v>
      </c>
      <c r="F298">
        <f>-9.084*$F$239</f>
        <v>0</v>
      </c>
      <c r="G298">
        <f>31.5917*$G$239</f>
        <v>0</v>
      </c>
      <c r="H298">
        <f>0*$H$239</f>
        <v>0</v>
      </c>
      <c r="I298">
        <f>51.4186*$I$239</f>
        <v>0</v>
      </c>
      <c r="J298">
        <f>42.8842*$J$239</f>
        <v>0</v>
      </c>
      <c r="K298">
        <f>-57.179*$K$239</f>
        <v>0</v>
      </c>
      <c r="L298">
        <f>-0.1269*$L$239</f>
        <v>0</v>
      </c>
      <c r="M298">
        <f>0+D298+E298+G298+H298+I298+J298+K298+L298</f>
        <v>0</v>
      </c>
      <c r="N298">
        <f>0+D298+F298+G298+H298+I298+J298+K298+L298</f>
        <v>0</v>
      </c>
    </row>
    <row r="299" spans="3:14">
      <c r="C299" t="s">
        <v>44</v>
      </c>
      <c r="D299">
        <f>348.0955*$D$239</f>
        <v>0</v>
      </c>
      <c r="E299">
        <f>486.8922*$E$239</f>
        <v>0</v>
      </c>
      <c r="F299">
        <f>-8.1472*$F$239</f>
        <v>0</v>
      </c>
      <c r="G299">
        <f>31.0397*$G$239</f>
        <v>0</v>
      </c>
      <c r="H299">
        <f>0*$H$239</f>
        <v>0</v>
      </c>
      <c r="I299">
        <f>49.9421*$I$239</f>
        <v>0</v>
      </c>
      <c r="J299">
        <f>34.5425*$J$239</f>
        <v>0</v>
      </c>
      <c r="K299">
        <f>-46.0567*$K$239</f>
        <v>0</v>
      </c>
      <c r="L299">
        <f>0.9457*$L$239</f>
        <v>0</v>
      </c>
      <c r="M299">
        <f>0+D299+E299+G299+H299+I299+J299+K299+L299</f>
        <v>0</v>
      </c>
      <c r="N299">
        <f>0+D299+F299+G299+H299+I299+J299+K299+L299</f>
        <v>0</v>
      </c>
    </row>
    <row r="300" spans="3:14">
      <c r="C300" t="s">
        <v>45</v>
      </c>
      <c r="D300">
        <f>378.9369*$D$239</f>
        <v>0</v>
      </c>
      <c r="E300">
        <f>525.625*$E$239</f>
        <v>0</v>
      </c>
      <c r="F300">
        <f>-10.2767*$F$239</f>
        <v>0</v>
      </c>
      <c r="G300">
        <f>34.8153*$G$239</f>
        <v>0</v>
      </c>
      <c r="H300">
        <f>0*$H$239</f>
        <v>0</v>
      </c>
      <c r="I300">
        <f>54.2997*$I$239</f>
        <v>0</v>
      </c>
      <c r="J300">
        <f>32.528*$J$239</f>
        <v>0</v>
      </c>
      <c r="K300">
        <f>-43.3706*$K$239</f>
        <v>0</v>
      </c>
      <c r="L300">
        <f>-0.2216*$L$239</f>
        <v>0</v>
      </c>
      <c r="M300">
        <f>0+D300+E300+G300+H300+I300+J300+K300+L300</f>
        <v>0</v>
      </c>
      <c r="N300">
        <f>0+D300+F300+G300+H300+I300+J300+K300+L300</f>
        <v>0</v>
      </c>
    </row>
    <row r="301" spans="3:14">
      <c r="C301" t="s">
        <v>45</v>
      </c>
      <c r="D301">
        <f>372.8853*$D$239</f>
        <v>0</v>
      </c>
      <c r="E301">
        <f>521.3994*$E$239</f>
        <v>0</v>
      </c>
      <c r="F301">
        <f>-9.5489*$F$239</f>
        <v>0</v>
      </c>
      <c r="G301">
        <f>32.1278*$G$239</f>
        <v>0</v>
      </c>
      <c r="H301">
        <f>0*$H$239</f>
        <v>0</v>
      </c>
      <c r="I301">
        <f>53.5648*$I$239</f>
        <v>0</v>
      </c>
      <c r="J301">
        <f>41.664*$J$239</f>
        <v>0</v>
      </c>
      <c r="K301">
        <f>-55.552*$K$239</f>
        <v>0</v>
      </c>
      <c r="L301">
        <f>1.1163*$L$239</f>
        <v>0</v>
      </c>
      <c r="M301">
        <f>0+D301+E301+G301+H301+I301+J301+K301+L301</f>
        <v>0</v>
      </c>
      <c r="N301">
        <f>0+D301+F301+G301+H301+I301+J301+K301+L301</f>
        <v>0</v>
      </c>
    </row>
    <row r="302" spans="3:14">
      <c r="C302" t="s">
        <v>46</v>
      </c>
      <c r="D302">
        <f>389.9636*$D$239</f>
        <v>0</v>
      </c>
      <c r="E302">
        <f>535.6354*$E$239</f>
        <v>0</v>
      </c>
      <c r="F302">
        <f>-11.528*$F$239</f>
        <v>0</v>
      </c>
      <c r="G302">
        <f>38.7113*$G$239</f>
        <v>0</v>
      </c>
      <c r="H302">
        <f>0*$H$239</f>
        <v>0</v>
      </c>
      <c r="I302">
        <f>55.6664*$I$239</f>
        <v>0</v>
      </c>
      <c r="J302">
        <f>11.0879*$J$239</f>
        <v>0</v>
      </c>
      <c r="K302">
        <f>-14.7839*$K$239</f>
        <v>0</v>
      </c>
      <c r="L302">
        <f>-0.3753*$L$239</f>
        <v>0</v>
      </c>
      <c r="M302">
        <f>0+D302+E302+G302+H302+I302+J302+K302+L302</f>
        <v>0</v>
      </c>
      <c r="N302">
        <f>0+D302+F302+G302+H302+I302+J302+K302+L302</f>
        <v>0</v>
      </c>
    </row>
    <row r="303" spans="3:14">
      <c r="C303" t="s">
        <v>46</v>
      </c>
      <c r="D303">
        <f>388.6497*$D$239</f>
        <v>0</v>
      </c>
      <c r="E303">
        <f>540.0913*$E$239</f>
        <v>0</v>
      </c>
      <c r="F303">
        <f>-10.9361*$F$239</f>
        <v>0</v>
      </c>
      <c r="G303">
        <f>34.947*$G$239</f>
        <v>0</v>
      </c>
      <c r="H303">
        <f>0*$H$239</f>
        <v>0</v>
      </c>
      <c r="I303">
        <f>55.6998*$I$239</f>
        <v>0</v>
      </c>
      <c r="J303">
        <f>30.1012*$J$239</f>
        <v>0</v>
      </c>
      <c r="K303">
        <f>-40.135*$K$239</f>
        <v>0</v>
      </c>
      <c r="L303">
        <f>1.1179*$L$239</f>
        <v>0</v>
      </c>
      <c r="M303">
        <f>0+D303+E303+G303+H303+I303+J303+K303+L303</f>
        <v>0</v>
      </c>
      <c r="N303">
        <f>0+D303+F303+G303+H303+I303+J303+K303+L303</f>
        <v>0</v>
      </c>
    </row>
    <row r="304" spans="3:14">
      <c r="C304" t="s">
        <v>47</v>
      </c>
      <c r="D304">
        <f>386.3007*$D$239</f>
        <v>0</v>
      </c>
      <c r="E304">
        <f>511.3959*$E$239</f>
        <v>0</v>
      </c>
      <c r="F304">
        <f>-12.6566*$F$239</f>
        <v>0</v>
      </c>
      <c r="G304">
        <f>51.6147*$G$239</f>
        <v>0</v>
      </c>
      <c r="H304">
        <f>0*$H$239</f>
        <v>0</v>
      </c>
      <c r="I304">
        <f>54.3065*$I$239</f>
        <v>0</v>
      </c>
      <c r="J304">
        <f>-79.1918*$J$239</f>
        <v>0</v>
      </c>
      <c r="K304">
        <f>105.5891*$K$239</f>
        <v>0</v>
      </c>
      <c r="L304">
        <f>-0.9762*$L$239</f>
        <v>0</v>
      </c>
      <c r="M304">
        <f>0+D304+E304+G304+H304+I304+J304+K304+L304</f>
        <v>0</v>
      </c>
      <c r="N304">
        <f>0+D304+F304+G304+H304+I304+J304+K304+L304</f>
        <v>0</v>
      </c>
    </row>
    <row r="305" spans="3:14">
      <c r="C305" t="s">
        <v>47</v>
      </c>
      <c r="D305">
        <f>385.8414*$D$239</f>
        <v>0</v>
      </c>
      <c r="E305">
        <f>510.8454*$E$239</f>
        <v>0</v>
      </c>
      <c r="F305">
        <f>-11.9339*$F$239</f>
        <v>0</v>
      </c>
      <c r="G305">
        <f>51.4661*$G$239</f>
        <v>0</v>
      </c>
      <c r="H305">
        <f>0*$H$239</f>
        <v>0</v>
      </c>
      <c r="I305">
        <f>54.2449*$I$239</f>
        <v>0</v>
      </c>
      <c r="J305">
        <f>-79.8895*$J$239</f>
        <v>0</v>
      </c>
      <c r="K305">
        <f>106.5193*$K$239</f>
        <v>0</v>
      </c>
      <c r="L305">
        <f>1.8957*$L$239</f>
        <v>0</v>
      </c>
      <c r="M305">
        <f>0+D305+E305+G305+H305+I305+J305+K305+L305</f>
        <v>0</v>
      </c>
      <c r="N305">
        <f>0+D305+F305+G305+H305+I305+J305+K305+L305</f>
        <v>0</v>
      </c>
    </row>
    <row r="306" spans="3:14">
      <c r="C306" t="s">
        <v>48</v>
      </c>
      <c r="D306">
        <f>388.9249*$D$239</f>
        <v>0</v>
      </c>
      <c r="E306">
        <f>540.605*$E$239</f>
        <v>0</v>
      </c>
      <c r="F306">
        <f>-14.266*$F$239</f>
        <v>0</v>
      </c>
      <c r="G306">
        <f>35.0839*$G$239</f>
        <v>0</v>
      </c>
      <c r="H306">
        <f>0*$H$239</f>
        <v>0</v>
      </c>
      <c r="I306">
        <f>55.7348*$I$239</f>
        <v>0</v>
      </c>
      <c r="J306">
        <f>30.8494*$J$239</f>
        <v>0</v>
      </c>
      <c r="K306">
        <f>-41.1325*$K$239</f>
        <v>0</v>
      </c>
      <c r="L306">
        <f>-0.5952*$L$239</f>
        <v>0</v>
      </c>
      <c r="M306">
        <f>0+D306+E306+G306+H306+I306+J306+K306+L306</f>
        <v>0</v>
      </c>
      <c r="N306">
        <f>0+D306+F306+G306+H306+I306+J306+K306+L306</f>
        <v>0</v>
      </c>
    </row>
    <row r="307" spans="3:14">
      <c r="C307" t="s">
        <v>48</v>
      </c>
      <c r="D307">
        <f>389.9945*$D$239</f>
        <v>0</v>
      </c>
      <c r="E307">
        <f>535.251*$E$239</f>
        <v>0</v>
      </c>
      <c r="F307">
        <f>-13.6984*$F$239</f>
        <v>0</v>
      </c>
      <c r="G307">
        <f>38.5525*$G$239</f>
        <v>0</v>
      </c>
      <c r="H307">
        <f>0*$H$239</f>
        <v>0</v>
      </c>
      <c r="I307">
        <f>55.6772*$I$239</f>
        <v>0</v>
      </c>
      <c r="J307">
        <f>9.9786*$J$239</f>
        <v>0</v>
      </c>
      <c r="K307">
        <f>-13.3048*$K$239</f>
        <v>0</v>
      </c>
      <c r="L307">
        <f>1.3665*$L$239</f>
        <v>0</v>
      </c>
      <c r="M307">
        <f>0+D307+E307+G307+H307+I307+J307+K307+L307</f>
        <v>0</v>
      </c>
      <c r="N307">
        <f>0+D307+F307+G307+H307+I307+J307+K307+L307</f>
        <v>0</v>
      </c>
    </row>
    <row r="308" spans="3:14">
      <c r="C308" t="s">
        <v>49</v>
      </c>
      <c r="D308">
        <f>373.2535*$D$239</f>
        <v>0</v>
      </c>
      <c r="E308">
        <f>521.8973*$E$239</f>
        <v>0</v>
      </c>
      <c r="F308">
        <f>-15.5289*$F$239</f>
        <v>0</v>
      </c>
      <c r="G308">
        <f>32.2627*$G$239</f>
        <v>0</v>
      </c>
      <c r="H308">
        <f>0*$H$239</f>
        <v>0</v>
      </c>
      <c r="I308">
        <f>53.6136*$I$239</f>
        <v>0</v>
      </c>
      <c r="J308">
        <f>42.3338*$J$239</f>
        <v>0</v>
      </c>
      <c r="K308">
        <f>-56.445*$K$239</f>
        <v>0</v>
      </c>
      <c r="L308">
        <f>-0.866*$L$239</f>
        <v>0</v>
      </c>
      <c r="M308">
        <f>0+D308+E308+G308+H308+I308+J308+K308+L308</f>
        <v>0</v>
      </c>
      <c r="N308">
        <f>0+D308+F308+G308+H308+I308+J308+K308+L308</f>
        <v>0</v>
      </c>
    </row>
    <row r="309" spans="3:14">
      <c r="C309" t="s">
        <v>49</v>
      </c>
      <c r="D309">
        <f>379.4099*$D$239</f>
        <v>0</v>
      </c>
      <c r="E309">
        <f>525.5287*$E$239</f>
        <v>0</v>
      </c>
      <c r="F309">
        <f>-15.3158*$F$239</f>
        <v>0</v>
      </c>
      <c r="G309">
        <f>34.6446*$G$239</f>
        <v>0</v>
      </c>
      <c r="H309">
        <f>0*$H$239</f>
        <v>0</v>
      </c>
      <c r="I309">
        <f>54.3758*$I$239</f>
        <v>0</v>
      </c>
      <c r="J309">
        <f>31.0293*$J$239</f>
        <v>0</v>
      </c>
      <c r="K309">
        <f>-41.3724*$K$239</f>
        <v>0</v>
      </c>
      <c r="L309">
        <f>1.0703*$L$239</f>
        <v>0</v>
      </c>
      <c r="M309">
        <f>0+D309+E309+G309+H309+I309+J309+K309+L309</f>
        <v>0</v>
      </c>
      <c r="N309">
        <f>0+D309+F309+G309+H309+I309+J309+K309+L309</f>
        <v>0</v>
      </c>
    </row>
    <row r="310" spans="3:14">
      <c r="C310" t="s">
        <v>50</v>
      </c>
      <c r="D310">
        <f>348.3424*$D$239</f>
        <v>0</v>
      </c>
      <c r="E310">
        <f>487.2155*$E$239</f>
        <v>0</v>
      </c>
      <c r="F310">
        <f>-16.6102*$F$239</f>
        <v>0</v>
      </c>
      <c r="G310">
        <f>31.1774*$G$239</f>
        <v>0</v>
      </c>
      <c r="H310">
        <f>0*$H$239</f>
        <v>0</v>
      </c>
      <c r="I310">
        <f>49.9729*$I$239</f>
        <v>0</v>
      </c>
      <c r="J310">
        <f>35.317*$J$239</f>
        <v>0</v>
      </c>
      <c r="K310">
        <f>-47.0893*$K$239</f>
        <v>0</v>
      </c>
      <c r="L310">
        <f>-0.8662*$L$239</f>
        <v>0</v>
      </c>
      <c r="M310">
        <f>0+D310+E310+G310+H310+I310+J310+K310+L310</f>
        <v>0</v>
      </c>
      <c r="N310">
        <f>0+D310+F310+G310+H310+I310+J310+K310+L310</f>
        <v>0</v>
      </c>
    </row>
    <row r="311" spans="3:14">
      <c r="C311" t="s">
        <v>50</v>
      </c>
      <c r="D311">
        <f>359.1977*$D$239</f>
        <v>0</v>
      </c>
      <c r="E311">
        <f>501.7402*$E$239</f>
        <v>0</v>
      </c>
      <c r="F311">
        <f>-17.0623*$F$239</f>
        <v>0</v>
      </c>
      <c r="G311">
        <f>31.4123*$G$239</f>
        <v>0</v>
      </c>
      <c r="H311">
        <f>0*$H$239</f>
        <v>0</v>
      </c>
      <c r="I311">
        <f>51.5821*$I$239</f>
        <v>0</v>
      </c>
      <c r="J311">
        <f>40.9131*$J$239</f>
        <v>0</v>
      </c>
      <c r="K311">
        <f>-54.5508*$K$239</f>
        <v>0</v>
      </c>
      <c r="L311">
        <f>0.4969*$L$239</f>
        <v>0</v>
      </c>
      <c r="M311">
        <f>0+D311+E311+G311+H311+I311+J311+K311+L311</f>
        <v>0</v>
      </c>
      <c r="N311">
        <f>0+D311+F311+G311+H311+I311+J311+K311+L311</f>
        <v>0</v>
      </c>
    </row>
    <row r="312" spans="3:14">
      <c r="C312" t="s">
        <v>51</v>
      </c>
      <c r="D312">
        <f>314.8248*$D$239</f>
        <v>0</v>
      </c>
      <c r="E312">
        <f>438.8849*$E$239</f>
        <v>0</v>
      </c>
      <c r="F312">
        <f>-17.4053*$F$239</f>
        <v>0</v>
      </c>
      <c r="G312">
        <f>30.5683*$G$239</f>
        <v>0</v>
      </c>
      <c r="H312">
        <f>0*$H$239</f>
        <v>0</v>
      </c>
      <c r="I312">
        <f>44.9966*$I$239</f>
        <v>0</v>
      </c>
      <c r="J312">
        <f>15.293*$J$239</f>
        <v>0</v>
      </c>
      <c r="K312">
        <f>-20.3907*$K$239</f>
        <v>0</v>
      </c>
      <c r="L312">
        <f>-0.2559*$L$239</f>
        <v>0</v>
      </c>
      <c r="M312">
        <f>0+D312+E312+G312+H312+I312+J312+K312+L312</f>
        <v>0</v>
      </c>
      <c r="N312">
        <f>0+D312+F312+G312+H312+I312+J312+K312+L312</f>
        <v>0</v>
      </c>
    </row>
    <row r="313" spans="3:14">
      <c r="C313" t="s">
        <v>51</v>
      </c>
      <c r="D313">
        <f>329.3382*$D$239</f>
        <v>0</v>
      </c>
      <c r="E313">
        <f>463.0094*$E$239</f>
        <v>0</v>
      </c>
      <c r="F313">
        <f>-18.7025*$F$239</f>
        <v>0</v>
      </c>
      <c r="G313">
        <f>29.8058*$G$239</f>
        <v>0</v>
      </c>
      <c r="H313">
        <f>0*$H$239</f>
        <v>0</v>
      </c>
      <c r="I313">
        <f>47.2158*$I$239</f>
        <v>0</v>
      </c>
      <c r="J313">
        <f>32.912*$J$239</f>
        <v>0</v>
      </c>
      <c r="K313">
        <f>-43.8827*$K$239</f>
        <v>0</v>
      </c>
      <c r="L313">
        <f>0.1946*$L$239</f>
        <v>0</v>
      </c>
      <c r="M313">
        <f>0+D313+E313+G313+H313+I313+J313+K313+L313</f>
        <v>0</v>
      </c>
      <c r="N313">
        <f>0+D313+F313+G313+H313+I313+J313+K313+L313</f>
        <v>0</v>
      </c>
    </row>
    <row r="314" spans="3:14">
      <c r="C314" t="s">
        <v>52</v>
      </c>
      <c r="D314">
        <f>270.4778*$D$239</f>
        <v>0</v>
      </c>
      <c r="E314">
        <f>365.0022*$E$239</f>
        <v>0</v>
      </c>
      <c r="F314">
        <f>-16.7045*$F$239</f>
        <v>0</v>
      </c>
      <c r="G314">
        <f>38.0419*$G$239</f>
        <v>0</v>
      </c>
      <c r="H314">
        <f>0*$H$239</f>
        <v>0</v>
      </c>
      <c r="I314">
        <f>37.8924*$I$239</f>
        <v>0</v>
      </c>
      <c r="J314">
        <f>-81.7332*$J$239</f>
        <v>0</v>
      </c>
      <c r="K314">
        <f>108.9776*$K$239</f>
        <v>0</v>
      </c>
      <c r="L314">
        <f>3.5834*$L$239</f>
        <v>0</v>
      </c>
      <c r="M314">
        <f>0+D314+E314+G314+H314+I314+J314+K314+L314</f>
        <v>0</v>
      </c>
      <c r="N314">
        <f>0+D314+F314+G314+H314+I314+J314+K314+L314</f>
        <v>0</v>
      </c>
    </row>
    <row r="315" spans="3:14">
      <c r="C315" t="s">
        <v>52</v>
      </c>
      <c r="D315">
        <f>288.7931*$D$239</f>
        <v>0</v>
      </c>
      <c r="E315">
        <f>380.2071*$E$239</f>
        <v>0</v>
      </c>
      <c r="F315">
        <f>-17.0481*$F$239</f>
        <v>0</v>
      </c>
      <c r="G315">
        <f>39.7087*$G$239</f>
        <v>0</v>
      </c>
      <c r="H315">
        <f>0*$H$239</f>
        <v>0</v>
      </c>
      <c r="I315">
        <f>40.4931*$I$239</f>
        <v>0</v>
      </c>
      <c r="J315">
        <f>-91.5041*$J$239</f>
        <v>0</v>
      </c>
      <c r="K315">
        <f>122.0055*$K$239</f>
        <v>0</v>
      </c>
      <c r="L315">
        <f>7.358*$L$239</f>
        <v>0</v>
      </c>
      <c r="M315">
        <f>0+D315+E315+G315+H315+I315+J315+K315+L315</f>
        <v>0</v>
      </c>
      <c r="N315">
        <f>0+D315+F315+G315+H315+I315+J315+K315+L315</f>
        <v>0</v>
      </c>
    </row>
    <row r="316" spans="3:14">
      <c r="C316" t="s">
        <v>53</v>
      </c>
      <c r="D316">
        <f>228.72*$D$239</f>
        <v>0</v>
      </c>
      <c r="E316">
        <f>327.1911*$E$239</f>
        <v>0</v>
      </c>
      <c r="F316">
        <f>-19.8421*$F$239</f>
        <v>0</v>
      </c>
      <c r="G316">
        <f>19.567*$G$239</f>
        <v>0</v>
      </c>
      <c r="H316">
        <f>0*$H$239</f>
        <v>0</v>
      </c>
      <c r="I316">
        <f>32.8946*$I$239</f>
        <v>0</v>
      </c>
      <c r="J316">
        <f>40.8494*$J$239</f>
        <v>0</v>
      </c>
      <c r="K316">
        <f>-54.4659*$K$239</f>
        <v>0</v>
      </c>
      <c r="L316">
        <f>-2.4651*$L$239</f>
        <v>0</v>
      </c>
      <c r="M316">
        <f>0+D316+E316+G316+H316+I316+J316+K316+L316</f>
        <v>0</v>
      </c>
      <c r="N316">
        <f>0+D316+F316+G316+H316+I316+J316+K316+L316</f>
        <v>0</v>
      </c>
    </row>
    <row r="317" spans="3:14">
      <c r="C317" t="s">
        <v>53</v>
      </c>
      <c r="D317">
        <f>242.9246*$D$239</f>
        <v>0</v>
      </c>
      <c r="E317">
        <f>339.0861*$E$239</f>
        <v>0</v>
      </c>
      <c r="F317">
        <f>-19.9657*$F$239</f>
        <v>0</v>
      </c>
      <c r="G317">
        <f>24.4588*$G$239</f>
        <v>0</v>
      </c>
      <c r="H317">
        <f>0*$H$239</f>
        <v>0</v>
      </c>
      <c r="I317">
        <f>34.7081*$I$239</f>
        <v>0</v>
      </c>
      <c r="J317">
        <f>20.3087*$J$239</f>
        <v>0</v>
      </c>
      <c r="K317">
        <f>-27.0782*$K$239</f>
        <v>0</v>
      </c>
      <c r="L317">
        <f>-1.5033*$L$239</f>
        <v>0</v>
      </c>
      <c r="M317">
        <f>0+D317+E317+G317+H317+I317+J317+K317+L317</f>
        <v>0</v>
      </c>
      <c r="N317">
        <f>0+D317+F317+G317+H317+I317+J317+K317+L317</f>
        <v>0</v>
      </c>
    </row>
    <row r="318" spans="3:14">
      <c r="C318" t="s">
        <v>54</v>
      </c>
      <c r="D318">
        <f>175.5367*$D$239</f>
        <v>0</v>
      </c>
      <c r="E318">
        <f>257.2723*$E$239</f>
        <v>0</v>
      </c>
      <c r="F318">
        <f>-20.5762*$F$239</f>
        <v>0</v>
      </c>
      <c r="G318">
        <f>12.4523*$G$239</f>
        <v>0</v>
      </c>
      <c r="H318">
        <f>0*$H$239</f>
        <v>0</v>
      </c>
      <c r="I318">
        <f>25.4729*$I$239</f>
        <v>0</v>
      </c>
      <c r="J318">
        <f>65.0004*$J$239</f>
        <v>0</v>
      </c>
      <c r="K318">
        <f>-86.6672*$K$239</f>
        <v>0</v>
      </c>
      <c r="L318">
        <f>-5.6715*$L$239</f>
        <v>0</v>
      </c>
      <c r="M318">
        <f>0+D318+E318+G318+H318+I318+J318+K318+L318</f>
        <v>0</v>
      </c>
      <c r="N318">
        <f>0+D318+F318+G318+H318+I318+J318+K318+L318</f>
        <v>0</v>
      </c>
    </row>
    <row r="319" spans="3:14">
      <c r="C319" t="s">
        <v>54</v>
      </c>
      <c r="D319">
        <f>188.273*$D$239</f>
        <v>0</v>
      </c>
      <c r="E319">
        <f>268.9365*$E$239</f>
        <v>0</v>
      </c>
      <c r="F319">
        <f>-21.1316*$F$239</f>
        <v>0</v>
      </c>
      <c r="G319">
        <f>16.5232*$G$239</f>
        <v>0</v>
      </c>
      <c r="H319">
        <f>0*$H$239</f>
        <v>0</v>
      </c>
      <c r="I319">
        <f>27.1368*$I$239</f>
        <v>0</v>
      </c>
      <c r="J319">
        <f>60.8031*$J$239</f>
        <v>0</v>
      </c>
      <c r="K319">
        <f>-81.0708*$K$239</f>
        <v>0</v>
      </c>
      <c r="L319">
        <f>-7.0329*$L$239</f>
        <v>0</v>
      </c>
      <c r="M319">
        <f>0+D319+E319+G319+H319+I319+J319+K319+L319</f>
        <v>0</v>
      </c>
      <c r="N319">
        <f>0+D319+F319+G319+H319+I319+J319+K319+L319</f>
        <v>0</v>
      </c>
    </row>
    <row r="320" spans="3:14">
      <c r="C320" t="s">
        <v>55</v>
      </c>
      <c r="D320">
        <f>117.8154*$D$239</f>
        <v>0</v>
      </c>
      <c r="E320">
        <f>174.9198*$E$239</f>
        <v>0</v>
      </c>
      <c r="F320">
        <f>-18.5256*$F$239</f>
        <v>0</v>
      </c>
      <c r="G320">
        <f>7.2844*$G$239</f>
        <v>0</v>
      </c>
      <c r="H320">
        <f>0*$H$239</f>
        <v>0</v>
      </c>
      <c r="I320">
        <f>17.2063*$I$239</f>
        <v>0</v>
      </c>
      <c r="J320">
        <f>65.8634*$J$239</f>
        <v>0</v>
      </c>
      <c r="K320">
        <f>-87.8179*$K$239</f>
        <v>0</v>
      </c>
      <c r="L320">
        <f>-7.8703*$L$239</f>
        <v>0</v>
      </c>
      <c r="M320">
        <f>0+D320+E320+G320+H320+I320+J320+K320+L320</f>
        <v>0</v>
      </c>
      <c r="N320">
        <f>0+D320+F320+G320+H320+I320+J320+K320+L320</f>
        <v>0</v>
      </c>
    </row>
    <row r="321" spans="3:14">
      <c r="C321" t="s">
        <v>55</v>
      </c>
      <c r="D321">
        <f>125.4435*$D$239</f>
        <v>0</v>
      </c>
      <c r="E321">
        <f>184.8536*$E$239</f>
        <v>0</v>
      </c>
      <c r="F321">
        <f>-20.4318*$F$239</f>
        <v>0</v>
      </c>
      <c r="G321">
        <f>9.2495*$G$239</f>
        <v>0</v>
      </c>
      <c r="H321">
        <f>0*$H$239</f>
        <v>0</v>
      </c>
      <c r="I321">
        <f>18.2939*$I$239</f>
        <v>0</v>
      </c>
      <c r="J321">
        <f>92.6549*$J$239</f>
        <v>0</v>
      </c>
      <c r="K321">
        <f>-123.5398*$K$239</f>
        <v>0</v>
      </c>
      <c r="L321">
        <f>-13.5247*$L$239</f>
        <v>0</v>
      </c>
      <c r="M321">
        <f>0+D321+E321+G321+H321+I321+J321+K321+L321</f>
        <v>0</v>
      </c>
      <c r="N321">
        <f>0+D321+F321+G321+H321+I321+J321+K321+L321</f>
        <v>0</v>
      </c>
    </row>
    <row r="322" spans="3:14">
      <c r="C322" t="s">
        <v>56</v>
      </c>
      <c r="D322">
        <f>60.055*$D$239</f>
        <v>0</v>
      </c>
      <c r="E322">
        <f>90.4775*$E$239</f>
        <v>0</v>
      </c>
      <c r="F322">
        <f>-14.1157*$F$239</f>
        <v>0</v>
      </c>
      <c r="G322">
        <f>3.004*$G$239</f>
        <v>0</v>
      </c>
      <c r="H322">
        <f>0*$H$239</f>
        <v>0</v>
      </c>
      <c r="I322">
        <f>8.8278*$I$239</f>
        <v>0</v>
      </c>
      <c r="J322">
        <f>47.9011*$J$239</f>
        <v>0</v>
      </c>
      <c r="K322">
        <f>-63.8682*$K$239</f>
        <v>0</v>
      </c>
      <c r="L322">
        <f>-7.1003*$L$239</f>
        <v>0</v>
      </c>
      <c r="M322">
        <f>0+D322+E322+G322+H322+I322+J322+K322+L322</f>
        <v>0</v>
      </c>
      <c r="N322">
        <f>0+D322+F322+G322+H322+I322+J322+K322+L322</f>
        <v>0</v>
      </c>
    </row>
    <row r="323" spans="3:14">
      <c r="C323" t="s">
        <v>56</v>
      </c>
      <c r="D323">
        <f>58.5661*$D$239</f>
        <v>0</v>
      </c>
      <c r="E323">
        <f>94.0838*$E$239</f>
        <v>0</v>
      </c>
      <c r="F323">
        <f>-17.5798*$F$239</f>
        <v>0</v>
      </c>
      <c r="G323">
        <f>3.0908*$G$239</f>
        <v>0</v>
      </c>
      <c r="H323">
        <f>0*$H$239</f>
        <v>0</v>
      </c>
      <c r="I323">
        <f>8.7222*$I$239</f>
        <v>0</v>
      </c>
      <c r="J323">
        <f>105.1123*$J$239</f>
        <v>0</v>
      </c>
      <c r="K323">
        <f>-140.1497*$K$239</f>
        <v>0</v>
      </c>
      <c r="L323">
        <f>-17.4162*$L$239</f>
        <v>0</v>
      </c>
      <c r="M323">
        <f>0+D323+E323+G323+H323+I323+J323+K323+L323</f>
        <v>0</v>
      </c>
      <c r="N323">
        <f>0+D323+F323+G323+H323+I323+J323+K323+L323</f>
        <v>0</v>
      </c>
    </row>
    <row r="324" spans="3:14">
      <c r="C324" t="s">
        <v>57</v>
      </c>
      <c r="D324">
        <f>18.9996*$D$239</f>
        <v>0</v>
      </c>
      <c r="E324">
        <f>31.7767*$E$239</f>
        <v>0</v>
      </c>
      <c r="F324">
        <f>-14.0849*$F$239</f>
        <v>0</v>
      </c>
      <c r="G324">
        <f>4.9592*$G$239</f>
        <v>0</v>
      </c>
      <c r="H324">
        <f>0*$H$239</f>
        <v>0</v>
      </c>
      <c r="I324">
        <f>2.3952*$I$239</f>
        <v>0</v>
      </c>
      <c r="J324">
        <f>-80.6769*$J$239</f>
        <v>0</v>
      </c>
      <c r="K324">
        <f>107.5692*$K$239</f>
        <v>0</v>
      </c>
      <c r="L324">
        <f>12.5359*$L$239</f>
        <v>0</v>
      </c>
      <c r="M324">
        <f>0+D324+E324+G324+H324+I324+J324+K324+L324</f>
        <v>0</v>
      </c>
      <c r="N324">
        <f>0+D324+F324+G324+H324+I324+J324+K324+L324</f>
        <v>0</v>
      </c>
    </row>
    <row r="325" spans="3:14">
      <c r="C325" t="s">
        <v>57</v>
      </c>
      <c r="D325">
        <f>17.5727*$D$239</f>
        <v>0</v>
      </c>
      <c r="E325">
        <f>21.1582*$E$239</f>
        <v>0</v>
      </c>
      <c r="F325">
        <f>-3.9786*$F$239</f>
        <v>0</v>
      </c>
      <c r="G325">
        <f>3.0299*$G$239</f>
        <v>0</v>
      </c>
      <c r="H325">
        <f>0*$H$239</f>
        <v>0</v>
      </c>
      <c r="I325">
        <f>2.3765*$I$239</f>
        <v>0</v>
      </c>
      <c r="J325">
        <f>-45.085*$J$239</f>
        <v>0</v>
      </c>
      <c r="K325">
        <f>60.1134*$K$239</f>
        <v>0</v>
      </c>
      <c r="L325">
        <f>8.3892*$L$239</f>
        <v>0</v>
      </c>
      <c r="M325">
        <f>0+D325+E325+G325+H325+I325+J325+K325+L325</f>
        <v>0</v>
      </c>
      <c r="N325">
        <f>0+D325+F325+G325+H325+I325+J325+K325+L325</f>
        <v>0</v>
      </c>
    </row>
    <row r="326" spans="3:14">
      <c r="C326" t="s">
        <v>58</v>
      </c>
      <c r="D326">
        <f>2.9196*$D$239</f>
        <v>0</v>
      </c>
      <c r="E326">
        <f>6.8973*$E$239</f>
        <v>0</v>
      </c>
      <c r="F326">
        <f>-4.4215*$F$239</f>
        <v>0</v>
      </c>
      <c r="G326">
        <f>0.4107*$G$239</f>
        <v>0</v>
      </c>
      <c r="H326">
        <f>0*$H$239</f>
        <v>0</v>
      </c>
      <c r="I326">
        <f>0.3725*$I$239</f>
        <v>0</v>
      </c>
      <c r="J326">
        <f>-16.9074*$J$239</f>
        <v>0</v>
      </c>
      <c r="K326">
        <f>22.5432*$K$239</f>
        <v>0</v>
      </c>
      <c r="L326">
        <f>2.7865*$L$239</f>
        <v>0</v>
      </c>
      <c r="M326">
        <f>0+D326+E326+G326+H326+I326+J326+K326+L326</f>
        <v>0</v>
      </c>
      <c r="N326">
        <f>0+D326+F326+G326+H326+I326+J326+K326+L326</f>
        <v>0</v>
      </c>
    </row>
    <row r="327" spans="3:14">
      <c r="C327" t="s">
        <v>58</v>
      </c>
      <c r="D327">
        <f>3.7761*$D$239</f>
        <v>0</v>
      </c>
      <c r="E327">
        <f>4.6896*$E$239</f>
        <v>0</v>
      </c>
      <c r="F327">
        <f>-1.7225*$F$239</f>
        <v>0</v>
      </c>
      <c r="G327">
        <f>0.4272*$G$239</f>
        <v>0</v>
      </c>
      <c r="H327">
        <f>0*$H$239</f>
        <v>0</v>
      </c>
      <c r="I327">
        <f>0.4986*$I$239</f>
        <v>0</v>
      </c>
      <c r="J327">
        <f>-17.7944*$J$239</f>
        <v>0</v>
      </c>
      <c r="K327">
        <f>23.7258*$K$239</f>
        <v>0</v>
      </c>
      <c r="L327">
        <f>0.0897*$L$239</f>
        <v>0</v>
      </c>
      <c r="M327">
        <f>0+D327+E327+G327+H327+I327+J327+K327+L327</f>
        <v>0</v>
      </c>
      <c r="N327">
        <f>0+D327+F327+G327+H327+I327+J327+K327+L327</f>
        <v>0</v>
      </c>
    </row>
    <row r="328" spans="3:14">
      <c r="C328" t="s">
        <v>59</v>
      </c>
      <c r="D328">
        <f>11.3606*$D$239</f>
        <v>0</v>
      </c>
      <c r="E328">
        <f>13.8962*$E$239</f>
        <v>0</v>
      </c>
      <c r="F328">
        <f>-2.6632*$F$239</f>
        <v>0</v>
      </c>
      <c r="G328">
        <f>2.493*$G$239</f>
        <v>0</v>
      </c>
      <c r="H328">
        <f>0*$H$239</f>
        <v>0</v>
      </c>
      <c r="I328">
        <f>1.484*$I$239</f>
        <v>0</v>
      </c>
      <c r="J328">
        <f>-44.2886*$J$239</f>
        <v>0</v>
      </c>
      <c r="K328">
        <f>59.0515*$K$239</f>
        <v>0</v>
      </c>
      <c r="L328">
        <f>17.6452*$L$239</f>
        <v>0</v>
      </c>
      <c r="M328">
        <f>0+D328+E328+G328+H328+I328+J328+K328+L328</f>
        <v>0</v>
      </c>
      <c r="N328">
        <f>0+D328+F328+G328+H328+I328+J328+K328+L328</f>
        <v>0</v>
      </c>
    </row>
    <row r="329" spans="3:14">
      <c r="C329" t="s">
        <v>59</v>
      </c>
      <c r="D329">
        <f>16.5077*$D$239</f>
        <v>0</v>
      </c>
      <c r="E329">
        <f>19.9467*$E$239</f>
        <v>0</v>
      </c>
      <c r="F329">
        <f>-4.845*$F$239</f>
        <v>0</v>
      </c>
      <c r="G329">
        <f>3.8917*$G$239</f>
        <v>0</v>
      </c>
      <c r="H329">
        <f>0*$H$239</f>
        <v>0</v>
      </c>
      <c r="I329">
        <f>2.0912*$I$239</f>
        <v>0</v>
      </c>
      <c r="J329">
        <f>-90.7738*$J$239</f>
        <v>0</v>
      </c>
      <c r="K329">
        <f>121.0318*$K$239</f>
        <v>0</v>
      </c>
      <c r="L329">
        <f>24.2705*$L$239</f>
        <v>0</v>
      </c>
      <c r="M329">
        <f>0+D329+E329+G329+H329+I329+J329+K329+L329</f>
        <v>0</v>
      </c>
      <c r="N329">
        <f>0+D329+F329+G329+H329+I329+J329+K329+L329</f>
        <v>0</v>
      </c>
    </row>
    <row r="330" spans="3:14">
      <c r="C330" t="s">
        <v>60</v>
      </c>
      <c r="D330">
        <f>15.6503*$D$239</f>
        <v>0</v>
      </c>
      <c r="E330">
        <f>54.1192*$E$239</f>
        <v>0</v>
      </c>
      <c r="F330">
        <f>-14.7401*$F$239</f>
        <v>0</v>
      </c>
      <c r="G330">
        <f>-0.6599*$G$239</f>
        <v>0</v>
      </c>
      <c r="H330">
        <f>0*$H$239</f>
        <v>0</v>
      </c>
      <c r="I330">
        <f>2.5741*$I$239</f>
        <v>0</v>
      </c>
      <c r="J330">
        <f>109.1122*$J$239</f>
        <v>0</v>
      </c>
      <c r="K330">
        <f>-145.4829*$K$239</f>
        <v>0</v>
      </c>
      <c r="L330">
        <f>49.707*$L$239</f>
        <v>0</v>
      </c>
      <c r="M330">
        <f>0+D330+E330+G330+H330+I330+J330+K330+L330</f>
        <v>0</v>
      </c>
      <c r="N330">
        <f>0+D330+F330+G330+H330+I330+J330+K330+L330</f>
        <v>0</v>
      </c>
    </row>
    <row r="331" spans="3:14">
      <c r="C331" t="s">
        <v>60</v>
      </c>
      <c r="D331">
        <f>26.3252*$D$239</f>
        <v>0</v>
      </c>
      <c r="E331">
        <f>61.4991*$E$239</f>
        <v>0</v>
      </c>
      <c r="F331">
        <f>-7.3349*$F$239</f>
        <v>0</v>
      </c>
      <c r="G331">
        <f>-0.8156*$G$239</f>
        <v>0</v>
      </c>
      <c r="H331">
        <f>0*$H$239</f>
        <v>0</v>
      </c>
      <c r="I331">
        <f>4.066*$I$239</f>
        <v>0</v>
      </c>
      <c r="J331">
        <f>37.1195*$J$239</f>
        <v>0</v>
      </c>
      <c r="K331">
        <f>-49.4927*$K$239</f>
        <v>0</v>
      </c>
      <c r="L331">
        <f>30.5083*$L$239</f>
        <v>0</v>
      </c>
      <c r="M331">
        <f>0+D331+E331+G331+H331+I331+J331+K331+L331</f>
        <v>0</v>
      </c>
      <c r="N331">
        <f>0+D331+F331+G331+H331+I331+J331+K331+L331</f>
        <v>0</v>
      </c>
    </row>
    <row r="332" spans="3:14">
      <c r="C332" t="s">
        <v>61</v>
      </c>
      <c r="D332">
        <f>42.6258*$D$239</f>
        <v>0</v>
      </c>
      <c r="E332">
        <f>103.1336*$E$239</f>
        <v>0</v>
      </c>
      <c r="F332">
        <f>-12.01*$F$239</f>
        <v>0</v>
      </c>
      <c r="G332">
        <f>1.8173*$G$239</f>
        <v>0</v>
      </c>
      <c r="H332">
        <f>0*$H$239</f>
        <v>0</v>
      </c>
      <c r="I332">
        <f>6.4485*$I$239</f>
        <v>0</v>
      </c>
      <c r="J332">
        <f>99.1647*$J$239</f>
        <v>0</v>
      </c>
      <c r="K332">
        <f>-132.2196*$K$239</f>
        <v>0</v>
      </c>
      <c r="L332">
        <f>94.8499*$L$239</f>
        <v>0</v>
      </c>
      <c r="M332">
        <f>0+D332+E332+G332+H332+I332+J332+K332+L332</f>
        <v>0</v>
      </c>
      <c r="N332">
        <f>0+D332+F332+G332+H332+I332+J332+K332+L332</f>
        <v>0</v>
      </c>
    </row>
    <row r="333" spans="3:14">
      <c r="C333" t="s">
        <v>61</v>
      </c>
      <c r="D333">
        <f>47.6874*$D$239</f>
        <v>0</v>
      </c>
      <c r="E333">
        <f>107.9432*$E$239</f>
        <v>0</v>
      </c>
      <c r="F333">
        <f>-9.3198*$F$239</f>
        <v>0</v>
      </c>
      <c r="G333">
        <f>0.1854*$G$239</f>
        <v>0</v>
      </c>
      <c r="H333">
        <f>0*$H$239</f>
        <v>0</v>
      </c>
      <c r="I333">
        <f>7.2481*$I$239</f>
        <v>0</v>
      </c>
      <c r="J333">
        <f>55.623*$J$239</f>
        <v>0</v>
      </c>
      <c r="K333">
        <f>-74.164*$K$239</f>
        <v>0</v>
      </c>
      <c r="L333">
        <f>71.8378*$L$239</f>
        <v>0</v>
      </c>
      <c r="M333">
        <f>0+D333+E333+G333+H333+I333+J333+K333+L333</f>
        <v>0</v>
      </c>
      <c r="N333">
        <f>0+D333+F333+G333+H333+I333+J333+K333+L333</f>
        <v>0</v>
      </c>
    </row>
    <row r="334" spans="3:14">
      <c r="C334" t="s">
        <v>62</v>
      </c>
      <c r="D334">
        <f>65.7716*$D$239</f>
        <v>0</v>
      </c>
      <c r="E334">
        <f>141.0922*$E$239</f>
        <v>0</v>
      </c>
      <c r="F334">
        <f>-7.158*$F$239</f>
        <v>0</v>
      </c>
      <c r="G334">
        <f>5.1063*$G$239</f>
        <v>0</v>
      </c>
      <c r="H334">
        <f>0*$H$239</f>
        <v>0</v>
      </c>
      <c r="I334">
        <f>9.6406*$I$239</f>
        <v>0</v>
      </c>
      <c r="J334">
        <f>68.5969*$J$239</f>
        <v>0</v>
      </c>
      <c r="K334">
        <f>-91.4625*$K$239</f>
        <v>0</v>
      </c>
      <c r="L334">
        <f>138.0697*$L$239</f>
        <v>0</v>
      </c>
      <c r="M334">
        <f>0+D334+E334+G334+H334+I334+J334+K334+L334</f>
        <v>0</v>
      </c>
      <c r="N334">
        <f>0+D334+F334+G334+H334+I334+J334+K334+L334</f>
        <v>0</v>
      </c>
    </row>
    <row r="335" spans="3:14">
      <c r="C335" t="s">
        <v>62</v>
      </c>
      <c r="D335">
        <f>66.8866*$D$239</f>
        <v>0</v>
      </c>
      <c r="E335">
        <f>146.2102*$E$239</f>
        <v>0</v>
      </c>
      <c r="F335">
        <f>-8.4769*$F$239</f>
        <v>0</v>
      </c>
      <c r="G335">
        <f>1.9745*$G$239</f>
        <v>0</v>
      </c>
      <c r="H335">
        <f>0*$H$239</f>
        <v>0</v>
      </c>
      <c r="I335">
        <f>10.005*$I$239</f>
        <v>0</v>
      </c>
      <c r="J335">
        <f>58.5491*$J$239</f>
        <v>0</v>
      </c>
      <c r="K335">
        <f>-78.0655*$K$239</f>
        <v>0</v>
      </c>
      <c r="L335">
        <f>111.5867*$L$239</f>
        <v>0</v>
      </c>
      <c r="M335">
        <f>0+D335+E335+G335+H335+I335+J335+K335+L335</f>
        <v>0</v>
      </c>
      <c r="N335">
        <f>0+D335+F335+G335+H335+I335+J335+K335+L335</f>
        <v>0</v>
      </c>
    </row>
    <row r="336" spans="3:14">
      <c r="C336" t="s">
        <v>63</v>
      </c>
      <c r="D336">
        <f>81.2813*$D$239</f>
        <v>0</v>
      </c>
      <c r="E336">
        <f>163.1857*$E$239</f>
        <v>0</v>
      </c>
      <c r="F336">
        <f>-2.7222*$F$239</f>
        <v>0</v>
      </c>
      <c r="G336">
        <f>8.7022*$G$239</f>
        <v>0</v>
      </c>
      <c r="H336">
        <f>0*$H$239</f>
        <v>0</v>
      </c>
      <c r="I336">
        <f>11.6603*$I$239</f>
        <v>0</v>
      </c>
      <c r="J336">
        <f>26.9761*$J$239</f>
        <v>0</v>
      </c>
      <c r="K336">
        <f>-35.9682*$K$239</f>
        <v>0</v>
      </c>
      <c r="L336">
        <f>171.3737*$L$239</f>
        <v>0</v>
      </c>
      <c r="M336">
        <f>0+D336+E336+G336+H336+I336+J336+K336+L336</f>
        <v>0</v>
      </c>
      <c r="N336">
        <f>0+D336+F336+G336+H336+I336+J336+K336+L336</f>
        <v>0</v>
      </c>
    </row>
    <row r="337" spans="3:14">
      <c r="C337" t="s">
        <v>63</v>
      </c>
      <c r="D337">
        <f>80.6213*$D$239</f>
        <v>0</v>
      </c>
      <c r="E337">
        <f>169.3485*$E$239</f>
        <v>0</v>
      </c>
      <c r="F337">
        <f>-5.9624*$F$239</f>
        <v>0</v>
      </c>
      <c r="G337">
        <f>5.3791*$G$239</f>
        <v>0</v>
      </c>
      <c r="H337">
        <f>0*$H$239</f>
        <v>0</v>
      </c>
      <c r="I337">
        <f>11.7956*$I$239</f>
        <v>0</v>
      </c>
      <c r="J337">
        <f>37.407*$J$239</f>
        <v>0</v>
      </c>
      <c r="K337">
        <f>-49.876*$K$239</f>
        <v>0</v>
      </c>
      <c r="L337">
        <f>146.6141*$L$239</f>
        <v>0</v>
      </c>
      <c r="M337">
        <f>0+D337+E337+G337+H337+I337+J337+K337+L337</f>
        <v>0</v>
      </c>
      <c r="N337">
        <f>0+D337+F337+G337+H337+I337+J337+K337+L337</f>
        <v>0</v>
      </c>
    </row>
    <row r="338" spans="3:14">
      <c r="C338" t="s">
        <v>64</v>
      </c>
      <c r="D338">
        <f>89.4818*$D$239</f>
        <v>0</v>
      </c>
      <c r="E338">
        <f>157.1572*$E$239</f>
        <v>0</v>
      </c>
      <c r="F338">
        <f>-1.5829*$F$239</f>
        <v>0</v>
      </c>
      <c r="G338">
        <f>17.9178*$G$239</f>
        <v>0</v>
      </c>
      <c r="H338">
        <f>0*$H$239</f>
        <v>0</v>
      </c>
      <c r="I338">
        <f>12.2066*$I$239</f>
        <v>0</v>
      </c>
      <c r="J338">
        <f>-103.0732*$J$239</f>
        <v>0</v>
      </c>
      <c r="K338">
        <f>137.431*$K$239</f>
        <v>0</v>
      </c>
      <c r="L338">
        <f>218.778*$L$239</f>
        <v>0</v>
      </c>
      <c r="M338">
        <f>0+D338+E338+G338+H338+I338+J338+K338+L338</f>
        <v>0</v>
      </c>
      <c r="N338">
        <f>0+D338+F338+G338+H338+I338+J338+K338+L338</f>
        <v>0</v>
      </c>
    </row>
    <row r="339" spans="3:14">
      <c r="C339" t="s">
        <v>64</v>
      </c>
      <c r="D339">
        <f>86.0975*$D$239</f>
        <v>0</v>
      </c>
      <c r="E339">
        <f>155.8125*$E$239</f>
        <v>0</v>
      </c>
      <c r="F339">
        <f>-1.5203*$F$239</f>
        <v>0</v>
      </c>
      <c r="G339">
        <f>16.7448*$G$239</f>
        <v>0</v>
      </c>
      <c r="H339">
        <f>0*$H$239</f>
        <v>0</v>
      </c>
      <c r="I339">
        <f>11.8341*$I$239</f>
        <v>0</v>
      </c>
      <c r="J339">
        <f>-118.4274*$J$239</f>
        <v>0</v>
      </c>
      <c r="K339">
        <f>157.9032*$K$239</f>
        <v>0</v>
      </c>
      <c r="L339">
        <f>209.9802*$L$239</f>
        <v>0</v>
      </c>
      <c r="M339">
        <f>0+D339+E339+G339+H339+I339+J339+K339+L339</f>
        <v>0</v>
      </c>
      <c r="N339">
        <f>0+D339+F339+G339+H339+I339+J339+K339+L339</f>
        <v>0</v>
      </c>
    </row>
    <row r="340" spans="3:14">
      <c r="C340" t="s">
        <v>65</v>
      </c>
      <c r="D340">
        <f>85.597*$D$239</f>
        <v>0</v>
      </c>
      <c r="E340">
        <f>175.2095*$E$239</f>
        <v>0</v>
      </c>
      <c r="F340">
        <f>-4.6185*$F$239</f>
        <v>0</v>
      </c>
      <c r="G340">
        <f>6.2513*$G$239</f>
        <v>0</v>
      </c>
      <c r="H340">
        <f>0*$H$239</f>
        <v>0</v>
      </c>
      <c r="I340">
        <f>12.4379*$I$239</f>
        <v>0</v>
      </c>
      <c r="J340">
        <f>57.9318*$J$239</f>
        <v>0</v>
      </c>
      <c r="K340">
        <f>-77.2424*$K$239</f>
        <v>0</v>
      </c>
      <c r="L340">
        <f>157.2456*$L$239</f>
        <v>0</v>
      </c>
      <c r="M340">
        <f>0+D340+E340+G340+H340+I340+J340+K340+L340</f>
        <v>0</v>
      </c>
      <c r="N340">
        <f>0+D340+F340+G340+H340+I340+J340+K340+L340</f>
        <v>0</v>
      </c>
    </row>
    <row r="341" spans="3:14">
      <c r="C341" t="s">
        <v>65</v>
      </c>
      <c r="D341">
        <f>84.9935*$D$239</f>
        <v>0</v>
      </c>
      <c r="E341">
        <f>169.8094*$E$239</f>
        <v>0</v>
      </c>
      <c r="F341">
        <f>-1.8109*$F$239</f>
        <v>0</v>
      </c>
      <c r="G341">
        <f>8.4147*$G$239</f>
        <v>0</v>
      </c>
      <c r="H341">
        <f>0*$H$239</f>
        <v>0</v>
      </c>
      <c r="I341">
        <f>12.2345*$I$239</f>
        <v>0</v>
      </c>
      <c r="J341">
        <f>24.7309*$J$239</f>
        <v>0</v>
      </c>
      <c r="K341">
        <f>-32.9746*$K$239</f>
        <v>0</v>
      </c>
      <c r="L341">
        <f>171.548*$L$239</f>
        <v>0</v>
      </c>
      <c r="M341">
        <f>0+D341+E341+G341+H341+I341+J341+K341+L341</f>
        <v>0</v>
      </c>
      <c r="N341">
        <f>0+D341+F341+G341+H341+I341+J341+K341+L341</f>
        <v>0</v>
      </c>
    </row>
    <row r="342" spans="3:14">
      <c r="C342" t="s">
        <v>66</v>
      </c>
      <c r="D342">
        <f>74.5803*$D$239</f>
        <v>0</v>
      </c>
      <c r="E342">
        <f>153.113*$E$239</f>
        <v>0</v>
      </c>
      <c r="F342">
        <f>-4.8935*$F$239</f>
        <v>0</v>
      </c>
      <c r="G342">
        <f>3.5483*$G$239</f>
        <v>0</v>
      </c>
      <c r="H342">
        <f>0*$H$239</f>
        <v>0</v>
      </c>
      <c r="I342">
        <f>10.974*$I$239</f>
        <v>0</v>
      </c>
      <c r="J342">
        <f>79.8713*$J$239</f>
        <v>0</v>
      </c>
      <c r="K342">
        <f>-106.4951*$K$239</f>
        <v>0</v>
      </c>
      <c r="L342">
        <f>126.3641*$L$239</f>
        <v>0</v>
      </c>
      <c r="M342">
        <f>0+D342+E342+G342+H342+I342+J342+K342+L342</f>
        <v>0</v>
      </c>
      <c r="N342">
        <f>0+D342+F342+G342+H342+I342+J342+K342+L342</f>
        <v>0</v>
      </c>
    </row>
    <row r="343" spans="3:14">
      <c r="C343" t="s">
        <v>66</v>
      </c>
      <c r="D343">
        <f>73.9096*$D$239</f>
        <v>0</v>
      </c>
      <c r="E343">
        <f>149.9206*$E$239</f>
        <v>0</v>
      </c>
      <c r="F343">
        <f>-2.9867*$F$239</f>
        <v>0</v>
      </c>
      <c r="G343">
        <f>5.906*$G$239</f>
        <v>0</v>
      </c>
      <c r="H343">
        <f>0*$H$239</f>
        <v>0</v>
      </c>
      <c r="I343">
        <f>10.7481*$I$239</f>
        <v>0</v>
      </c>
      <c r="J343">
        <f>80.758*$J$239</f>
        <v>0</v>
      </c>
      <c r="K343">
        <f>-107.6773*$K$239</f>
        <v>0</v>
      </c>
      <c r="L343">
        <f>145.1758*$L$239</f>
        <v>0</v>
      </c>
      <c r="M343">
        <f>0+D343+E343+G343+H343+I343+J343+K343+L343</f>
        <v>0</v>
      </c>
      <c r="N343">
        <f>0+D343+F343+G343+H343+I343+J343+K343+L343</f>
        <v>0</v>
      </c>
    </row>
    <row r="344" spans="3:14">
      <c r="C344" t="s">
        <v>67</v>
      </c>
      <c r="D344">
        <f>54.4969*$D$239</f>
        <v>0</v>
      </c>
      <c r="E344">
        <f>111.5552*$E$239</f>
        <v>0</v>
      </c>
      <c r="F344">
        <f>-5.0622*$F$239</f>
        <v>0</v>
      </c>
      <c r="G344">
        <f>1.8031*$G$239</f>
        <v>0</v>
      </c>
      <c r="H344">
        <f>0*$H$239</f>
        <v>0</v>
      </c>
      <c r="I344">
        <f>8.044*$I$239</f>
        <v>0</v>
      </c>
      <c r="J344">
        <f>91.0531*$J$239</f>
        <v>0</v>
      </c>
      <c r="K344">
        <f>-121.4041*$K$239</f>
        <v>0</v>
      </c>
      <c r="L344">
        <f>85.7242*$L$239</f>
        <v>0</v>
      </c>
      <c r="M344">
        <f>0+D344+E344+G344+H344+I344+J344+K344+L344</f>
        <v>0</v>
      </c>
      <c r="N344">
        <f>0+D344+F344+G344+H344+I344+J344+K344+L344</f>
        <v>0</v>
      </c>
    </row>
    <row r="345" spans="3:14">
      <c r="C345" t="s">
        <v>67</v>
      </c>
      <c r="D345">
        <f>53.7131*$D$239</f>
        <v>0</v>
      </c>
      <c r="E345">
        <f>109.7807*$E$239</f>
        <v>0</v>
      </c>
      <c r="F345">
        <f>-4.6708*$F$239</f>
        <v>0</v>
      </c>
      <c r="G345">
        <f>3.7141*$G$239</f>
        <v>0</v>
      </c>
      <c r="H345">
        <f>0*$H$239</f>
        <v>0</v>
      </c>
      <c r="I345">
        <f>7.8257*$I$239</f>
        <v>0</v>
      </c>
      <c r="J345">
        <f>150.3147*$J$239</f>
        <v>0</v>
      </c>
      <c r="K345">
        <f>-200.4196*$K$239</f>
        <v>0</v>
      </c>
      <c r="L345">
        <f>107.9264*$L$239</f>
        <v>0</v>
      </c>
      <c r="M345">
        <f>0+D345+E345+G345+H345+I345+J345+K345+L345</f>
        <v>0</v>
      </c>
      <c r="N345">
        <f>0+D345+F345+G345+H345+I345+J345+K345+L345</f>
        <v>0</v>
      </c>
    </row>
    <row r="346" spans="3:14">
      <c r="C346" t="s">
        <v>68</v>
      </c>
      <c r="D346">
        <f>26.2341*$D$239</f>
        <v>0</v>
      </c>
      <c r="E346">
        <f>54.675*$E$239</f>
        <v>0</v>
      </c>
      <c r="F346">
        <f>-3.964*$F$239</f>
        <v>0</v>
      </c>
      <c r="G346">
        <f>0.2972*$G$239</f>
        <v>0</v>
      </c>
      <c r="H346">
        <f>0*$H$239</f>
        <v>0</v>
      </c>
      <c r="I346">
        <f>3.846*$I$239</f>
        <v>0</v>
      </c>
      <c r="J346">
        <f>103.6731*$J$239</f>
        <v>0</v>
      </c>
      <c r="K346">
        <f>-138.2309*$K$239</f>
        <v>0</v>
      </c>
      <c r="L346">
        <f>39.1531*$L$239</f>
        <v>0</v>
      </c>
      <c r="M346">
        <f>0+D346+E346+G346+H346+I346+J346+K346+L346</f>
        <v>0</v>
      </c>
      <c r="N346">
        <f>0+D346+F346+G346+H346+I346+J346+K346+L346</f>
        <v>0</v>
      </c>
    </row>
    <row r="347" spans="3:14">
      <c r="C347" t="s">
        <v>68</v>
      </c>
      <c r="D347">
        <f>25.1163*$D$239</f>
        <v>0</v>
      </c>
      <c r="E347">
        <f>51.9147*$E$239</f>
        <v>0</v>
      </c>
      <c r="F347">
        <f>-5.9205*$F$239</f>
        <v>0</v>
      </c>
      <c r="G347">
        <f>2.097*$G$239</f>
        <v>0</v>
      </c>
      <c r="H347">
        <f>0*$H$239</f>
        <v>0</v>
      </c>
      <c r="I347">
        <f>3.5516*$I$239</f>
        <v>0</v>
      </c>
      <c r="J347">
        <f>224.911*$J$239</f>
        <v>0</v>
      </c>
      <c r="K347">
        <f>-299.8813*$K$239</f>
        <v>0</v>
      </c>
      <c r="L347">
        <f>64.8511*$L$239</f>
        <v>0</v>
      </c>
      <c r="M347">
        <f>0+D347+E347+G347+H347+I347+J347+K347+L347</f>
        <v>0</v>
      </c>
      <c r="N347">
        <f>0+D347+F347+G347+H347+I347+J347+K347+L347</f>
        <v>0</v>
      </c>
    </row>
    <row r="348" spans="3:14">
      <c r="C348" t="s">
        <v>69</v>
      </c>
      <c r="D348">
        <f>-1.3997*$D$239</f>
        <v>0</v>
      </c>
      <c r="E348">
        <f>7.0828*$E$239</f>
        <v>0</v>
      </c>
      <c r="F348">
        <f>-14.9501*$F$239</f>
        <v>0</v>
      </c>
      <c r="G348">
        <f>2.2309*$G$239</f>
        <v>0</v>
      </c>
      <c r="H348">
        <f>0*$H$239</f>
        <v>0</v>
      </c>
      <c r="I348">
        <f>-0.3615*$I$239</f>
        <v>0</v>
      </c>
      <c r="J348">
        <f>-87.668*$J$239</f>
        <v>0</v>
      </c>
      <c r="K348">
        <f>116.8906*$K$239</f>
        <v>0</v>
      </c>
      <c r="L348">
        <f>15.3506*$L$239</f>
        <v>0</v>
      </c>
      <c r="M348">
        <f>0+D348+E348+G348+H348+I348+J348+K348+L348</f>
        <v>0</v>
      </c>
      <c r="N348">
        <f>0+D348+F348+G348+H348+I348+J348+K348+L348</f>
        <v>0</v>
      </c>
    </row>
    <row r="353" spans="3:14">
      <c r="C353" t="s">
        <v>72</v>
      </c>
    </row>
    <row r="355" spans="3:14">
      <c r="C355" t="s">
        <v>2</v>
      </c>
    </row>
    <row r="356" spans="3:14">
      <c r="C356" t="s">
        <v>3</v>
      </c>
      <c r="D356" t="s">
        <v>4</v>
      </c>
      <c r="E356" t="s">
        <v>5</v>
      </c>
      <c r="F356" t="s">
        <v>6</v>
      </c>
      <c r="G356" t="s">
        <v>7</v>
      </c>
      <c r="H356" t="s">
        <v>8</v>
      </c>
      <c r="I356" t="s">
        <v>9</v>
      </c>
      <c r="J356" t="s">
        <v>10</v>
      </c>
      <c r="K356" t="s">
        <v>11</v>
      </c>
      <c r="L356" t="s">
        <v>12</v>
      </c>
      <c r="M356" t="s">
        <v>13</v>
      </c>
      <c r="N356" t="s">
        <v>14</v>
      </c>
    </row>
    <row r="357" spans="3:14">
      <c r="C357" t="s">
        <v>15</v>
      </c>
      <c r="D357">
        <f>-58.023*$D$355</f>
        <v>0</v>
      </c>
      <c r="E357">
        <f>54.056*$E$355</f>
        <v>0</v>
      </c>
      <c r="F357">
        <f>-122.748*$F$355</f>
        <v>0</v>
      </c>
      <c r="G357">
        <f>-4.134*$G$355</f>
        <v>0</v>
      </c>
      <c r="H357">
        <f>0*$H$355</f>
        <v>0</v>
      </c>
      <c r="I357">
        <f>-8.177*$I$355</f>
        <v>0</v>
      </c>
      <c r="J357">
        <f>-480.87*$J$355</f>
        <v>0</v>
      </c>
      <c r="K357">
        <f>641.16*$K$355</f>
        <v>0</v>
      </c>
      <c r="L357">
        <f>-0.028*$L$355</f>
        <v>0</v>
      </c>
      <c r="M357">
        <f>0+D357+E357+G357+H357+I357+J357+K357+L357</f>
        <v>0</v>
      </c>
      <c r="N357">
        <f>0+D357+F357+G357+H357+I357+J357+K357+L357</f>
        <v>0</v>
      </c>
    </row>
    <row r="358" spans="3:14">
      <c r="C358" t="s">
        <v>16</v>
      </c>
      <c r="D358">
        <f>-92.153*$D$355</f>
        <v>0</v>
      </c>
      <c r="E358">
        <f>22.321*$E$355</f>
        <v>0</v>
      </c>
      <c r="F358">
        <f>-142.132*$F$355</f>
        <v>0</v>
      </c>
      <c r="G358">
        <f>-11.411*$G$355</f>
        <v>0</v>
      </c>
      <c r="H358">
        <f>0*$H$355</f>
        <v>0</v>
      </c>
      <c r="I358">
        <f>-12.946*$I$355</f>
        <v>0</v>
      </c>
      <c r="J358">
        <f>-333.996*$J$355</f>
        <v>0</v>
      </c>
      <c r="K358">
        <f>445.328*$K$355</f>
        <v>0</v>
      </c>
      <c r="L358">
        <f>-0.019*$L$355</f>
        <v>0</v>
      </c>
      <c r="M358">
        <f>0+D358+E358+G358+H358+I358+J358+K358+L358</f>
        <v>0</v>
      </c>
      <c r="N358">
        <f>0+D358+F358+G358+H358+I358+J358+K358+L358</f>
        <v>0</v>
      </c>
    </row>
    <row r="359" spans="3:14">
      <c r="C359" t="s">
        <v>16</v>
      </c>
      <c r="D359">
        <f>-98.1*$D$355</f>
        <v>0</v>
      </c>
      <c r="E359">
        <f>19.293*$E$355</f>
        <v>0</v>
      </c>
      <c r="F359">
        <f>-149.578*$F$355</f>
        <v>0</v>
      </c>
      <c r="G359">
        <f>-15.186*$G$355</f>
        <v>0</v>
      </c>
      <c r="H359">
        <f>0*$H$355</f>
        <v>0</v>
      </c>
      <c r="I359">
        <f>-13.659*$I$355</f>
        <v>0</v>
      </c>
      <c r="J359">
        <f>-219.126*$J$355</f>
        <v>0</v>
      </c>
      <c r="K359">
        <f>292.169*$K$355</f>
        <v>0</v>
      </c>
      <c r="L359">
        <f>-0.02*$L$355</f>
        <v>0</v>
      </c>
      <c r="M359">
        <f>0+D359+E359+G359+H359+I359+J359+K359+L359</f>
        <v>0</v>
      </c>
      <c r="N359">
        <f>0+D359+F359+G359+H359+I359+J359+K359+L359</f>
        <v>0</v>
      </c>
    </row>
    <row r="360" spans="3:14">
      <c r="C360" t="s">
        <v>17</v>
      </c>
      <c r="D360">
        <f>-98.856*$D$355</f>
        <v>0</v>
      </c>
      <c r="E360">
        <f>18.231*$E$355</f>
        <v>0</v>
      </c>
      <c r="F360">
        <f>-148.568*$F$355</f>
        <v>0</v>
      </c>
      <c r="G360">
        <f>-17.433*$G$355</f>
        <v>0</v>
      </c>
      <c r="H360">
        <f>0*$H$355</f>
        <v>0</v>
      </c>
      <c r="I360">
        <f>-13.654*$I$355</f>
        <v>0</v>
      </c>
      <c r="J360">
        <f>-137.295*$J$355</f>
        <v>0</v>
      </c>
      <c r="K360">
        <f>183.06*$K$355</f>
        <v>0</v>
      </c>
      <c r="L360">
        <f>-0.019*$L$355</f>
        <v>0</v>
      </c>
      <c r="M360">
        <f>0+D360+E360+G360+H360+I360+J360+K360+L360</f>
        <v>0</v>
      </c>
      <c r="N360">
        <f>0+D360+F360+G360+H360+I360+J360+K360+L360</f>
        <v>0</v>
      </c>
    </row>
    <row r="361" spans="3:14">
      <c r="C361" t="s">
        <v>17</v>
      </c>
      <c r="D361">
        <f>-96.755*$D$355</f>
        <v>0</v>
      </c>
      <c r="E361">
        <f>22.478*$E$355</f>
        <v>0</v>
      </c>
      <c r="F361">
        <f>-146.379*$F$355</f>
        <v>0</v>
      </c>
      <c r="G361">
        <f>-19.12*$G$355</f>
        <v>0</v>
      </c>
      <c r="H361">
        <f>0*$H$355</f>
        <v>0</v>
      </c>
      <c r="I361">
        <f>-13.212*$I$355</f>
        <v>0</v>
      </c>
      <c r="J361">
        <f>-76.442*$J$355</f>
        <v>0</v>
      </c>
      <c r="K361">
        <f>101.922*$K$355</f>
        <v>0</v>
      </c>
      <c r="L361">
        <f>-0.019*$L$355</f>
        <v>0</v>
      </c>
      <c r="M361">
        <f>0+D361+E361+G361+H361+I361+J361+K361+L361</f>
        <v>0</v>
      </c>
      <c r="N361">
        <f>0+D361+F361+G361+H361+I361+J361+K361+L361</f>
        <v>0</v>
      </c>
    </row>
    <row r="362" spans="3:14">
      <c r="C362" t="s">
        <v>18</v>
      </c>
      <c r="D362">
        <f>-93.359*$D$355</f>
        <v>0</v>
      </c>
      <c r="E362">
        <f>24.97*$E$355</f>
        <v>0</v>
      </c>
      <c r="F362">
        <f>-142.523*$F$355</f>
        <v>0</v>
      </c>
      <c r="G362">
        <f>-20.298*$G$355</f>
        <v>0</v>
      </c>
      <c r="H362">
        <f>0*$H$355</f>
        <v>0</v>
      </c>
      <c r="I362">
        <f>-12.618*$I$355</f>
        <v>0</v>
      </c>
      <c r="J362">
        <f>-28.908*$J$355</f>
        <v>0</v>
      </c>
      <c r="K362">
        <f>38.544*$K$355</f>
        <v>0</v>
      </c>
      <c r="L362">
        <f>-0.018*$L$355</f>
        <v>0</v>
      </c>
      <c r="M362">
        <f>0+D362+E362+G362+H362+I362+J362+K362+L362</f>
        <v>0</v>
      </c>
      <c r="N362">
        <f>0+D362+F362+G362+H362+I362+J362+K362+L362</f>
        <v>0</v>
      </c>
    </row>
    <row r="363" spans="3:14">
      <c r="C363" t="s">
        <v>18</v>
      </c>
      <c r="D363">
        <f>-87.446*$D$355</f>
        <v>0</v>
      </c>
      <c r="E363">
        <f>27.595*$E$355</f>
        <v>0</v>
      </c>
      <c r="F363">
        <f>-136.284*$F$355</f>
        <v>0</v>
      </c>
      <c r="G363">
        <f>-21.704*$G$355</f>
        <v>0</v>
      </c>
      <c r="H363">
        <f>0*$H$355</f>
        <v>0</v>
      </c>
      <c r="I363">
        <f>-11.623*$I$355</f>
        <v>0</v>
      </c>
      <c r="J363">
        <f>16.695*$J$355</f>
        <v>0</v>
      </c>
      <c r="K363">
        <f>-22.26*$K$355</f>
        <v>0</v>
      </c>
      <c r="L363">
        <f>-0.018*$L$355</f>
        <v>0</v>
      </c>
      <c r="M363">
        <f>0+D363+E363+G363+H363+I363+J363+K363+L363</f>
        <v>0</v>
      </c>
      <c r="N363">
        <f>0+D363+F363+G363+H363+I363+J363+K363+L363</f>
        <v>0</v>
      </c>
    </row>
    <row r="364" spans="3:14">
      <c r="C364" t="s">
        <v>19</v>
      </c>
      <c r="D364">
        <f>-80.706*$D$355</f>
        <v>0</v>
      </c>
      <c r="E364">
        <f>33.326*$E$355</f>
        <v>0</v>
      </c>
      <c r="F364">
        <f>-129.148*$F$355</f>
        <v>0</v>
      </c>
      <c r="G364">
        <f>-23.439*$G$355</f>
        <v>0</v>
      </c>
      <c r="H364">
        <f>0*$H$355</f>
        <v>0</v>
      </c>
      <c r="I364">
        <f>-10.512*$I$355</f>
        <v>0</v>
      </c>
      <c r="J364">
        <f>64.28*$J$355</f>
        <v>0</v>
      </c>
      <c r="K364">
        <f>-85.706*$K$355</f>
        <v>0</v>
      </c>
      <c r="L364">
        <f>-0.019*$L$355</f>
        <v>0</v>
      </c>
      <c r="M364">
        <f>0+D364+E364+G364+H364+I364+J364+K364+L364</f>
        <v>0</v>
      </c>
      <c r="N364">
        <f>0+D364+F364+G364+H364+I364+J364+K364+L364</f>
        <v>0</v>
      </c>
    </row>
    <row r="365" spans="3:14">
      <c r="C365" t="s">
        <v>19</v>
      </c>
      <c r="D365">
        <f>-71.875*$D$355</f>
        <v>0</v>
      </c>
      <c r="E365">
        <f>40.146*$E$355</f>
        <v>0</v>
      </c>
      <c r="F365">
        <f>-121.012*$F$355</f>
        <v>0</v>
      </c>
      <c r="G365">
        <f>-25.703*$G$355</f>
        <v>0</v>
      </c>
      <c r="H365">
        <f>0*$H$355</f>
        <v>0</v>
      </c>
      <c r="I365">
        <f>-9.085*$I$355</f>
        <v>0</v>
      </c>
      <c r="J365">
        <f>120.309*$J$355</f>
        <v>0</v>
      </c>
      <c r="K365">
        <f>-160.413*$K$355</f>
        <v>0</v>
      </c>
      <c r="L365">
        <f>-0.019*$L$355</f>
        <v>0</v>
      </c>
      <c r="M365">
        <f>0+D365+E365+G365+H365+I365+J365+K365+L365</f>
        <v>0</v>
      </c>
      <c r="N365">
        <f>0+D365+F365+G365+H365+I365+J365+K365+L365</f>
        <v>0</v>
      </c>
    </row>
    <row r="366" spans="3:14">
      <c r="C366" t="s">
        <v>20</v>
      </c>
      <c r="D366">
        <f>-62.699*$D$355</f>
        <v>0</v>
      </c>
      <c r="E366">
        <f>56.719*$E$355</f>
        <v>0</v>
      </c>
      <c r="F366">
        <f>-113.979*$F$355</f>
        <v>0</v>
      </c>
      <c r="G366">
        <f>-28.55*$G$355</f>
        <v>0</v>
      </c>
      <c r="H366">
        <f>0*$H$355</f>
        <v>0</v>
      </c>
      <c r="I366">
        <f>-7.585*$I$355</f>
        <v>0</v>
      </c>
      <c r="J366">
        <f>182.131*$J$355</f>
        <v>0</v>
      </c>
      <c r="K366">
        <f>-242.842*$K$355</f>
        <v>0</v>
      </c>
      <c r="L366">
        <f>-0.019*$L$355</f>
        <v>0</v>
      </c>
      <c r="M366">
        <f>0+D366+E366+G366+H366+I366+J366+K366+L366</f>
        <v>0</v>
      </c>
      <c r="N366">
        <f>0+D366+F366+G366+H366+I366+J366+K366+L366</f>
        <v>0</v>
      </c>
    </row>
    <row r="367" spans="3:14">
      <c r="C367" t="s">
        <v>20</v>
      </c>
      <c r="D367">
        <f>-76.504*$D$355</f>
        <v>0</v>
      </c>
      <c r="E367">
        <f>35.612*$E$355</f>
        <v>0</v>
      </c>
      <c r="F367">
        <f>-152.03*$F$355</f>
        <v>0</v>
      </c>
      <c r="G367">
        <f>2.947*$G$355</f>
        <v>0</v>
      </c>
      <c r="H367">
        <f>0*$H$355</f>
        <v>0</v>
      </c>
      <c r="I367">
        <f>-11.548*$I$355</f>
        <v>0</v>
      </c>
      <c r="J367">
        <f>-211.823*$J$355</f>
        <v>0</v>
      </c>
      <c r="K367">
        <f>282.431*$K$355</f>
        <v>0</v>
      </c>
      <c r="L367">
        <f>-0.018*$L$355</f>
        <v>0</v>
      </c>
      <c r="M367">
        <f>0+D367+E367+G367+H367+I367+J367+K367+L367</f>
        <v>0</v>
      </c>
      <c r="N367">
        <f>0+D367+F367+G367+H367+I367+J367+K367+L367</f>
        <v>0</v>
      </c>
    </row>
    <row r="368" spans="3:14">
      <c r="C368" t="s">
        <v>21</v>
      </c>
      <c r="D368">
        <f>-66.386*$D$355</f>
        <v>0</v>
      </c>
      <c r="E368">
        <f>32.117*$E$355</f>
        <v>0</v>
      </c>
      <c r="F368">
        <f>-133.458*$F$355</f>
        <v>0</v>
      </c>
      <c r="G368">
        <f>0.023*$G$355</f>
        <v>0</v>
      </c>
      <c r="H368">
        <f>0*$H$355</f>
        <v>0</v>
      </c>
      <c r="I368">
        <f>-9.903*$I$355</f>
        <v>0</v>
      </c>
      <c r="J368">
        <f>-152.334*$J$355</f>
        <v>0</v>
      </c>
      <c r="K368">
        <f>203.112*$K$355</f>
        <v>0</v>
      </c>
      <c r="L368">
        <f>-0.018*$L$355</f>
        <v>0</v>
      </c>
      <c r="M368">
        <f>0+D368+E368+G368+H368+I368+J368+K368+L368</f>
        <v>0</v>
      </c>
      <c r="N368">
        <f>0+D368+F368+G368+H368+I368+J368+K368+L368</f>
        <v>0</v>
      </c>
    </row>
    <row r="369" spans="3:14">
      <c r="C369" t="s">
        <v>21</v>
      </c>
      <c r="D369">
        <f>-55.529*$D$355</f>
        <v>0</v>
      </c>
      <c r="E369">
        <f>30.037*$E$355</f>
        <v>0</v>
      </c>
      <c r="F369">
        <f>-115.404*$F$355</f>
        <v>0</v>
      </c>
      <c r="G369">
        <f>-2.415*$G$355</f>
        <v>0</v>
      </c>
      <c r="H369">
        <f>0*$H$355</f>
        <v>0</v>
      </c>
      <c r="I369">
        <f>-8.165*$I$355</f>
        <v>0</v>
      </c>
      <c r="J369">
        <f>-101.477*$J$355</f>
        <v>0</v>
      </c>
      <c r="K369">
        <f>135.303*$K$355</f>
        <v>0</v>
      </c>
      <c r="L369">
        <f>-0.019*$L$355</f>
        <v>0</v>
      </c>
      <c r="M369">
        <f>0+D369+E369+G369+H369+I369+J369+K369+L369</f>
        <v>0</v>
      </c>
      <c r="N369">
        <f>0+D369+F369+G369+H369+I369+J369+K369+L369</f>
        <v>0</v>
      </c>
    </row>
    <row r="370" spans="3:14">
      <c r="C370" t="s">
        <v>22</v>
      </c>
      <c r="D370">
        <f>-45.73*$D$355</f>
        <v>0</v>
      </c>
      <c r="E370">
        <f>29.084*$E$355</f>
        <v>0</v>
      </c>
      <c r="F370">
        <f>-100.145*$F$355</f>
        <v>0</v>
      </c>
      <c r="G370">
        <f>-4.387*$G$355</f>
        <v>0</v>
      </c>
      <c r="H370">
        <f>0*$H$355</f>
        <v>0</v>
      </c>
      <c r="I370">
        <f>-6.586*$I$355</f>
        <v>0</v>
      </c>
      <c r="J370">
        <f>-62.484*$J$355</f>
        <v>0</v>
      </c>
      <c r="K370">
        <f>83.312*$K$355</f>
        <v>0</v>
      </c>
      <c r="L370">
        <f>-0.019*$L$355</f>
        <v>0</v>
      </c>
      <c r="M370">
        <f>0+D370+E370+G370+H370+I370+J370+K370+L370</f>
        <v>0</v>
      </c>
      <c r="N370">
        <f>0+D370+F370+G370+H370+I370+J370+K370+L370</f>
        <v>0</v>
      </c>
    </row>
    <row r="371" spans="3:14">
      <c r="C371" t="s">
        <v>22</v>
      </c>
      <c r="D371">
        <f>-35.529*$D$355</f>
        <v>0</v>
      </c>
      <c r="E371">
        <f>29.987*$E$355</f>
        <v>0</v>
      </c>
      <c r="F371">
        <f>-86.284*$F$355</f>
        <v>0</v>
      </c>
      <c r="G371">
        <f>-6.155*$G$355</f>
        <v>0</v>
      </c>
      <c r="H371">
        <f>0*$H$355</f>
        <v>0</v>
      </c>
      <c r="I371">
        <f>-4.932*$I$355</f>
        <v>0</v>
      </c>
      <c r="J371">
        <f>-30.821*$J$355</f>
        <v>0</v>
      </c>
      <c r="K371">
        <f>41.094*$K$355</f>
        <v>0</v>
      </c>
      <c r="L371">
        <f>-0.02*$L$355</f>
        <v>0</v>
      </c>
      <c r="M371">
        <f>0+D371+E371+G371+H371+I371+J371+K371+L371</f>
        <v>0</v>
      </c>
      <c r="N371">
        <f>0+D371+F371+G371+H371+I371+J371+K371+L371</f>
        <v>0</v>
      </c>
    </row>
    <row r="372" spans="3:14">
      <c r="C372" t="s">
        <v>23</v>
      </c>
      <c r="D372">
        <f>-25.85*$D$355</f>
        <v>0</v>
      </c>
      <c r="E372">
        <f>33.254*$E$355</f>
        <v>0</v>
      </c>
      <c r="F372">
        <f>-75.777*$F$355</f>
        <v>0</v>
      </c>
      <c r="G372">
        <f>-7.715*$G$355</f>
        <v>0</v>
      </c>
      <c r="H372">
        <f>0*$H$355</f>
        <v>0</v>
      </c>
      <c r="I372">
        <f>-3.378*$I$355</f>
        <v>0</v>
      </c>
      <c r="J372">
        <f>-4.387*$J$355</f>
        <v>0</v>
      </c>
      <c r="K372">
        <f>5.849*$K$355</f>
        <v>0</v>
      </c>
      <c r="L372">
        <f>-0.02*$L$355</f>
        <v>0</v>
      </c>
      <c r="M372">
        <f>0+D372+E372+G372+H372+I372+J372+K372+L372</f>
        <v>0</v>
      </c>
      <c r="N372">
        <f>0+D372+F372+G372+H372+I372+J372+K372+L372</f>
        <v>0</v>
      </c>
    </row>
    <row r="373" spans="3:14">
      <c r="C373" t="s">
        <v>23</v>
      </c>
      <c r="D373">
        <f>-15.437*$D$355</f>
        <v>0</v>
      </c>
      <c r="E373">
        <f>40.143*$E$355</f>
        <v>0</v>
      </c>
      <c r="F373">
        <f>-66.002*$F$355</f>
        <v>0</v>
      </c>
      <c r="G373">
        <f>-9.887*$G$355</f>
        <v>0</v>
      </c>
      <c r="H373">
        <f>0*$H$355</f>
        <v>0</v>
      </c>
      <c r="I373">
        <f>-1.665*$I$355</f>
        <v>0</v>
      </c>
      <c r="J373">
        <f>23.552*$J$355</f>
        <v>0</v>
      </c>
      <c r="K373">
        <f>-31.402*$K$355</f>
        <v>0</v>
      </c>
      <c r="L373">
        <f>-0.02*$L$355</f>
        <v>0</v>
      </c>
      <c r="M373">
        <f>0+D373+E373+G373+H373+I373+J373+K373+L373</f>
        <v>0</v>
      </c>
      <c r="N373">
        <f>0+D373+F373+G373+H373+I373+J373+K373+L373</f>
        <v>0</v>
      </c>
    </row>
    <row r="374" spans="3:14">
      <c r="C374" t="s">
        <v>24</v>
      </c>
      <c r="D374">
        <f>-5.22*$D$355</f>
        <v>0</v>
      </c>
      <c r="E374">
        <f>51.787*$E$355</f>
        <v>0</v>
      </c>
      <c r="F374">
        <f>-59.441*$F$355</f>
        <v>0</v>
      </c>
      <c r="G374">
        <f>-12.662*$G$355</f>
        <v>0</v>
      </c>
      <c r="H374">
        <f>0*$H$355</f>
        <v>0</v>
      </c>
      <c r="I374">
        <f>0.031*$I$355</f>
        <v>0</v>
      </c>
      <c r="J374">
        <f>55.08*$J$355</f>
        <v>0</v>
      </c>
      <c r="K374">
        <f>-73.44*$K$355</f>
        <v>0</v>
      </c>
      <c r="L374">
        <f>-0.021*$L$355</f>
        <v>0</v>
      </c>
      <c r="M374">
        <f>0+D374+E374+G374+H374+I374+J374+K374+L374</f>
        <v>0</v>
      </c>
      <c r="N374">
        <f>0+D374+F374+G374+H374+I374+J374+K374+L374</f>
        <v>0</v>
      </c>
    </row>
    <row r="375" spans="3:14">
      <c r="C375" t="s">
        <v>24</v>
      </c>
      <c r="D375">
        <f>6.34*$D$355</f>
        <v>0</v>
      </c>
      <c r="E375">
        <f>72.132*$E$355</f>
        <v>0</v>
      </c>
      <c r="F375">
        <f>-54.101*$F$355</f>
        <v>0</v>
      </c>
      <c r="G375">
        <f>-16.267*$G$355</f>
        <v>0</v>
      </c>
      <c r="H375">
        <f>0*$H$355</f>
        <v>0</v>
      </c>
      <c r="I375">
        <f>1.951*$I$355</f>
        <v>0</v>
      </c>
      <c r="J375">
        <f>94.91*$J$355</f>
        <v>0</v>
      </c>
      <c r="K375">
        <f>-126.546*$K$355</f>
        <v>0</v>
      </c>
      <c r="L375">
        <f>-0.021*$L$355</f>
        <v>0</v>
      </c>
      <c r="M375">
        <f>0+D375+E375+G375+H375+I375+J375+K375+L375</f>
        <v>0</v>
      </c>
      <c r="N375">
        <f>0+D375+F375+G375+H375+I375+J375+K375+L375</f>
        <v>0</v>
      </c>
    </row>
    <row r="376" spans="3:14">
      <c r="C376" t="s">
        <v>25</v>
      </c>
      <c r="D376">
        <f>17.444*$D$355</f>
        <v>0</v>
      </c>
      <c r="E376">
        <f>95.052*$E$355</f>
        <v>0</v>
      </c>
      <c r="F376">
        <f>-55.897*$F$355</f>
        <v>0</v>
      </c>
      <c r="G376">
        <f>-20.646*$G$355</f>
        <v>0</v>
      </c>
      <c r="H376">
        <f>0*$H$355</f>
        <v>0</v>
      </c>
      <c r="I376">
        <f>3.84*$I$355</f>
        <v>0</v>
      </c>
      <c r="J376">
        <f>140.384*$J$355</f>
        <v>0</v>
      </c>
      <c r="K376">
        <f>-187.179*$K$355</f>
        <v>0</v>
      </c>
      <c r="L376">
        <f>-0.021*$L$355</f>
        <v>0</v>
      </c>
      <c r="M376">
        <f>0+D376+E376+G376+H376+I376+J376+K376+L376</f>
        <v>0</v>
      </c>
      <c r="N376">
        <f>0+D376+F376+G376+H376+I376+J376+K376+L376</f>
        <v>0</v>
      </c>
    </row>
    <row r="377" spans="3:14">
      <c r="C377" t="s">
        <v>25</v>
      </c>
      <c r="D377">
        <f>1.481*$D$355</f>
        <v>0</v>
      </c>
      <c r="E377">
        <f>82.935*$E$355</f>
        <v>0</v>
      </c>
      <c r="F377">
        <f>-104.686*$F$355</f>
        <v>0</v>
      </c>
      <c r="G377">
        <f>20.492*$G$355</f>
        <v>0</v>
      </c>
      <c r="H377">
        <f>0*$H$355</f>
        <v>0</v>
      </c>
      <c r="I377">
        <f>-1.098*$I$355</f>
        <v>0</v>
      </c>
      <c r="J377">
        <f>-153.279*$J$355</f>
        <v>0</v>
      </c>
      <c r="K377">
        <f>204.373*$K$355</f>
        <v>0</v>
      </c>
      <c r="L377">
        <f>-0.02*$L$355</f>
        <v>0</v>
      </c>
      <c r="M377">
        <f>0+D377+E377+G377+H377+I377+J377+K377+L377</f>
        <v>0</v>
      </c>
      <c r="N377">
        <f>0+D377+F377+G377+H377+I377+J377+K377+L377</f>
        <v>0</v>
      </c>
    </row>
    <row r="378" spans="3:14">
      <c r="C378" t="s">
        <v>26</v>
      </c>
      <c r="D378">
        <f>12.371*$D$355</f>
        <v>0</v>
      </c>
      <c r="E378">
        <f>77.962*$E$355</f>
        <v>0</v>
      </c>
      <c r="F378">
        <f>-71.364*$F$355</f>
        <v>0</v>
      </c>
      <c r="G378">
        <f>16*$G$355</f>
        <v>0</v>
      </c>
      <c r="H378">
        <f>0*$H$355</f>
        <v>0</v>
      </c>
      <c r="I378">
        <f>0.769*$I$355</f>
        <v>0</v>
      </c>
      <c r="J378">
        <f>-108.728*$J$355</f>
        <v>0</v>
      </c>
      <c r="K378">
        <f>144.971*$K$355</f>
        <v>0</v>
      </c>
      <c r="L378">
        <f>-0.021*$L$355</f>
        <v>0</v>
      </c>
      <c r="M378">
        <f>0+D378+E378+G378+H378+I378+J378+K378+L378</f>
        <v>0</v>
      </c>
      <c r="N378">
        <f>0+D378+F378+G378+H378+I378+J378+K378+L378</f>
        <v>0</v>
      </c>
    </row>
    <row r="379" spans="3:14">
      <c r="C379" t="s">
        <v>26</v>
      </c>
      <c r="D379">
        <f>23.49*$D$355</f>
        <v>0</v>
      </c>
      <c r="E379">
        <f>72.812*$E$355</f>
        <v>0</v>
      </c>
      <c r="F379">
        <f>-50.255*$F$355</f>
        <v>0</v>
      </c>
      <c r="G379">
        <f>12.161*$G$355</f>
        <v>0</v>
      </c>
      <c r="H379">
        <f>0*$H$355</f>
        <v>0</v>
      </c>
      <c r="I379">
        <f>2.643*$I$355</f>
        <v>0</v>
      </c>
      <c r="J379">
        <f>-70.799*$J$355</f>
        <v>0</v>
      </c>
      <c r="K379">
        <f>94.399*$K$355</f>
        <v>0</v>
      </c>
      <c r="L379">
        <f>-0.022*$L$355</f>
        <v>0</v>
      </c>
      <c r="M379">
        <f>0+D379+E379+G379+H379+I379+J379+K379+L379</f>
        <v>0</v>
      </c>
      <c r="N379">
        <f>0+D379+F379+G379+H379+I379+J379+K379+L379</f>
        <v>0</v>
      </c>
    </row>
    <row r="380" spans="3:14">
      <c r="C380" t="s">
        <v>27</v>
      </c>
      <c r="D380">
        <f>32.977*$D$355</f>
        <v>0</v>
      </c>
      <c r="E380">
        <f>70.842*$E$355</f>
        <v>0</v>
      </c>
      <c r="F380">
        <f>-35.391*$F$355</f>
        <v>0</v>
      </c>
      <c r="G380">
        <f>9.027*$G$355</f>
        <v>0</v>
      </c>
      <c r="H380">
        <f>0*$H$355</f>
        <v>0</v>
      </c>
      <c r="I380">
        <f>4.26*$I$355</f>
        <v>0</v>
      </c>
      <c r="J380">
        <f>-42.154*$J$355</f>
        <v>0</v>
      </c>
      <c r="K380">
        <f>56.206*$K$355</f>
        <v>0</v>
      </c>
      <c r="L380">
        <f>-0.021*$L$355</f>
        <v>0</v>
      </c>
      <c r="M380">
        <f>0+D380+E380+G380+H380+I380+J380+K380+L380</f>
        <v>0</v>
      </c>
      <c r="N380">
        <f>0+D380+F380+G380+H380+I380+J380+K380+L380</f>
        <v>0</v>
      </c>
    </row>
    <row r="381" spans="3:14">
      <c r="C381" t="s">
        <v>27</v>
      </c>
      <c r="D381">
        <f>42.321*$D$355</f>
        <v>0</v>
      </c>
      <c r="E381">
        <f>75.262*$E$355</f>
        <v>0</v>
      </c>
      <c r="F381">
        <f>-27.22*$F$355</f>
        <v>0</v>
      </c>
      <c r="G381">
        <f>6.351*$G$355</f>
        <v>0</v>
      </c>
      <c r="H381">
        <f>0*$H$355</f>
        <v>0</v>
      </c>
      <c r="I381">
        <f>5.857*$I$355</f>
        <v>0</v>
      </c>
      <c r="J381">
        <f>-18.241*$J$355</f>
        <v>0</v>
      </c>
      <c r="K381">
        <f>24.322*$K$355</f>
        <v>0</v>
      </c>
      <c r="L381">
        <f>-0.021*$L$355</f>
        <v>0</v>
      </c>
      <c r="M381">
        <f>0+D381+E381+G381+H381+I381+J381+K381+L381</f>
        <v>0</v>
      </c>
      <c r="N381">
        <f>0+D381+F381+G381+H381+I381+J381+K381+L381</f>
        <v>0</v>
      </c>
    </row>
    <row r="382" spans="3:14">
      <c r="C382" t="s">
        <v>28</v>
      </c>
      <c r="D382">
        <f>50.476*$D$355</f>
        <v>0</v>
      </c>
      <c r="E382">
        <f>82.975*$E$355</f>
        <v>0</v>
      </c>
      <c r="F382">
        <f>-24.145*$F$355</f>
        <v>0</v>
      </c>
      <c r="G382">
        <f>4.129*$G$355</f>
        <v>0</v>
      </c>
      <c r="H382">
        <f>0*$H$355</f>
        <v>0</v>
      </c>
      <c r="I382">
        <f>7.242*$I$355</f>
        <v>0</v>
      </c>
      <c r="J382">
        <f>2.966*$J$355</f>
        <v>0</v>
      </c>
      <c r="K382">
        <f>-3.954*$K$355</f>
        <v>0</v>
      </c>
      <c r="L382">
        <f>-0.02*$L$355</f>
        <v>0</v>
      </c>
      <c r="M382">
        <f>0+D382+E382+G382+H382+I382+J382+K382+L382</f>
        <v>0</v>
      </c>
      <c r="N382">
        <f>0+D382+F382+G382+H382+I382+J382+K382+L382</f>
        <v>0</v>
      </c>
    </row>
    <row r="383" spans="3:14">
      <c r="C383" t="s">
        <v>28</v>
      </c>
      <c r="D383">
        <f>58.593*$D$355</f>
        <v>0</v>
      </c>
      <c r="E383">
        <f>93.43*$E$355</f>
        <v>0</v>
      </c>
      <c r="F383">
        <f>-21.572*$F$355</f>
        <v>0</v>
      </c>
      <c r="G383">
        <f>1.505*$G$355</f>
        <v>0</v>
      </c>
      <c r="H383">
        <f>0*$H$355</f>
        <v>0</v>
      </c>
      <c r="I383">
        <f>8.661*$I$355</f>
        <v>0</v>
      </c>
      <c r="J383">
        <f>27.922*$J$355</f>
        <v>0</v>
      </c>
      <c r="K383">
        <f>-37.23*$K$355</f>
        <v>0</v>
      </c>
      <c r="L383">
        <f>-0.019*$L$355</f>
        <v>0</v>
      </c>
      <c r="M383">
        <f>0+D383+E383+G383+H383+I383+J383+K383+L383</f>
        <v>0</v>
      </c>
      <c r="N383">
        <f>0+D383+F383+G383+H383+I383+J383+K383+L383</f>
        <v>0</v>
      </c>
    </row>
    <row r="384" spans="3:14">
      <c r="C384" t="s">
        <v>29</v>
      </c>
      <c r="D384">
        <f>65.575*$D$355</f>
        <v>0</v>
      </c>
      <c r="E384">
        <f>107.682*$E$355</f>
        <v>0</v>
      </c>
      <c r="F384">
        <f>-22.162*$F$355</f>
        <v>0</v>
      </c>
      <c r="G384">
        <f>-1.527*$G$355</f>
        <v>0</v>
      </c>
      <c r="H384">
        <f>0*$H$355</f>
        <v>0</v>
      </c>
      <c r="I384">
        <f>9.915*$I$355</f>
        <v>0</v>
      </c>
      <c r="J384">
        <f>58.691*$J$355</f>
        <v>0</v>
      </c>
      <c r="K384">
        <f>-78.255*$K$355</f>
        <v>0</v>
      </c>
      <c r="L384">
        <f>-0.017*$L$355</f>
        <v>0</v>
      </c>
      <c r="M384">
        <f>0+D384+E384+G384+H384+I384+J384+K384+L384</f>
        <v>0</v>
      </c>
      <c r="N384">
        <f>0+D384+F384+G384+H384+I384+J384+K384+L384</f>
        <v>0</v>
      </c>
    </row>
    <row r="385" spans="3:14">
      <c r="C385" t="s">
        <v>29</v>
      </c>
      <c r="D385">
        <f>72.902*$D$355</f>
        <v>0</v>
      </c>
      <c r="E385">
        <f>127.199*$E$355</f>
        <v>0</v>
      </c>
      <c r="F385">
        <f>-24.098*$F$355</f>
        <v>0</v>
      </c>
      <c r="G385">
        <f>-5.235*$G$355</f>
        <v>0</v>
      </c>
      <c r="H385">
        <f>0*$H$355</f>
        <v>0</v>
      </c>
      <c r="I385">
        <f>11.241*$I$355</f>
        <v>0</v>
      </c>
      <c r="J385">
        <f>99.841*$J$355</f>
        <v>0</v>
      </c>
      <c r="K385">
        <f>-133.121*$K$355</f>
        <v>0</v>
      </c>
      <c r="L385">
        <f>-0.014*$L$355</f>
        <v>0</v>
      </c>
      <c r="M385">
        <f>0+D385+E385+G385+H385+I385+J385+K385+L385</f>
        <v>0</v>
      </c>
      <c r="N385">
        <f>0+D385+F385+G385+H385+I385+J385+K385+L385</f>
        <v>0</v>
      </c>
    </row>
    <row r="386" spans="3:14">
      <c r="C386" t="s">
        <v>30</v>
      </c>
      <c r="D386">
        <f>78.982*$D$355</f>
        <v>0</v>
      </c>
      <c r="E386">
        <f>145.024*$E$355</f>
        <v>0</v>
      </c>
      <c r="F386">
        <f>-27.615*$F$355</f>
        <v>0</v>
      </c>
      <c r="G386">
        <f>-9.58*$G$355</f>
        <v>0</v>
      </c>
      <c r="H386">
        <f>0*$H$355</f>
        <v>0</v>
      </c>
      <c r="I386">
        <f>12.415*$I$355</f>
        <v>0</v>
      </c>
      <c r="J386">
        <f>148.579*$J$355</f>
        <v>0</v>
      </c>
      <c r="K386">
        <f>-198.106*$K$355</f>
        <v>0</v>
      </c>
      <c r="L386">
        <f>-0.00958*$L$355</f>
        <v>0</v>
      </c>
      <c r="M386">
        <f>0+D386+E386+G386+H386+I386+J386+K386+L386</f>
        <v>0</v>
      </c>
      <c r="N386">
        <f>0+D386+F386+G386+H386+I386+J386+K386+L386</f>
        <v>0</v>
      </c>
    </row>
    <row r="387" spans="3:14">
      <c r="C387" t="s">
        <v>30</v>
      </c>
      <c r="D387">
        <f>88.883*$D$355</f>
        <v>0</v>
      </c>
      <c r="E387">
        <f>122.309*$E$355</f>
        <v>0</v>
      </c>
      <c r="F387">
        <f>-44.806*$F$355</f>
        <v>0</v>
      </c>
      <c r="G387">
        <f>29.08*$G$355</f>
        <v>0</v>
      </c>
      <c r="H387">
        <f>0*$H$355</f>
        <v>0</v>
      </c>
      <c r="I387">
        <f>11.271*$I$355</f>
        <v>0</v>
      </c>
      <c r="J387">
        <f>-180.791*$J$355</f>
        <v>0</v>
      </c>
      <c r="K387">
        <f>241.055*$K$355</f>
        <v>0</v>
      </c>
      <c r="L387">
        <f>-0.033*$L$355</f>
        <v>0</v>
      </c>
      <c r="M387">
        <f>0+D387+E387+G387+H387+I387+J387+K387+L387</f>
        <v>0</v>
      </c>
      <c r="N387">
        <f>0+D387+F387+G387+H387+I387+J387+K387+L387</f>
        <v>0</v>
      </c>
    </row>
    <row r="388" spans="3:14">
      <c r="C388" t="s">
        <v>31</v>
      </c>
      <c r="D388">
        <f>92.454*$D$355</f>
        <v>0</v>
      </c>
      <c r="E388">
        <f>121.316*$E$355</f>
        <v>0</v>
      </c>
      <c r="F388">
        <f>-26.883*$F$355</f>
        <v>0</v>
      </c>
      <c r="G388">
        <f>24.947*$G$355</f>
        <v>0</v>
      </c>
      <c r="H388">
        <f>0*$H$355</f>
        <v>0</v>
      </c>
      <c r="I388">
        <f>12.068*$I$355</f>
        <v>0</v>
      </c>
      <c r="J388">
        <f>-133.324*$J$355</f>
        <v>0</v>
      </c>
      <c r="K388">
        <f>177.765*$K$355</f>
        <v>0</v>
      </c>
      <c r="L388">
        <f>-0.029*$L$355</f>
        <v>0</v>
      </c>
      <c r="M388">
        <f>0+D388+E388+G388+H388+I388+J388+K388+L388</f>
        <v>0</v>
      </c>
      <c r="N388">
        <f>0+D388+F388+G388+H388+I388+J388+K388+L388</f>
        <v>0</v>
      </c>
    </row>
    <row r="389" spans="3:14">
      <c r="C389" t="s">
        <v>31</v>
      </c>
      <c r="D389">
        <f>95.052*$D$355</f>
        <v>0</v>
      </c>
      <c r="E389">
        <f>121.051*$E$355</f>
        <v>0</v>
      </c>
      <c r="F389">
        <f>-13.366*$F$355</f>
        <v>0</v>
      </c>
      <c r="G389">
        <f>21.253*$G$355</f>
        <v>0</v>
      </c>
      <c r="H389">
        <f>0*$H$355</f>
        <v>0</v>
      </c>
      <c r="I389">
        <f>12.701*$I$355</f>
        <v>0</v>
      </c>
      <c r="J389">
        <f>-89.323*$J$355</f>
        <v>0</v>
      </c>
      <c r="K389">
        <f>119.098*$K$355</f>
        <v>0</v>
      </c>
      <c r="L389">
        <f>-0.025*$L$355</f>
        <v>0</v>
      </c>
      <c r="M389">
        <f>0+D389+E389+G389+H389+I389+J389+K389+L389</f>
        <v>0</v>
      </c>
      <c r="N389">
        <f>0+D389+F389+G389+H389+I389+J389+K389+L389</f>
        <v>0</v>
      </c>
    </row>
    <row r="390" spans="3:14">
      <c r="C390" t="s">
        <v>32</v>
      </c>
      <c r="D390">
        <f>95.158*$D$355</f>
        <v>0</v>
      </c>
      <c r="E390">
        <f>123.017*$E$355</f>
        <v>0</v>
      </c>
      <c r="F390">
        <f>-8.962*$F$355</f>
        <v>0</v>
      </c>
      <c r="G390">
        <f>18.036*$G$355</f>
        <v>0</v>
      </c>
      <c r="H390">
        <f>0*$H$355</f>
        <v>0</v>
      </c>
      <c r="I390">
        <f>12.962*$I$355</f>
        <v>0</v>
      </c>
      <c r="J390">
        <f>-51.306*$J$355</f>
        <v>0</v>
      </c>
      <c r="K390">
        <f>68.408*$K$355</f>
        <v>0</v>
      </c>
      <c r="L390">
        <f>-0.021*$L$355</f>
        <v>0</v>
      </c>
      <c r="M390">
        <f>0+D390+E390+G390+H390+I390+J390+K390+L390</f>
        <v>0</v>
      </c>
      <c r="N390">
        <f>0+D390+F390+G390+H390+I390+J390+K390+L390</f>
        <v>0</v>
      </c>
    </row>
    <row r="391" spans="3:14">
      <c r="C391" t="s">
        <v>32</v>
      </c>
      <c r="D391">
        <f>93.503*$D$355</f>
        <v>0</v>
      </c>
      <c r="E391">
        <f>123.864*$E$355</f>
        <v>0</v>
      </c>
      <c r="F391">
        <f>-8.724*$F$355</f>
        <v>0</v>
      </c>
      <c r="G391">
        <f>14.96*$G$355</f>
        <v>0</v>
      </c>
      <c r="H391">
        <f>0*$H$355</f>
        <v>0</v>
      </c>
      <c r="I391">
        <f>12.987*$I$355</f>
        <v>0</v>
      </c>
      <c r="J391">
        <f>-14.385*$J$355</f>
        <v>0</v>
      </c>
      <c r="K391">
        <f>19.18*$K$355</f>
        <v>0</v>
      </c>
      <c r="L391">
        <f>-0.017*$L$355</f>
        <v>0</v>
      </c>
      <c r="M391">
        <f>0+D391+E391+G391+H391+I391+J391+K391+L391</f>
        <v>0</v>
      </c>
      <c r="N391">
        <f>0+D391+F391+G391+H391+I391+J391+K391+L391</f>
        <v>0</v>
      </c>
    </row>
    <row r="392" spans="3:14">
      <c r="C392" t="s">
        <v>33</v>
      </c>
      <c r="D392">
        <f>88.295*$D$355</f>
        <v>0</v>
      </c>
      <c r="E392">
        <f>122.647*$E$355</f>
        <v>0</v>
      </c>
      <c r="F392">
        <f>-11.72*$F$355</f>
        <v>0</v>
      </c>
      <c r="G392">
        <f>12.203*$G$355</f>
        <v>0</v>
      </c>
      <c r="H392">
        <f>0*$H$355</f>
        <v>0</v>
      </c>
      <c r="I392">
        <f>12.462*$I$355</f>
        <v>0</v>
      </c>
      <c r="J392">
        <f>22.493*$J$355</f>
        <v>0</v>
      </c>
      <c r="K392">
        <f>-29.99*$K$355</f>
        <v>0</v>
      </c>
      <c r="L392">
        <f>-0.012*$L$355</f>
        <v>0</v>
      </c>
      <c r="M392">
        <f>0+D392+E392+G392+H392+I392+J392+K392+L392</f>
        <v>0</v>
      </c>
      <c r="N392">
        <f>0+D392+F392+G392+H392+I392+J392+K392+L392</f>
        <v>0</v>
      </c>
    </row>
    <row r="393" spans="3:14">
      <c r="C393" t="s">
        <v>33</v>
      </c>
      <c r="D393">
        <f>79.416*$D$355</f>
        <v>0</v>
      </c>
      <c r="E393">
        <f>117.581*$E$355</f>
        <v>0</v>
      </c>
      <c r="F393">
        <f>-17.581*$F$355</f>
        <v>0</v>
      </c>
      <c r="G393">
        <f>8.732*$G$355</f>
        <v>0</v>
      </c>
      <c r="H393">
        <f>0*$H$355</f>
        <v>0</v>
      </c>
      <c r="I393">
        <f>11.465*$I$355</f>
        <v>0</v>
      </c>
      <c r="J393">
        <f>68.759*$J$355</f>
        <v>0</v>
      </c>
      <c r="K393">
        <f>-91.678*$K$355</f>
        <v>0</v>
      </c>
      <c r="L393">
        <f>-0.003702*$L$355</f>
        <v>0</v>
      </c>
      <c r="M393">
        <f>0+D393+E393+G393+H393+I393+J393+K393+L393</f>
        <v>0</v>
      </c>
      <c r="N393">
        <f>0+D393+F393+G393+H393+I393+J393+K393+L393</f>
        <v>0</v>
      </c>
    </row>
    <row r="394" spans="3:14">
      <c r="C394" t="s">
        <v>34</v>
      </c>
      <c r="D394">
        <f>64.753*$D$355</f>
        <v>0</v>
      </c>
      <c r="E394">
        <f>109.277*$E$355</f>
        <v>0</v>
      </c>
      <c r="F394">
        <f>-24.594*$F$355</f>
        <v>0</v>
      </c>
      <c r="G394">
        <f>4.662*$G$355</f>
        <v>0</v>
      </c>
      <c r="H394">
        <f>0*$H$355</f>
        <v>0</v>
      </c>
      <c r="I394">
        <f>9.636*$I$355</f>
        <v>0</v>
      </c>
      <c r="J394">
        <f>125.496*$J$355</f>
        <v>0</v>
      </c>
      <c r="K394">
        <f>-167.327*$K$355</f>
        <v>0</v>
      </c>
      <c r="L394">
        <f>0.008106*$L$355</f>
        <v>0</v>
      </c>
      <c r="M394">
        <f>0+D394+E394+G394+H394+I394+J394+K394+L394</f>
        <v>0</v>
      </c>
      <c r="N394">
        <f>0+D394+F394+G394+H394+I394+J394+K394+L394</f>
        <v>0</v>
      </c>
    </row>
    <row r="395" spans="3:14">
      <c r="C395" t="s">
        <v>34</v>
      </c>
      <c r="D395">
        <f>43.435*$D$355</f>
        <v>0</v>
      </c>
      <c r="E395">
        <f>98.977*$E$355</f>
        <v>0</v>
      </c>
      <c r="F395">
        <f>-35.892*$F$355</f>
        <v>0</v>
      </c>
      <c r="G395">
        <f>-0.716*$G$355</f>
        <v>0</v>
      </c>
      <c r="H395">
        <f>0*$H$355</f>
        <v>0</v>
      </c>
      <c r="I395">
        <f>6.908*$I$355</f>
        <v>0</v>
      </c>
      <c r="J395">
        <f>202.091*$J$355</f>
        <v>0</v>
      </c>
      <c r="K395">
        <f>-269.455*$K$355</f>
        <v>0</v>
      </c>
      <c r="L395">
        <f>0.028*$L$355</f>
        <v>0</v>
      </c>
      <c r="M395">
        <f>0+D395+E395+G395+H395+I395+J395+K395+L395</f>
        <v>0</v>
      </c>
      <c r="N395">
        <f>0+D395+F395+G395+H395+I395+J395+K395+L395</f>
        <v>0</v>
      </c>
    </row>
    <row r="396" spans="3:14">
      <c r="C396" t="s">
        <v>35</v>
      </c>
      <c r="D396">
        <f>15.142*$D$355</f>
        <v>0</v>
      </c>
      <c r="E396">
        <f>96.927*$E$355</f>
        <v>0</v>
      </c>
      <c r="F396">
        <f>-52.508*$F$355</f>
        <v>0</v>
      </c>
      <c r="G396">
        <f>-7.493*$G$355</f>
        <v>0</v>
      </c>
      <c r="H396">
        <f>0*$H$355</f>
        <v>0</v>
      </c>
      <c r="I396">
        <f>3.235*$I$355</f>
        <v>0</v>
      </c>
      <c r="J396">
        <f>295.48*$J$355</f>
        <v>0</v>
      </c>
      <c r="K396">
        <f>-393.974*$K$355</f>
        <v>0</v>
      </c>
      <c r="L396">
        <f>0.052*$L$355</f>
        <v>0</v>
      </c>
      <c r="M396">
        <f>0+D396+E396+G396+H396+I396+J396+K396+L396</f>
        <v>0</v>
      </c>
      <c r="N396">
        <f>0+D396+F396+G396+H396+I396+J396+K396+L396</f>
        <v>0</v>
      </c>
    </row>
    <row r="397" spans="3:14">
      <c r="C397" t="s">
        <v>35</v>
      </c>
      <c r="D397">
        <f>36.425*$D$355</f>
        <v>0</v>
      </c>
      <c r="E397">
        <f>46.897*$E$355</f>
        <v>0</v>
      </c>
      <c r="F397">
        <f>-13.388*$F$355</f>
        <v>0</v>
      </c>
      <c r="G397">
        <f>6.237*$G$355</f>
        <v>0</v>
      </c>
      <c r="H397">
        <f>0*$H$355</f>
        <v>0</v>
      </c>
      <c r="I397">
        <f>5.001*$I$355</f>
        <v>0</v>
      </c>
      <c r="J397">
        <f>-62.096*$J$355</f>
        <v>0</v>
      </c>
      <c r="K397">
        <f>82.794*$K$355</f>
        <v>0</v>
      </c>
      <c r="L397">
        <f>-0.017*$L$355</f>
        <v>0</v>
      </c>
      <c r="M397">
        <f>0+D397+E397+G397+H397+I397+J397+K397+L397</f>
        <v>0</v>
      </c>
      <c r="N397">
        <f>0+D397+F397+G397+H397+I397+J397+K397+L397</f>
        <v>0</v>
      </c>
    </row>
    <row r="398" spans="3:14">
      <c r="C398" t="s">
        <v>36</v>
      </c>
      <c r="D398">
        <f>36.425*$D$355</f>
        <v>0</v>
      </c>
      <c r="E398">
        <f>46.897*$E$355</f>
        <v>0</v>
      </c>
      <c r="F398">
        <f>-13.389*$F$355</f>
        <v>0</v>
      </c>
      <c r="G398">
        <f>6.237*$G$355</f>
        <v>0</v>
      </c>
      <c r="H398">
        <f>0*$H$355</f>
        <v>0</v>
      </c>
      <c r="I398">
        <f>5.001*$I$355</f>
        <v>0</v>
      </c>
      <c r="J398">
        <f>-62.096*$J$355</f>
        <v>0</v>
      </c>
      <c r="K398">
        <f>82.794*$K$355</f>
        <v>0</v>
      </c>
      <c r="L398">
        <f>-0.017*$L$355</f>
        <v>0</v>
      </c>
      <c r="M398">
        <f>0+D398+E398+G398+H398+I398+J398+K398+L398</f>
        <v>0</v>
      </c>
      <c r="N398">
        <f>0+D398+F398+G398+H398+I398+J398+K398+L398</f>
        <v>0</v>
      </c>
    </row>
    <row r="399" spans="3:14">
      <c r="C399" t="s">
        <v>36</v>
      </c>
      <c r="D399">
        <f>-35.099*$D$355</f>
        <v>0</v>
      </c>
      <c r="E399">
        <f>5.645*$E$355</f>
        <v>0</v>
      </c>
      <c r="F399">
        <f>-43.303*$F$355</f>
        <v>0</v>
      </c>
      <c r="G399">
        <f>-6.097*$G$355</f>
        <v>0</v>
      </c>
      <c r="H399">
        <f>0*$H$355</f>
        <v>0</v>
      </c>
      <c r="I399">
        <f>-4.816*$I$355</f>
        <v>0</v>
      </c>
      <c r="J399">
        <f>62.554*$J$355</f>
        <v>0</v>
      </c>
      <c r="K399">
        <f>-83.406*$K$355</f>
        <v>0</v>
      </c>
      <c r="L399">
        <f>0.09*$L$355</f>
        <v>0</v>
      </c>
      <c r="M399">
        <f>0+D399+E399+G399+H399+I399+J399+K399+L399</f>
        <v>0</v>
      </c>
      <c r="N399">
        <f>0+D399+F399+G399+H399+I399+J399+K399+L399</f>
        <v>0</v>
      </c>
    </row>
    <row r="400" spans="3:14">
      <c r="C400" t="s">
        <v>37</v>
      </c>
      <c r="D400">
        <f>-35.099*$D$355</f>
        <v>0</v>
      </c>
      <c r="E400">
        <f>5.645*$E$355</f>
        <v>0</v>
      </c>
      <c r="F400">
        <f>-43.303*$F$355</f>
        <v>0</v>
      </c>
      <c r="G400">
        <f>-6.097*$G$355</f>
        <v>0</v>
      </c>
      <c r="H400">
        <f>0*$H$355</f>
        <v>0</v>
      </c>
      <c r="I400">
        <f>-4.816*$I$355</f>
        <v>0</v>
      </c>
      <c r="J400">
        <f>62.554*$J$355</f>
        <v>0</v>
      </c>
      <c r="K400">
        <f>-83.406*$K$355</f>
        <v>0</v>
      </c>
      <c r="L400">
        <f>0.09*$L$355</f>
        <v>0</v>
      </c>
      <c r="M400">
        <f>0+D400+E400+G400+H400+I400+J400+K400+L400</f>
        <v>0</v>
      </c>
      <c r="N400">
        <f>0+D400+F400+G400+H400+I400+J400+K400+L400</f>
        <v>0</v>
      </c>
    </row>
    <row r="401" spans="3:14">
      <c r="C401" t="s">
        <v>37</v>
      </c>
      <c r="D401">
        <f>-10.544*$D$355</f>
        <v>0</v>
      </c>
      <c r="E401">
        <f>46.211*$E$355</f>
        <v>0</v>
      </c>
      <c r="F401">
        <f>-67.131*$F$355</f>
        <v>0</v>
      </c>
      <c r="G401">
        <f>7.063*$G$355</f>
        <v>0</v>
      </c>
      <c r="H401">
        <f>0*$H$355</f>
        <v>0</v>
      </c>
      <c r="I401">
        <f>-2.539*$I$355</f>
        <v>0</v>
      </c>
      <c r="J401">
        <f>-302.255*$J$355</f>
        <v>0</v>
      </c>
      <c r="K401">
        <f>403.007*$K$355</f>
        <v>0</v>
      </c>
      <c r="L401">
        <f>0.454*$L$355</f>
        <v>0</v>
      </c>
      <c r="M401">
        <f>0+D401+E401+G401+H401+I401+J401+K401+L401</f>
        <v>0</v>
      </c>
      <c r="N401">
        <f>0+D401+F401+G401+H401+I401+J401+K401+L401</f>
        <v>0</v>
      </c>
    </row>
    <row r="402" spans="3:14">
      <c r="C402" t="s">
        <v>38</v>
      </c>
      <c r="D402">
        <f>-37.629*$D$355</f>
        <v>0</v>
      </c>
      <c r="E402">
        <f>32.292*$E$355</f>
        <v>0</v>
      </c>
      <c r="F402">
        <f>-84.282*$F$355</f>
        <v>0</v>
      </c>
      <c r="G402">
        <f>0.427*$G$355</f>
        <v>0</v>
      </c>
      <c r="H402">
        <f>0*$H$355</f>
        <v>0</v>
      </c>
      <c r="I402">
        <f>-6.046*$I$355</f>
        <v>0</v>
      </c>
      <c r="J402">
        <f>-208.173*$J$355</f>
        <v>0</v>
      </c>
      <c r="K402">
        <f>277.564*$K$355</f>
        <v>0</v>
      </c>
      <c r="L402">
        <f>0.491*$L$355</f>
        <v>0</v>
      </c>
      <c r="M402">
        <f>0+D402+E402+G402+H402+I402+J402+K402+L402</f>
        <v>0</v>
      </c>
      <c r="N402">
        <f>0+D402+F402+G402+H402+I402+J402+K402+L402</f>
        <v>0</v>
      </c>
    </row>
    <row r="403" spans="3:14">
      <c r="C403" t="s">
        <v>38</v>
      </c>
      <c r="D403">
        <f>-58.058*$D$355</f>
        <v>0</v>
      </c>
      <c r="E403">
        <f>21.626*$E$355</f>
        <v>0</v>
      </c>
      <c r="F403">
        <f>-102.85*$F$355</f>
        <v>0</v>
      </c>
      <c r="G403">
        <f>-4.833*$G$355</f>
        <v>0</v>
      </c>
      <c r="H403">
        <f>0*$H$355</f>
        <v>0</v>
      </c>
      <c r="I403">
        <f>-8.654*$I$355</f>
        <v>0</v>
      </c>
      <c r="J403">
        <f>-130.937*$J$355</f>
        <v>0</v>
      </c>
      <c r="K403">
        <f>174.583*$K$355</f>
        <v>0</v>
      </c>
      <c r="L403">
        <f>0.492*$L$355</f>
        <v>0</v>
      </c>
      <c r="M403">
        <f>0+D403+E403+G403+H403+I403+J403+K403+L403</f>
        <v>0</v>
      </c>
      <c r="N403">
        <f>0+D403+F403+G403+H403+I403+J403+K403+L403</f>
        <v>0</v>
      </c>
    </row>
    <row r="404" spans="3:14">
      <c r="C404" t="s">
        <v>39</v>
      </c>
      <c r="D404">
        <f>-72.144*$D$355</f>
        <v>0</v>
      </c>
      <c r="E404">
        <f>14.639*$E$355</f>
        <v>0</v>
      </c>
      <c r="F404">
        <f>-113.421*$F$355</f>
        <v>0</v>
      </c>
      <c r="G404">
        <f>-8.808*$G$355</f>
        <v>0</v>
      </c>
      <c r="H404">
        <f>0*$H$355</f>
        <v>0</v>
      </c>
      <c r="I404">
        <f>-10.406*$I$355</f>
        <v>0</v>
      </c>
      <c r="J404">
        <f>-73.623*$J$355</f>
        <v>0</v>
      </c>
      <c r="K404">
        <f>98.164*$K$355</f>
        <v>0</v>
      </c>
      <c r="L404">
        <f>0.573*$L$355</f>
        <v>0</v>
      </c>
      <c r="M404">
        <f>0+D404+E404+G404+H404+I404+J404+K404+L404</f>
        <v>0</v>
      </c>
      <c r="N404">
        <f>0+D404+F404+G404+H404+I404+J404+K404+L404</f>
        <v>0</v>
      </c>
    </row>
    <row r="405" spans="3:14">
      <c r="C405" t="s">
        <v>39</v>
      </c>
      <c r="D405">
        <f>-80.7*$D$355</f>
        <v>0</v>
      </c>
      <c r="E405">
        <f>11.262*$E$355</f>
        <v>0</v>
      </c>
      <c r="F405">
        <f>-118.219*$F$355</f>
        <v>0</v>
      </c>
      <c r="G405">
        <f>-12.199*$G$355</f>
        <v>0</v>
      </c>
      <c r="H405">
        <f>0*$H$355</f>
        <v>0</v>
      </c>
      <c r="I405">
        <f>-11.361*$I$355</f>
        <v>0</v>
      </c>
      <c r="J405">
        <f>-26.79*$J$355</f>
        <v>0</v>
      </c>
      <c r="K405">
        <f>35.72*$K$355</f>
        <v>0</v>
      </c>
      <c r="L405">
        <f>0.685*$L$355</f>
        <v>0</v>
      </c>
      <c r="M405">
        <f>0+D405+E405+G405+H405+I405+J405+K405+L405</f>
        <v>0</v>
      </c>
      <c r="N405">
        <f>0+D405+F405+G405+H405+I405+J405+K405+L405</f>
        <v>0</v>
      </c>
    </row>
    <row r="406" spans="3:14">
      <c r="C406" t="s">
        <v>40</v>
      </c>
      <c r="D406">
        <f>-85.72*$D$355</f>
        <v>0</v>
      </c>
      <c r="E406">
        <f>9.285*$E$355</f>
        <v>0</v>
      </c>
      <c r="F406">
        <f>-119.211*$F$355</f>
        <v>0</v>
      </c>
      <c r="G406">
        <f>-14.887*$G$355</f>
        <v>0</v>
      </c>
      <c r="H406">
        <f>0*$H$355</f>
        <v>0</v>
      </c>
      <c r="I406">
        <f>-11.864*$I$355</f>
        <v>0</v>
      </c>
      <c r="J406">
        <f>10.64*$J$355</f>
        <v>0</v>
      </c>
      <c r="K406">
        <f>-14.187*$K$355</f>
        <v>0</v>
      </c>
      <c r="L406">
        <f>0.832*$L$355</f>
        <v>0</v>
      </c>
      <c r="M406">
        <f>0+D406+E406+G406+H406+I406+J406+K406+L406</f>
        <v>0</v>
      </c>
      <c r="N406">
        <f>0+D406+F406+G406+H406+I406+J406+K406+L406</f>
        <v>0</v>
      </c>
    </row>
    <row r="407" spans="3:14">
      <c r="C407" t="s">
        <v>40</v>
      </c>
      <c r="D407">
        <f>-87.352*$D$355</f>
        <v>0</v>
      </c>
      <c r="E407">
        <f>10.69*$E$355</f>
        <v>0</v>
      </c>
      <c r="F407">
        <f>-117.029*$F$355</f>
        <v>0</v>
      </c>
      <c r="G407">
        <f>-17.89*$G$355</f>
        <v>0</v>
      </c>
      <c r="H407">
        <f>0*$H$355</f>
        <v>0</v>
      </c>
      <c r="I407">
        <f>-11.841*$I$355</f>
        <v>0</v>
      </c>
      <c r="J407">
        <f>48.213*$J$355</f>
        <v>0</v>
      </c>
      <c r="K407">
        <f>-64.285*$K$355</f>
        <v>0</v>
      </c>
      <c r="L407">
        <f>0.999*$L$355</f>
        <v>0</v>
      </c>
      <c r="M407">
        <f>0+D407+E407+G407+H407+I407+J407+K407+L407</f>
        <v>0</v>
      </c>
      <c r="N407">
        <f>0+D407+F407+G407+H407+I407+J407+K407+L407</f>
        <v>0</v>
      </c>
    </row>
    <row r="408" spans="3:14">
      <c r="C408" t="s">
        <v>41</v>
      </c>
      <c r="D408">
        <f>-87.309*$D$355</f>
        <v>0</v>
      </c>
      <c r="E408">
        <f>16.312*$E$355</f>
        <v>0</v>
      </c>
      <c r="F408">
        <f>-114.117*$F$355</f>
        <v>0</v>
      </c>
      <c r="G408">
        <f>-21.035*$G$355</f>
        <v>0</v>
      </c>
      <c r="H408">
        <f>0*$H$355</f>
        <v>0</v>
      </c>
      <c r="I408">
        <f>-11.594*$I$355</f>
        <v>0</v>
      </c>
      <c r="J408">
        <f>86.915*$J$355</f>
        <v>0</v>
      </c>
      <c r="K408">
        <f>-115.887*$K$355</f>
        <v>0</v>
      </c>
      <c r="L408">
        <f>1.179*$L$355</f>
        <v>0</v>
      </c>
      <c r="M408">
        <f>0+D408+E408+G408+H408+I408+J408+K408+L408</f>
        <v>0</v>
      </c>
      <c r="N408">
        <f>0+D408+F408+G408+H408+I408+J408+K408+L408</f>
        <v>0</v>
      </c>
    </row>
    <row r="409" spans="3:14">
      <c r="C409" t="s">
        <v>41</v>
      </c>
      <c r="D409">
        <f>-84.879*$D$355</f>
        <v>0</v>
      </c>
      <c r="E409">
        <f>27.205*$E$355</f>
        <v>0</v>
      </c>
      <c r="F409">
        <f>-110.301*$F$355</f>
        <v>0</v>
      </c>
      <c r="G409">
        <f>-24.648*$G$355</f>
        <v>0</v>
      </c>
      <c r="H409">
        <f>0*$H$355</f>
        <v>0</v>
      </c>
      <c r="I409">
        <f>-10.991*$I$355</f>
        <v>0</v>
      </c>
      <c r="J409">
        <f>131.724*$J$355</f>
        <v>0</v>
      </c>
      <c r="K409">
        <f>-175.632*$K$355</f>
        <v>0</v>
      </c>
      <c r="L409">
        <f>1.399*$L$355</f>
        <v>0</v>
      </c>
      <c r="M409">
        <f>0+D409+E409+G409+H409+I409+J409+K409+L409</f>
        <v>0</v>
      </c>
      <c r="N409">
        <f>0+D409+F409+G409+H409+I409+J409+K409+L409</f>
        <v>0</v>
      </c>
    </row>
    <row r="410" spans="3:14">
      <c r="C410" t="s">
        <v>42</v>
      </c>
      <c r="D410">
        <f>-81.537*$D$355</f>
        <v>0</v>
      </c>
      <c r="E410">
        <f>43.107*$E$355</f>
        <v>0</v>
      </c>
      <c r="F410">
        <f>-109.006*$F$355</f>
        <v>0</v>
      </c>
      <c r="G410">
        <f>-28.706*$G$355</f>
        <v>0</v>
      </c>
      <c r="H410">
        <f>0*$H$355</f>
        <v>0</v>
      </c>
      <c r="I410">
        <f>-10.234*$I$355</f>
        <v>0</v>
      </c>
      <c r="J410">
        <f>179.988*$J$355</f>
        <v>0</v>
      </c>
      <c r="K410">
        <f>-239.984*$K$355</f>
        <v>0</v>
      </c>
      <c r="L410">
        <f>1.62*$L$355</f>
        <v>0</v>
      </c>
      <c r="M410">
        <f>0+D410+E410+G410+H410+I410+J410+K410+L410</f>
        <v>0</v>
      </c>
      <c r="N410">
        <f>0+D410+F410+G410+H410+I410+J410+K410+L410</f>
        <v>0</v>
      </c>
    </row>
    <row r="411" spans="3:14">
      <c r="C411" t="s">
        <v>42</v>
      </c>
      <c r="D411">
        <f>-69.212*$D$355</f>
        <v>0</v>
      </c>
      <c r="E411">
        <f>25.614*$E$355</f>
        <v>0</v>
      </c>
      <c r="F411">
        <f>-146.659*$F$355</f>
        <v>0</v>
      </c>
      <c r="G411">
        <f>9.465*$G$355</f>
        <v>0</v>
      </c>
      <c r="H411">
        <f>0*$H$355</f>
        <v>0</v>
      </c>
      <c r="I411">
        <f>-10.997*$I$355</f>
        <v>0</v>
      </c>
      <c r="J411">
        <f>-154.843*$J$355</f>
        <v>0</v>
      </c>
      <c r="K411">
        <f>206.458*$K$355</f>
        <v>0</v>
      </c>
      <c r="L411">
        <f>1.082*$L$355</f>
        <v>0</v>
      </c>
      <c r="M411">
        <f>0+D411+E411+G411+H411+I411+J411+K411+L411</f>
        <v>0</v>
      </c>
      <c r="N411">
        <f>0+D411+F411+G411+H411+I411+J411+K411+L411</f>
        <v>0</v>
      </c>
    </row>
    <row r="412" spans="3:14">
      <c r="C412" t="s">
        <v>43</v>
      </c>
      <c r="D412">
        <f>-63.429*$D$355</f>
        <v>0</v>
      </c>
      <c r="E412">
        <f>21.145*$E$355</f>
        <v>0</v>
      </c>
      <c r="F412">
        <f>-118.363*$F$355</f>
        <v>0</v>
      </c>
      <c r="G412">
        <f>5.185*$G$355</f>
        <v>0</v>
      </c>
      <c r="H412">
        <f>0*$H$355</f>
        <v>0</v>
      </c>
      <c r="I412">
        <f>-9.871*$I$355</f>
        <v>0</v>
      </c>
      <c r="J412">
        <f>-105.387*$J$355</f>
        <v>0</v>
      </c>
      <c r="K412">
        <f>140.516*$K$355</f>
        <v>0</v>
      </c>
      <c r="L412">
        <f>1.341*$L$355</f>
        <v>0</v>
      </c>
      <c r="M412">
        <f>0+D412+E412+G412+H412+I412+J412+K412+L412</f>
        <v>0</v>
      </c>
      <c r="N412">
        <f>0+D412+F412+G412+H412+I412+J412+K412+L412</f>
        <v>0</v>
      </c>
    </row>
    <row r="413" spans="3:14">
      <c r="C413" t="s">
        <v>43</v>
      </c>
      <c r="D413">
        <f>-56.362*$D$355</f>
        <v>0</v>
      </c>
      <c r="E413">
        <f>17.229*$E$355</f>
        <v>0</v>
      </c>
      <c r="F413">
        <f>-101.736*$F$355</f>
        <v>0</v>
      </c>
      <c r="G413">
        <f>1.522*$G$355</f>
        <v>0</v>
      </c>
      <c r="H413">
        <f>0*$H$355</f>
        <v>0</v>
      </c>
      <c r="I413">
        <f>-8.587*$I$355</f>
        <v>0</v>
      </c>
      <c r="J413">
        <f>-63.722*$J$355</f>
        <v>0</v>
      </c>
      <c r="K413">
        <f>84.963*$K$355</f>
        <v>0</v>
      </c>
      <c r="L413">
        <f>1.6*$L$355</f>
        <v>0</v>
      </c>
      <c r="M413">
        <f>0+D413+E413+G413+H413+I413+J413+K413+L413</f>
        <v>0</v>
      </c>
      <c r="N413">
        <f>0+D413+F413+G413+H413+I413+J413+K413+L413</f>
        <v>0</v>
      </c>
    </row>
    <row r="414" spans="3:14">
      <c r="C414" t="s">
        <v>44</v>
      </c>
      <c r="D414">
        <f>-49.583*$D$355</f>
        <v>0</v>
      </c>
      <c r="E414">
        <f>14.403*$E$355</f>
        <v>0</v>
      </c>
      <c r="F414">
        <f>-87.26*$F$355</f>
        <v>0</v>
      </c>
      <c r="G414">
        <f>-1.496*$G$355</f>
        <v>0</v>
      </c>
      <c r="H414">
        <f>0*$H$355</f>
        <v>0</v>
      </c>
      <c r="I414">
        <f>-7.363*$I$355</f>
        <v>0</v>
      </c>
      <c r="J414">
        <f>-32.767*$J$355</f>
        <v>0</v>
      </c>
      <c r="K414">
        <f>43.689*$K$355</f>
        <v>0</v>
      </c>
      <c r="L414">
        <f>1.87*$L$355</f>
        <v>0</v>
      </c>
      <c r="M414">
        <f>0+D414+E414+G414+H414+I414+J414+K414+L414</f>
        <v>0</v>
      </c>
      <c r="N414">
        <f>0+D414+F414+G414+H414+I414+J414+K414+L414</f>
        <v>0</v>
      </c>
    </row>
    <row r="415" spans="3:14">
      <c r="C415" t="s">
        <v>44</v>
      </c>
      <c r="D415">
        <f>-41.605*$D$355</f>
        <v>0</v>
      </c>
      <c r="E415">
        <f>13.254*$E$355</f>
        <v>0</v>
      </c>
      <c r="F415">
        <f>-72.453*$F$355</f>
        <v>0</v>
      </c>
      <c r="G415">
        <f>-4.14*$G$355</f>
        <v>0</v>
      </c>
      <c r="H415">
        <f>0*$H$355</f>
        <v>0</v>
      </c>
      <c r="I415">
        <f>-5.963*$I$355</f>
        <v>0</v>
      </c>
      <c r="J415">
        <f>-7.977*$J$355</f>
        <v>0</v>
      </c>
      <c r="K415">
        <f>10.636*$K$355</f>
        <v>0</v>
      </c>
      <c r="L415">
        <f>2.141*$L$355</f>
        <v>0</v>
      </c>
      <c r="M415">
        <f>0+D415+E415+G415+H415+I415+J415+K415+L415</f>
        <v>0</v>
      </c>
      <c r="N415">
        <f>0+D415+F415+G415+H415+I415+J415+K415+L415</f>
        <v>0</v>
      </c>
    </row>
    <row r="416" spans="3:14">
      <c r="C416" t="s">
        <v>45</v>
      </c>
      <c r="D416">
        <f>-33.548*$D$355</f>
        <v>0</v>
      </c>
      <c r="E416">
        <f>13.753*$E$355</f>
        <v>0</v>
      </c>
      <c r="F416">
        <f>-58.64*$F$355</f>
        <v>0</v>
      </c>
      <c r="G416">
        <f>-6.428*$G$355</f>
        <v>0</v>
      </c>
      <c r="H416">
        <f>0*$H$355</f>
        <v>0</v>
      </c>
      <c r="I416">
        <f>-4.588*$I$355</f>
        <v>0</v>
      </c>
      <c r="J416">
        <f>12.606*$J$355</f>
        <v>0</v>
      </c>
      <c r="K416">
        <f>-16.808*$K$355</f>
        <v>0</v>
      </c>
      <c r="L416">
        <f>2.405*$L$355</f>
        <v>0</v>
      </c>
      <c r="M416">
        <f>0+D416+E416+G416+H416+I416+J416+K416+L416</f>
        <v>0</v>
      </c>
      <c r="N416">
        <f>0+D416+F416+G416+H416+I416+J416+K416+L416</f>
        <v>0</v>
      </c>
    </row>
    <row r="417" spans="3:14">
      <c r="C417" t="s">
        <v>45</v>
      </c>
      <c r="D417">
        <f>-24.238*$D$355</f>
        <v>0</v>
      </c>
      <c r="E417">
        <f>22.357*$E$355</f>
        <v>0</v>
      </c>
      <c r="F417">
        <f>-48.772*$F$355</f>
        <v>0</v>
      </c>
      <c r="G417">
        <f>-9.216*$G$355</f>
        <v>0</v>
      </c>
      <c r="H417">
        <f>0*$H$355</f>
        <v>0</v>
      </c>
      <c r="I417">
        <f>-2.988*$I$355</f>
        <v>0</v>
      </c>
      <c r="J417">
        <f>35.411*$J$355</f>
        <v>0</v>
      </c>
      <c r="K417">
        <f>-47.214*$K$355</f>
        <v>0</v>
      </c>
      <c r="L417">
        <f>2.685*$L$355</f>
        <v>0</v>
      </c>
      <c r="M417">
        <f>0+D417+E417+G417+H417+I417+J417+K417+L417</f>
        <v>0</v>
      </c>
      <c r="N417">
        <f>0+D417+F417+G417+H417+I417+J417+K417+L417</f>
        <v>0</v>
      </c>
    </row>
    <row r="418" spans="3:14">
      <c r="C418" t="s">
        <v>46</v>
      </c>
      <c r="D418">
        <f>-14.774*$D$355</f>
        <v>0</v>
      </c>
      <c r="E418">
        <f>38.749*$E$355</f>
        <v>0</v>
      </c>
      <c r="F418">
        <f>-44.858*$F$355</f>
        <v>0</v>
      </c>
      <c r="G418">
        <f>-12.525*$G$355</f>
        <v>0</v>
      </c>
      <c r="H418">
        <f>0*$H$355</f>
        <v>0</v>
      </c>
      <c r="I418">
        <f>-1.362*$I$355</f>
        <v>0</v>
      </c>
      <c r="J418">
        <f>62.338*$J$355</f>
        <v>0</v>
      </c>
      <c r="K418">
        <f>-83.117*$K$355</f>
        <v>0</v>
      </c>
      <c r="L418">
        <f>2.946*$L$355</f>
        <v>0</v>
      </c>
      <c r="M418">
        <f>0+D418+E418+G418+H418+I418+J418+K418+L418</f>
        <v>0</v>
      </c>
      <c r="N418">
        <f>0+D418+F418+G418+H418+I418+J418+K418+L418</f>
        <v>0</v>
      </c>
    </row>
    <row r="419" spans="3:14">
      <c r="C419" t="s">
        <v>46</v>
      </c>
      <c r="D419">
        <f>-3.654*$D$355</f>
        <v>0</v>
      </c>
      <c r="E419">
        <f>60.955*$E$355</f>
        <v>0</v>
      </c>
      <c r="F419">
        <f>-46.927*$F$355</f>
        <v>0</v>
      </c>
      <c r="G419">
        <f>-16.598*$G$355</f>
        <v>0</v>
      </c>
      <c r="H419">
        <f>0*$H$355</f>
        <v>0</v>
      </c>
      <c r="I419">
        <f>0.529*$I$355</f>
        <v>0</v>
      </c>
      <c r="J419">
        <f>97.965*$J$355</f>
        <v>0</v>
      </c>
      <c r="K419">
        <f>-130.62*$K$355</f>
        <v>0</v>
      </c>
      <c r="L419">
        <f>3.24*$L$355</f>
        <v>0</v>
      </c>
      <c r="M419">
        <f>0+D419+E419+G419+H419+I419+J419+K419+L419</f>
        <v>0</v>
      </c>
      <c r="N419">
        <f>0+D419+F419+G419+H419+I419+J419+K419+L419</f>
        <v>0</v>
      </c>
    </row>
    <row r="420" spans="3:14">
      <c r="C420" t="s">
        <v>47</v>
      </c>
      <c r="D420">
        <f>7.213*$D$355</f>
        <v>0</v>
      </c>
      <c r="E420">
        <f>87.162*$E$355</f>
        <v>0</v>
      </c>
      <c r="F420">
        <f>-51.523*$F$355</f>
        <v>0</v>
      </c>
      <c r="G420">
        <f>-21.394*$G$355</f>
        <v>0</v>
      </c>
      <c r="H420">
        <f>0*$H$355</f>
        <v>0</v>
      </c>
      <c r="I420">
        <f>2.415*$I$355</f>
        <v>0</v>
      </c>
      <c r="J420">
        <f>139.553*$J$355</f>
        <v>0</v>
      </c>
      <c r="K420">
        <f>-186.071*$K$355</f>
        <v>0</v>
      </c>
      <c r="L420">
        <f>3.485*$L$355</f>
        <v>0</v>
      </c>
      <c r="M420">
        <f>0+D420+E420+G420+H420+I420+J420+K420+L420</f>
        <v>0</v>
      </c>
      <c r="N420">
        <f>0+D420+F420+G420+H420+I420+J420+K420+L420</f>
        <v>0</v>
      </c>
    </row>
    <row r="421" spans="3:14">
      <c r="C421" t="s">
        <v>47</v>
      </c>
      <c r="D421">
        <f>-8.168*$D$355</f>
        <v>0</v>
      </c>
      <c r="E421">
        <f>51.224*$E$355</f>
        <v>0</v>
      </c>
      <c r="F421">
        <f>-88.457*$F$355</f>
        <v>0</v>
      </c>
      <c r="G421">
        <f>20.85*$G$355</f>
        <v>0</v>
      </c>
      <c r="H421">
        <f>0*$H$355</f>
        <v>0</v>
      </c>
      <c r="I421">
        <f>-2.534*$I$355</f>
        <v>0</v>
      </c>
      <c r="J421">
        <f>-142.615*$J$355</f>
        <v>0</v>
      </c>
      <c r="K421">
        <f>190.154*$K$355</f>
        <v>0</v>
      </c>
      <c r="L421">
        <f>3.881*$L$355</f>
        <v>0</v>
      </c>
      <c r="M421">
        <f>0+D421+E421+G421+H421+I421+J421+K421+L421</f>
        <v>0</v>
      </c>
      <c r="N421">
        <f>0+D421+F421+G421+H421+I421+J421+K421+L421</f>
        <v>0</v>
      </c>
    </row>
    <row r="422" spans="3:14">
      <c r="C422" t="s">
        <v>48</v>
      </c>
      <c r="D422">
        <f>2.821*$D$355</f>
        <v>0</v>
      </c>
      <c r="E422">
        <f>46.556*$E$355</f>
        <v>0</v>
      </c>
      <c r="F422">
        <f>-61.867*$F$355</f>
        <v>0</v>
      </c>
      <c r="G422">
        <f>16.051*$G$355</f>
        <v>0</v>
      </c>
      <c r="H422">
        <f>0*$H$355</f>
        <v>0</v>
      </c>
      <c r="I422">
        <f>-0.63*$I$355</f>
        <v>0</v>
      </c>
      <c r="J422">
        <f>-101.138*$J$355</f>
        <v>0</v>
      </c>
      <c r="K422">
        <f>134.85*$K$355</f>
        <v>0</v>
      </c>
      <c r="L422">
        <f>3.994*$L$355</f>
        <v>0</v>
      </c>
      <c r="M422">
        <f>0+D422+E422+G422+H422+I422+J422+K422+L422</f>
        <v>0</v>
      </c>
      <c r="N422">
        <f>0+D422+F422+G422+H422+I422+J422+K422+L422</f>
        <v>0</v>
      </c>
    </row>
    <row r="423" spans="3:14">
      <c r="C423" t="s">
        <v>48</v>
      </c>
      <c r="D423">
        <f>14.192*$D$355</f>
        <v>0</v>
      </c>
      <c r="E423">
        <f>44.133*$E$355</f>
        <v>0</v>
      </c>
      <c r="F423">
        <f>-39.594*$F$355</f>
        <v>0</v>
      </c>
      <c r="G423">
        <f>11.97*$G$355</f>
        <v>0</v>
      </c>
      <c r="H423">
        <f>0*$H$355</f>
        <v>0</v>
      </c>
      <c r="I423">
        <f>1.299*$I$355</f>
        <v>0</v>
      </c>
      <c r="J423">
        <f>-65.737*$J$355</f>
        <v>0</v>
      </c>
      <c r="K423">
        <f>87.649*$K$355</f>
        <v>0</v>
      </c>
      <c r="L423">
        <f>4.012*$L$355</f>
        <v>0</v>
      </c>
      <c r="M423">
        <f>0+D423+E423+G423+H423+I423+J423+K423+L423</f>
        <v>0</v>
      </c>
      <c r="N423">
        <f>0+D423+F423+G423+H423+I423+J423+K423+L423</f>
        <v>0</v>
      </c>
    </row>
    <row r="424" spans="3:14">
      <c r="C424" t="s">
        <v>49</v>
      </c>
      <c r="D424">
        <f>24.047*$D$355</f>
        <v>0</v>
      </c>
      <c r="E424">
        <f>48.337*$E$355</f>
        <v>0</v>
      </c>
      <c r="F424">
        <f>-24.066*$F$355</f>
        <v>0</v>
      </c>
      <c r="G424">
        <f>8.652*$G$355</f>
        <v>0</v>
      </c>
      <c r="H424">
        <f>0*$H$355</f>
        <v>0</v>
      </c>
      <c r="I424">
        <f>2.983*$I$355</f>
        <v>0</v>
      </c>
      <c r="J424">
        <f>-39.15*$J$355</f>
        <v>0</v>
      </c>
      <c r="K424">
        <f>52.2*$K$355</f>
        <v>0</v>
      </c>
      <c r="L424">
        <f>3.86*$L$355</f>
        <v>0</v>
      </c>
      <c r="M424">
        <f>0+D424+E424+G424+H424+I424+J424+K424+L424</f>
        <v>0</v>
      </c>
      <c r="N424">
        <f>0+D424+F424+G424+H424+I424+J424+K424+L424</f>
        <v>0</v>
      </c>
    </row>
    <row r="425" spans="3:14">
      <c r="C425" t="s">
        <v>49</v>
      </c>
      <c r="D425">
        <f>33.909*$D$355</f>
        <v>0</v>
      </c>
      <c r="E425">
        <f>58.204*$E$355</f>
        <v>0</v>
      </c>
      <c r="F425">
        <f>-17.493*$F$355</f>
        <v>0</v>
      </c>
      <c r="G425">
        <f>5.851*$G$355</f>
        <v>0</v>
      </c>
      <c r="H425">
        <f>0*$H$355</f>
        <v>0</v>
      </c>
      <c r="I425">
        <f>4.664*$I$355</f>
        <v>0</v>
      </c>
      <c r="J425">
        <f>-16.818*$J$355</f>
        <v>0</v>
      </c>
      <c r="K425">
        <f>22.424*$K$355</f>
        <v>0</v>
      </c>
      <c r="L425">
        <f>3.518*$L$355</f>
        <v>0</v>
      </c>
      <c r="M425">
        <f>0+D425+E425+G425+H425+I425+J425+K425+L425</f>
        <v>0</v>
      </c>
      <c r="N425">
        <f>0+D425+F425+G425+H425+I425+J425+K425+L425</f>
        <v>0</v>
      </c>
    </row>
    <row r="426" spans="3:14">
      <c r="C426" t="s">
        <v>50</v>
      </c>
      <c r="D426">
        <f>42.704*$D$355</f>
        <v>0</v>
      </c>
      <c r="E426">
        <f>72.684*$E$355</f>
        <v>0</v>
      </c>
      <c r="F426">
        <f>-16.347*$F$355</f>
        <v>0</v>
      </c>
      <c r="G426">
        <f>3.55*$G$355</f>
        <v>0</v>
      </c>
      <c r="H426">
        <f>0*$H$355</f>
        <v>0</v>
      </c>
      <c r="I426">
        <f>6.147*$I$355</f>
        <v>0</v>
      </c>
      <c r="J426">
        <f>3.163*$J$355</f>
        <v>0</v>
      </c>
      <c r="K426">
        <f>-4.217*$K$355</f>
        <v>0</v>
      </c>
      <c r="L426">
        <f>2.873*$L$355</f>
        <v>0</v>
      </c>
      <c r="M426">
        <f>0+D426+E426+G426+H426+I426+J426+K426+L426</f>
        <v>0</v>
      </c>
      <c r="N426">
        <f>0+D426+F426+G426+H426+I426+J426+K426+L426</f>
        <v>0</v>
      </c>
    </row>
    <row r="427" spans="3:14">
      <c r="C427" t="s">
        <v>50</v>
      </c>
      <c r="D427">
        <f>51.652*$D$355</f>
        <v>0</v>
      </c>
      <c r="E427">
        <f>88.355*$E$355</f>
        <v>0</v>
      </c>
      <c r="F427">
        <f>-16.612*$F$355</f>
        <v>0</v>
      </c>
      <c r="G427">
        <f>0.894*$G$355</f>
        <v>0</v>
      </c>
      <c r="H427">
        <f>0*$H$355</f>
        <v>0</v>
      </c>
      <c r="I427">
        <f>7.69*$I$355</f>
        <v>0</v>
      </c>
      <c r="J427">
        <f>27.188*$J$355</f>
        <v>0</v>
      </c>
      <c r="K427">
        <f>-36.25*$K$355</f>
        <v>0</v>
      </c>
      <c r="L427">
        <f>1.873*$L$355</f>
        <v>0</v>
      </c>
      <c r="M427">
        <f>0+D427+E427+G427+H427+I427+J427+K427+L427</f>
        <v>0</v>
      </c>
      <c r="N427">
        <f>0+D427+F427+G427+H427+I427+J427+K427+L427</f>
        <v>0</v>
      </c>
    </row>
    <row r="428" spans="3:14">
      <c r="C428" t="s">
        <v>51</v>
      </c>
      <c r="D428">
        <f>59.661*$D$355</f>
        <v>0</v>
      </c>
      <c r="E428">
        <f>103.632*$E$355</f>
        <v>0</v>
      </c>
      <c r="F428">
        <f>-19.657*$F$355</f>
        <v>0</v>
      </c>
      <c r="G428">
        <f>-2.133*$G$355</f>
        <v>0</v>
      </c>
      <c r="H428">
        <f>0*$H$355</f>
        <v>0</v>
      </c>
      <c r="I428">
        <f>9.095*$I$355</f>
        <v>0</v>
      </c>
      <c r="J428">
        <f>57.226*$J$355</f>
        <v>0</v>
      </c>
      <c r="K428">
        <f>-76.301*$K$355</f>
        <v>0</v>
      </c>
      <c r="L428">
        <f>0.291*$L$355</f>
        <v>0</v>
      </c>
      <c r="M428">
        <f>0+D428+E428+G428+H428+I428+J428+K428+L428</f>
        <v>0</v>
      </c>
      <c r="N428">
        <f>0+D428+F428+G428+H428+I428+J428+K428+L428</f>
        <v>0</v>
      </c>
    </row>
    <row r="429" spans="3:14">
      <c r="C429" t="s">
        <v>51</v>
      </c>
      <c r="D429">
        <f>68.222*$D$355</f>
        <v>0</v>
      </c>
      <c r="E429">
        <f>120.904*$E$355</f>
        <v>0</v>
      </c>
      <c r="F429">
        <f>-23.682*$F$355</f>
        <v>0</v>
      </c>
      <c r="G429">
        <f>-5.8*$G$355</f>
        <v>0</v>
      </c>
      <c r="H429">
        <f>0*$H$355</f>
        <v>0</v>
      </c>
      <c r="I429">
        <f>10.599*$I$355</f>
        <v>0</v>
      </c>
      <c r="J429">
        <f>97.813*$J$355</f>
        <v>0</v>
      </c>
      <c r="K429">
        <f>-130.417*$K$355</f>
        <v>0</v>
      </c>
      <c r="L429">
        <f>-1.85*$L$355</f>
        <v>0</v>
      </c>
      <c r="M429">
        <f>0+D429+E429+G429+H429+I429+J429+K429+L429</f>
        <v>0</v>
      </c>
      <c r="N429">
        <f>0+D429+F429+G429+H429+I429+J429+K429+L429</f>
        <v>0</v>
      </c>
    </row>
    <row r="430" spans="3:14">
      <c r="C430" t="s">
        <v>52</v>
      </c>
      <c r="D430">
        <f>75.733*$D$355</f>
        <v>0</v>
      </c>
      <c r="E430">
        <f>141.106*$E$355</f>
        <v>0</v>
      </c>
      <c r="F430">
        <f>-28.494*$F$355</f>
        <v>0</v>
      </c>
      <c r="G430">
        <f>-10.073*$G$355</f>
        <v>0</v>
      </c>
      <c r="H430">
        <f>0*$H$355</f>
        <v>0</v>
      </c>
      <c r="I430">
        <f>11.978*$I$355</f>
        <v>0</v>
      </c>
      <c r="J430">
        <f>146.101*$J$355</f>
        <v>0</v>
      </c>
      <c r="K430">
        <f>-194.801*$K$355</f>
        <v>0</v>
      </c>
      <c r="L430">
        <f>-4.649*$L$355</f>
        <v>0</v>
      </c>
      <c r="M430">
        <f>0+D430+E430+G430+H430+I430+J430+K430+L430</f>
        <v>0</v>
      </c>
      <c r="N430">
        <f>0+D430+F430+G430+H430+I430+J430+K430+L430</f>
        <v>0</v>
      </c>
    </row>
    <row r="431" spans="3:14">
      <c r="C431" t="s">
        <v>52</v>
      </c>
      <c r="D431">
        <f>77.767*$D$355</f>
        <v>0</v>
      </c>
      <c r="E431">
        <f>106.054*$E$355</f>
        <v>0</v>
      </c>
      <c r="F431">
        <f>-43.026*$F$355</f>
        <v>0</v>
      </c>
      <c r="G431">
        <f>27.983*$G$355</f>
        <v>0</v>
      </c>
      <c r="H431">
        <f>0*$H$355</f>
        <v>0</v>
      </c>
      <c r="I431">
        <f>9.708*$I$355</f>
        <v>0</v>
      </c>
      <c r="J431">
        <f>-182.31*$J$355</f>
        <v>0</v>
      </c>
      <c r="K431">
        <f>243.081*$K$355</f>
        <v>0</v>
      </c>
      <c r="L431">
        <f>13.265*$L$355</f>
        <v>0</v>
      </c>
      <c r="M431">
        <f>0+D431+E431+G431+H431+I431+J431+K431+L431</f>
        <v>0</v>
      </c>
      <c r="N431">
        <f>0+D431+F431+G431+H431+I431+J431+K431+L431</f>
        <v>0</v>
      </c>
    </row>
    <row r="432" spans="3:14">
      <c r="C432" t="s">
        <v>53</v>
      </c>
      <c r="D432">
        <f>82.879*$D$355</f>
        <v>0</v>
      </c>
      <c r="E432">
        <f>107.619*$E$355</f>
        <v>0</v>
      </c>
      <c r="F432">
        <f>-25.005*$F$355</f>
        <v>0</v>
      </c>
      <c r="G432">
        <f>23.957*$G$355</f>
        <v>0</v>
      </c>
      <c r="H432">
        <f>0*$H$355</f>
        <v>0</v>
      </c>
      <c r="I432">
        <f>10.725*$I$355</f>
        <v>0</v>
      </c>
      <c r="J432">
        <f>-135.07*$J$355</f>
        <v>0</v>
      </c>
      <c r="K432">
        <f>180.093*$K$355</f>
        <v>0</v>
      </c>
      <c r="L432">
        <f>10.209*$L$355</f>
        <v>0</v>
      </c>
      <c r="M432">
        <f>0+D432+E432+G432+H432+I432+J432+K432+L432</f>
        <v>0</v>
      </c>
      <c r="N432">
        <f>0+D432+F432+G432+H432+I432+J432+K432+L432</f>
        <v>0</v>
      </c>
    </row>
    <row r="433" spans="3:14">
      <c r="C433" t="s">
        <v>53</v>
      </c>
      <c r="D433">
        <f>87.092*$D$355</f>
        <v>0</v>
      </c>
      <c r="E433">
        <f>112.434*$E$355</f>
        <v>0</v>
      </c>
      <c r="F433">
        <f>-13.215*$F$355</f>
        <v>0</v>
      </c>
      <c r="G433">
        <f>20.39*$G$355</f>
        <v>0</v>
      </c>
      <c r="H433">
        <f>0*$H$355</f>
        <v>0</v>
      </c>
      <c r="I433">
        <f>11.588*$I$355</f>
        <v>0</v>
      </c>
      <c r="J433">
        <f>-91.19*$J$355</f>
        <v>0</v>
      </c>
      <c r="K433">
        <f>121.587*$K$355</f>
        <v>0</v>
      </c>
      <c r="L433">
        <f>7.186*$L$355</f>
        <v>0</v>
      </c>
      <c r="M433">
        <f>0+D433+E433+G433+H433+I433+J433+K433+L433</f>
        <v>0</v>
      </c>
      <c r="N433">
        <f>0+D433+F433+G433+H433+I433+J433+K433+L433</f>
        <v>0</v>
      </c>
    </row>
    <row r="434" spans="3:14">
      <c r="C434" t="s">
        <v>54</v>
      </c>
      <c r="D434">
        <f>88.913*$D$355</f>
        <v>0</v>
      </c>
      <c r="E434">
        <f>116.575*$E$355</f>
        <v>0</v>
      </c>
      <c r="F434">
        <f>-8.786*$F$355</f>
        <v>0</v>
      </c>
      <c r="G434">
        <f>17.319*$G$355</f>
        <v>0</v>
      </c>
      <c r="H434">
        <f>0*$H$355</f>
        <v>0</v>
      </c>
      <c r="I434">
        <f>12.092*$I$355</f>
        <v>0</v>
      </c>
      <c r="J434">
        <f>-53.227*$J$355</f>
        <v>0</v>
      </c>
      <c r="K434">
        <f>70.969*$K$355</f>
        <v>0</v>
      </c>
      <c r="L434">
        <f>4.04*$L$355</f>
        <v>0</v>
      </c>
      <c r="M434">
        <f>0+D434+E434+G434+H434+I434+J434+K434+L434</f>
        <v>0</v>
      </c>
      <c r="N434">
        <f>0+D434+F434+G434+H434+I434+J434+K434+L434</f>
        <v>0</v>
      </c>
    </row>
    <row r="435" spans="3:14">
      <c r="C435" t="s">
        <v>54</v>
      </c>
      <c r="D435">
        <f>89.157*$D$355</f>
        <v>0</v>
      </c>
      <c r="E435">
        <f>119.604*$E$355</f>
        <v>0</v>
      </c>
      <c r="F435">
        <f>-7.562*$F$355</f>
        <v>0</v>
      </c>
      <c r="G435">
        <f>14.416*$G$355</f>
        <v>0</v>
      </c>
      <c r="H435">
        <f>0*$H$355</f>
        <v>0</v>
      </c>
      <c r="I435">
        <f>12.387*$I$355</f>
        <v>0</v>
      </c>
      <c r="J435">
        <f>-16.274*$J$355</f>
        <v>0</v>
      </c>
      <c r="K435">
        <f>21.698*$K$355</f>
        <v>0</v>
      </c>
      <c r="L435">
        <f>0.397*$L$355</f>
        <v>0</v>
      </c>
      <c r="M435">
        <f>0+D435+E435+G435+H435+I435+J435+K435+L435</f>
        <v>0</v>
      </c>
      <c r="N435">
        <f>0+D435+F435+G435+H435+I435+J435+K435+L435</f>
        <v>0</v>
      </c>
    </row>
    <row r="436" spans="3:14">
      <c r="C436" t="s">
        <v>55</v>
      </c>
      <c r="D436">
        <f>86.132*$D$355</f>
        <v>0</v>
      </c>
      <c r="E436">
        <f>119.139*$E$355</f>
        <v>0</v>
      </c>
      <c r="F436">
        <f>-11.185*$F$355</f>
        <v>0</v>
      </c>
      <c r="G436">
        <f>11.869*$G$355</f>
        <v>0</v>
      </c>
      <c r="H436">
        <f>0*$H$355</f>
        <v>0</v>
      </c>
      <c r="I436">
        <f>12.172*$I$355</f>
        <v>0</v>
      </c>
      <c r="J436">
        <f>20.734*$J$355</f>
        <v>0</v>
      </c>
      <c r="K436">
        <f>-27.645*$K$355</f>
        <v>0</v>
      </c>
      <c r="L436">
        <f>-3.962*$L$355</f>
        <v>0</v>
      </c>
      <c r="M436">
        <f>0+D436+E436+G436+H436+I436+J436+K436+L436</f>
        <v>0</v>
      </c>
      <c r="N436">
        <f>0+D436+F436+G436+H436+I436+J436+K436+L436</f>
        <v>0</v>
      </c>
    </row>
    <row r="437" spans="3:14">
      <c r="C437" t="s">
        <v>55</v>
      </c>
      <c r="D437">
        <f>79.944*$D$355</f>
        <v>0</v>
      </c>
      <c r="E437">
        <f>114.901*$E$355</f>
        <v>0</v>
      </c>
      <c r="F437">
        <f>-13.792*$F$355</f>
        <v>0</v>
      </c>
      <c r="G437">
        <f>8.668*$G$355</f>
        <v>0</v>
      </c>
      <c r="H437">
        <f>0*$H$355</f>
        <v>0</v>
      </c>
      <c r="I437">
        <f>11.556*$I$355</f>
        <v>0</v>
      </c>
      <c r="J437">
        <f>67.208*$J$355</f>
        <v>0</v>
      </c>
      <c r="K437">
        <f>-89.611*$K$355</f>
        <v>0</v>
      </c>
      <c r="L437">
        <f>-10.251*$L$355</f>
        <v>0</v>
      </c>
      <c r="M437">
        <f>0+D437+E437+G437+H437+I437+J437+K437+L437</f>
        <v>0</v>
      </c>
      <c r="N437">
        <f>0+D437+F437+G437+H437+I437+J437+K437+L437</f>
        <v>0</v>
      </c>
    </row>
    <row r="438" spans="3:14">
      <c r="C438" t="s">
        <v>56</v>
      </c>
      <c r="D438">
        <f>68.615*$D$355</f>
        <v>0</v>
      </c>
      <c r="E438">
        <f>104.729*$E$355</f>
        <v>0</v>
      </c>
      <c r="F438">
        <f>-16.558*$F$355</f>
        <v>0</v>
      </c>
      <c r="G438">
        <f>4.942*$G$355</f>
        <v>0</v>
      </c>
      <c r="H438">
        <f>0*$H$355</f>
        <v>0</v>
      </c>
      <c r="I438">
        <f>10.199*$I$355</f>
        <v>0</v>
      </c>
      <c r="J438">
        <f>124.296*$J$355</f>
        <v>0</v>
      </c>
      <c r="K438">
        <f>-165.728*$K$355</f>
        <v>0</v>
      </c>
      <c r="L438">
        <f>-19.022*$L$355</f>
        <v>0</v>
      </c>
      <c r="M438">
        <f>0+D438+E438+G438+H438+I438+J438+K438+L438</f>
        <v>0</v>
      </c>
      <c r="N438">
        <f>0+D438+F438+G438+H438+I438+J438+K438+L438</f>
        <v>0</v>
      </c>
    </row>
    <row r="439" spans="3:14">
      <c r="C439" t="s">
        <v>56</v>
      </c>
      <c r="D439">
        <f>51.551*$D$355</f>
        <v>0</v>
      </c>
      <c r="E439">
        <f>87.379*$E$355</f>
        <v>0</v>
      </c>
      <c r="F439">
        <f>-23.475*$F$355</f>
        <v>0</v>
      </c>
      <c r="G439">
        <f>0.013*$G$355</f>
        <v>0</v>
      </c>
      <c r="H439">
        <f>0*$H$355</f>
        <v>0</v>
      </c>
      <c r="I439">
        <f>8.073*$I$355</f>
        <v>0</v>
      </c>
      <c r="J439">
        <f>201.392*$J$355</f>
        <v>0</v>
      </c>
      <c r="K439">
        <f>-268.522*$K$355</f>
        <v>0</v>
      </c>
      <c r="L439">
        <f>-32.197*$L$355</f>
        <v>0</v>
      </c>
      <c r="M439">
        <f>0+D439+E439+G439+H439+I439+J439+K439+L439</f>
        <v>0</v>
      </c>
      <c r="N439">
        <f>0+D439+F439+G439+H439+I439+J439+K439+L439</f>
        <v>0</v>
      </c>
    </row>
    <row r="440" spans="3:14">
      <c r="C440" t="s">
        <v>57</v>
      </c>
      <c r="D440">
        <f>28.426*$D$355</f>
        <v>0</v>
      </c>
      <c r="E440">
        <f>70.346*$E$355</f>
        <v>0</v>
      </c>
      <c r="F440">
        <f>-33.585*$F$355</f>
        <v>0</v>
      </c>
      <c r="G440">
        <f>-6.212*$G$355</f>
        <v>0</v>
      </c>
      <c r="H440">
        <f>0*$H$355</f>
        <v>0</v>
      </c>
      <c r="I440">
        <f>5.132*$I$355</f>
        <v>0</v>
      </c>
      <c r="J440">
        <f>295.463*$J$355</f>
        <v>0</v>
      </c>
      <c r="K440">
        <f>-393.95*$K$355</f>
        <v>0</v>
      </c>
      <c r="L440">
        <f>-48.723*$L$355</f>
        <v>0</v>
      </c>
      <c r="M440">
        <f>0+D440+E440+G440+H440+I440+J440+K440+L440</f>
        <v>0</v>
      </c>
      <c r="N440">
        <f>0+D440+F440+G440+H440+I440+J440+K440+L440</f>
        <v>0</v>
      </c>
    </row>
    <row r="441" spans="3:14">
      <c r="C441" t="s">
        <v>57</v>
      </c>
      <c r="D441">
        <f>32.562*$D$355</f>
        <v>0</v>
      </c>
      <c r="E441">
        <f>43.255*$E$355</f>
        <v>0</v>
      </c>
      <c r="F441">
        <f>-8.597*$F$355</f>
        <v>0</v>
      </c>
      <c r="G441">
        <f>5.82*$G$355</f>
        <v>0</v>
      </c>
      <c r="H441">
        <f>0*$H$355</f>
        <v>0</v>
      </c>
      <c r="I441">
        <f>4.454*$I$355</f>
        <v>0</v>
      </c>
      <c r="J441">
        <f>-62.617*$J$355</f>
        <v>0</v>
      </c>
      <c r="K441">
        <f>83.489*$K$355</f>
        <v>0</v>
      </c>
      <c r="L441">
        <f>12.45*$L$355</f>
        <v>0</v>
      </c>
      <c r="M441">
        <f>0+D441+E441+G441+H441+I441+J441+K441+L441</f>
        <v>0</v>
      </c>
      <c r="N441">
        <f>0+D441+F441+G441+H441+I441+J441+K441+L441</f>
        <v>0</v>
      </c>
    </row>
    <row r="442" spans="3:14">
      <c r="C442" t="s">
        <v>58</v>
      </c>
      <c r="D442">
        <f>32.562*$D$355</f>
        <v>0</v>
      </c>
      <c r="E442">
        <f>43.255*$E$355</f>
        <v>0</v>
      </c>
      <c r="F442">
        <f>-8.597*$F$355</f>
        <v>0</v>
      </c>
      <c r="G442">
        <f>5.82*$G$355</f>
        <v>0</v>
      </c>
      <c r="H442">
        <f>0*$H$355</f>
        <v>0</v>
      </c>
      <c r="I442">
        <f>4.454*$I$355</f>
        <v>0</v>
      </c>
      <c r="J442">
        <f>-62.617*$J$355</f>
        <v>0</v>
      </c>
      <c r="K442">
        <f>83.489*$K$355</f>
        <v>0</v>
      </c>
      <c r="L442">
        <f>12.45*$L$355</f>
        <v>0</v>
      </c>
      <c r="M442">
        <f>0+D442+E442+G442+H442+I442+J442+K442+L442</f>
        <v>0</v>
      </c>
      <c r="N442">
        <f>0+D442+F442+G442+H442+I442+J442+K442+L442</f>
        <v>0</v>
      </c>
    </row>
    <row r="443" spans="3:14">
      <c r="C443" t="s">
        <v>58</v>
      </c>
      <c r="D443">
        <f>-16.854*$D$355</f>
        <v>0</v>
      </c>
      <c r="E443">
        <f>6.41*$E$355</f>
        <v>0</v>
      </c>
      <c r="F443">
        <f>-24.833*$F$355</f>
        <v>0</v>
      </c>
      <c r="G443">
        <f>-4.591*$G$355</f>
        <v>0</v>
      </c>
      <c r="H443">
        <f>0*$H$355</f>
        <v>0</v>
      </c>
      <c r="I443">
        <f>-2.19*$I$355</f>
        <v>0</v>
      </c>
      <c r="J443">
        <f>58.876*$J$355</f>
        <v>0</v>
      </c>
      <c r="K443">
        <f>-78.501*$K$355</f>
        <v>0</v>
      </c>
      <c r="L443">
        <f>-39.012*$L$355</f>
        <v>0</v>
      </c>
      <c r="M443">
        <f>0+D443+E443+G443+H443+I443+J443+K443+L443</f>
        <v>0</v>
      </c>
      <c r="N443">
        <f>0+D443+F443+G443+H443+I443+J443+K443+L443</f>
        <v>0</v>
      </c>
    </row>
    <row r="444" spans="3:14">
      <c r="C444" t="s">
        <v>59</v>
      </c>
      <c r="D444">
        <f>-16.854*$D$355</f>
        <v>0</v>
      </c>
      <c r="E444">
        <f>6.41*$E$355</f>
        <v>0</v>
      </c>
      <c r="F444">
        <f>-24.833*$F$355</f>
        <v>0</v>
      </c>
      <c r="G444">
        <f>-4.591*$G$355</f>
        <v>0</v>
      </c>
      <c r="H444">
        <f>0*$H$355</f>
        <v>0</v>
      </c>
      <c r="I444">
        <f>-2.19*$I$355</f>
        <v>0</v>
      </c>
      <c r="J444">
        <f>58.876*$J$355</f>
        <v>0</v>
      </c>
      <c r="K444">
        <f>-78.501*$K$355</f>
        <v>0</v>
      </c>
      <c r="L444">
        <f>-39.012*$L$355</f>
        <v>0</v>
      </c>
      <c r="M444">
        <f>0+D444+E444+G444+H444+I444+J444+K444+L444</f>
        <v>0</v>
      </c>
      <c r="N444">
        <f>0+D444+F444+G444+H444+I444+J444+K444+L444</f>
        <v>0</v>
      </c>
    </row>
    <row r="445" spans="3:14">
      <c r="C445" t="s">
        <v>59</v>
      </c>
      <c r="D445">
        <f>16.197*$D$355</f>
        <v>0</v>
      </c>
      <c r="E445">
        <f>43.836*$E$355</f>
        <v>0</v>
      </c>
      <c r="F445">
        <f>-38.123*$F$355</f>
        <v>0</v>
      </c>
      <c r="G445">
        <f>8.627*$G$355</f>
        <v>0</v>
      </c>
      <c r="H445">
        <f>0*$H$355</f>
        <v>0</v>
      </c>
      <c r="I445">
        <f>1.359*$I$355</f>
        <v>0</v>
      </c>
      <c r="J445">
        <f>-318.781*$J$355</f>
        <v>0</v>
      </c>
      <c r="K445">
        <f>425.041*$K$355</f>
        <v>0</v>
      </c>
      <c r="L445">
        <f>-12.698*$L$355</f>
        <v>0</v>
      </c>
      <c r="M445">
        <f>0+D445+E445+G445+H445+I445+J445+K445+L445</f>
        <v>0</v>
      </c>
      <c r="N445">
        <f>0+D445+F445+G445+H445+I445+J445+K445+L445</f>
        <v>0</v>
      </c>
    </row>
    <row r="446" spans="3:14">
      <c r="C446" t="s">
        <v>60</v>
      </c>
      <c r="D446">
        <f>2.603*$D$355</f>
        <v>0</v>
      </c>
      <c r="E446">
        <f>30.915*$E$355</f>
        <v>0</v>
      </c>
      <c r="F446">
        <f>-42.303*$F$355</f>
        <v>0</v>
      </c>
      <c r="G446">
        <f>3.097*$G$355</f>
        <v>0</v>
      </c>
      <c r="H446">
        <f>0*$H$355</f>
        <v>0</v>
      </c>
      <c r="I446">
        <f>-0.198*$I$355</f>
        <v>0</v>
      </c>
      <c r="J446">
        <f>-230.788*$J$355</f>
        <v>0</v>
      </c>
      <c r="K446">
        <f>307.717*$K$355</f>
        <v>0</v>
      </c>
      <c r="L446">
        <f>-45.083*$L$355</f>
        <v>0</v>
      </c>
      <c r="M446">
        <f>0+D446+E446+G446+H446+I446+J446+K446+L446</f>
        <v>0</v>
      </c>
      <c r="N446">
        <f>0+D446+F446+G446+H446+I446+J446+K446+L446</f>
        <v>0</v>
      </c>
    </row>
    <row r="447" spans="3:14">
      <c r="C447" t="s">
        <v>60</v>
      </c>
      <c r="D447">
        <f>-7.211*$D$355</f>
        <v>0</v>
      </c>
      <c r="E447">
        <f>20.684*$E$355</f>
        <v>0</v>
      </c>
      <c r="F447">
        <f>-44.936*$F$355</f>
        <v>0</v>
      </c>
      <c r="G447">
        <f>-1.159*$G$355</f>
        <v>0</v>
      </c>
      <c r="H447">
        <f>0*$H$355</f>
        <v>0</v>
      </c>
      <c r="I447">
        <f>-1.279*$I$355</f>
        <v>0</v>
      </c>
      <c r="J447">
        <f>-158.038*$J$355</f>
        <v>0</v>
      </c>
      <c r="K447">
        <f>210.717*$K$355</f>
        <v>0</v>
      </c>
      <c r="L447">
        <f>-67.641*$L$355</f>
        <v>0</v>
      </c>
      <c r="M447">
        <f>0+D447+E447+G447+H447+I447+J447+K447+L447</f>
        <v>0</v>
      </c>
      <c r="N447">
        <f>0+D447+F447+G447+H447+I447+J447+K447+L447</f>
        <v>0</v>
      </c>
    </row>
    <row r="448" spans="3:14">
      <c r="C448" t="s">
        <v>61</v>
      </c>
      <c r="D448">
        <f>-13.772*$D$355</f>
        <v>0</v>
      </c>
      <c r="E448">
        <f>13.696*$E$355</f>
        <v>0</v>
      </c>
      <c r="F448">
        <f>-44.957*$F$355</f>
        <v>0</v>
      </c>
      <c r="G448">
        <f>-4.223*$G$355</f>
        <v>0</v>
      </c>
      <c r="H448">
        <f>0*$H$355</f>
        <v>0</v>
      </c>
      <c r="I448">
        <f>-1.959*$I$355</f>
        <v>0</v>
      </c>
      <c r="J448">
        <f>-102.817*$J$355</f>
        <v>0</v>
      </c>
      <c r="K448">
        <f>137.089*$K$355</f>
        <v>0</v>
      </c>
      <c r="L448">
        <f>-80.902*$L$355</f>
        <v>0</v>
      </c>
      <c r="M448">
        <f>0+D448+E448+G448+H448+I448+J448+K448+L448</f>
        <v>0</v>
      </c>
      <c r="N448">
        <f>0+D448+F448+G448+H448+I448+J448+K448+L448</f>
        <v>0</v>
      </c>
    </row>
    <row r="449" spans="3:14">
      <c r="C449" t="s">
        <v>61</v>
      </c>
      <c r="D449">
        <f>-17.071*$D$355</f>
        <v>0</v>
      </c>
      <c r="E449">
        <f>12.685*$E$355</f>
        <v>0</v>
      </c>
      <c r="F449">
        <f>-42.811*$F$355</f>
        <v>0</v>
      </c>
      <c r="G449">
        <f>-6.738*$G$355</f>
        <v>0</v>
      </c>
      <c r="H449">
        <f>0*$H$355</f>
        <v>0</v>
      </c>
      <c r="I449">
        <f>-2.18*$I$355</f>
        <v>0</v>
      </c>
      <c r="J449">
        <f>-56.212*$J$355</f>
        <v>0</v>
      </c>
      <c r="K449">
        <f>74.95*$K$355</f>
        <v>0</v>
      </c>
      <c r="L449">
        <f>-87.119*$L$355</f>
        <v>0</v>
      </c>
      <c r="M449">
        <f>0+D449+E449+G449+H449+I449+J449+K449+L449</f>
        <v>0</v>
      </c>
      <c r="N449">
        <f>0+D449+F449+G449+H449+I449+J449+K449+L449</f>
        <v>0</v>
      </c>
    </row>
    <row r="450" spans="3:14">
      <c r="C450" t="s">
        <v>62</v>
      </c>
      <c r="D450">
        <f>-18.585*$D$355</f>
        <v>0</v>
      </c>
      <c r="E450">
        <f>15.608*$E$355</f>
        <v>0</v>
      </c>
      <c r="F450">
        <f>-40.496*$F$355</f>
        <v>0</v>
      </c>
      <c r="G450">
        <f>-8.508*$G$355</f>
        <v>0</v>
      </c>
      <c r="H450">
        <f>0*$H$355</f>
        <v>0</v>
      </c>
      <c r="I450">
        <f>-2.211*$I$355</f>
        <v>0</v>
      </c>
      <c r="J450">
        <f>-16.574*$J$355</f>
        <v>0</v>
      </c>
      <c r="K450">
        <f>22.099*$K$355</f>
        <v>0</v>
      </c>
      <c r="L450">
        <f>-89.906*$L$355</f>
        <v>0</v>
      </c>
      <c r="M450">
        <f>0+D450+E450+G450+H450+I450+J450+K450+L450</f>
        <v>0</v>
      </c>
      <c r="N450">
        <f>0+D450+F450+G450+H450+I450+J450+K450+L450</f>
        <v>0</v>
      </c>
    </row>
    <row r="451" spans="3:14">
      <c r="C451" t="s">
        <v>62</v>
      </c>
      <c r="D451">
        <f>-17.816*$D$355</f>
        <v>0</v>
      </c>
      <c r="E451">
        <f>22.147*$E$355</f>
        <v>0</v>
      </c>
      <c r="F451">
        <f>-38.055*$F$355</f>
        <v>0</v>
      </c>
      <c r="G451">
        <f>-10.484*$G$355</f>
        <v>0</v>
      </c>
      <c r="H451">
        <f>0*$H$355</f>
        <v>0</v>
      </c>
      <c r="I451">
        <f>-1.887*$I$355</f>
        <v>0</v>
      </c>
      <c r="J451">
        <f>25.534*$J$355</f>
        <v>0</v>
      </c>
      <c r="K451">
        <f>-34.045*$K$355</f>
        <v>0</v>
      </c>
      <c r="L451">
        <f>-90.217*$L$355</f>
        <v>0</v>
      </c>
      <c r="M451">
        <f>0+D451+E451+G451+H451+I451+J451+K451+L451</f>
        <v>0</v>
      </c>
      <c r="N451">
        <f>0+D451+F451+G451+H451+I451+J451+K451+L451</f>
        <v>0</v>
      </c>
    </row>
    <row r="452" spans="3:14">
      <c r="C452" t="s">
        <v>63</v>
      </c>
      <c r="D452">
        <f>-16.188*$D$355</f>
        <v>0</v>
      </c>
      <c r="E452">
        <f>31.966*$E$355</f>
        <v>0</v>
      </c>
      <c r="F452">
        <f>-36.669*$F$355</f>
        <v>0</v>
      </c>
      <c r="G452">
        <f>-12.434*$G$355</f>
        <v>0</v>
      </c>
      <c r="H452">
        <f>0*$H$355</f>
        <v>0</v>
      </c>
      <c r="I452">
        <f>-1.471*$I$355</f>
        <v>0</v>
      </c>
      <c r="J452">
        <f>71.381*$J$355</f>
        <v>0</v>
      </c>
      <c r="K452">
        <f>-95.175*$K$355</f>
        <v>0</v>
      </c>
      <c r="L452">
        <f>-90.934*$L$355</f>
        <v>0</v>
      </c>
      <c r="M452">
        <f>0+D452+E452+G452+H452+I452+J452+K452+L452</f>
        <v>0</v>
      </c>
      <c r="N452">
        <f>0+D452+F452+G452+H452+I452+J452+K452+L452</f>
        <v>0</v>
      </c>
    </row>
    <row r="453" spans="3:14">
      <c r="C453" t="s">
        <v>63</v>
      </c>
      <c r="D453">
        <f>-12.786*$D$355</f>
        <v>0</v>
      </c>
      <c r="E453">
        <f>47.012*$E$355</f>
        <v>0</v>
      </c>
      <c r="F453">
        <f>-39.27*$F$355</f>
        <v>0</v>
      </c>
      <c r="G453">
        <f>-14.7*$G$355</f>
        <v>0</v>
      </c>
      <c r="H453">
        <f>0*$H$355</f>
        <v>0</v>
      </c>
      <c r="I453">
        <f>-0.8*$I$355</f>
        <v>0</v>
      </c>
      <c r="J453">
        <f>125.72*$J$355</f>
        <v>0</v>
      </c>
      <c r="K453">
        <f>-167.626*$K$355</f>
        <v>0</v>
      </c>
      <c r="L453">
        <f>-91.542*$L$355</f>
        <v>0</v>
      </c>
      <c r="M453">
        <f>0+D453+E453+G453+H453+I453+J453+K453+L453</f>
        <v>0</v>
      </c>
      <c r="N453">
        <f>0+D453+F453+G453+H453+I453+J453+K453+L453</f>
        <v>0</v>
      </c>
    </row>
    <row r="454" spans="3:14">
      <c r="C454" t="s">
        <v>64</v>
      </c>
      <c r="D454">
        <f>-9.274*$D$355</f>
        <v>0</v>
      </c>
      <c r="E454">
        <f>64.567*$E$355</f>
        <v>0</v>
      </c>
      <c r="F454">
        <f>-41.72*$F$355</f>
        <v>0</v>
      </c>
      <c r="G454">
        <f>-17.265*$G$355</f>
        <v>0</v>
      </c>
      <c r="H454">
        <f>0*$H$355</f>
        <v>0</v>
      </c>
      <c r="I454">
        <f>-0.103*$I$355</f>
        <v>0</v>
      </c>
      <c r="J454">
        <f>185.759*$J$355</f>
        <v>0</v>
      </c>
      <c r="K454">
        <f>-247.679*$K$355</f>
        <v>0</v>
      </c>
      <c r="L454">
        <f>-93.553*$L$355</f>
        <v>0</v>
      </c>
      <c r="M454">
        <f>0+D454+E454+G454+H454+I454+J454+K454+L454</f>
        <v>0</v>
      </c>
      <c r="N454">
        <f>0+D454+F454+G454+H454+I454+J454+K454+L454</f>
        <v>0</v>
      </c>
    </row>
    <row r="455" spans="3:14">
      <c r="C455" t="s">
        <v>64</v>
      </c>
      <c r="D455">
        <f>-2.456*$D$355</f>
        <v>0</v>
      </c>
      <c r="E455">
        <f>31.186*$E$355</f>
        <v>0</v>
      </c>
      <c r="F455">
        <f>-60.785*$F$355</f>
        <v>0</v>
      </c>
      <c r="G455">
        <f>12.697*$G$355</f>
        <v>0</v>
      </c>
      <c r="H455">
        <f>0*$H$355</f>
        <v>0</v>
      </c>
      <c r="I455">
        <f>-1.186*$I$355</f>
        <v>0</v>
      </c>
      <c r="J455">
        <f>-233.217*$J$355</f>
        <v>0</v>
      </c>
      <c r="K455">
        <f>310.956*$K$355</f>
        <v>0</v>
      </c>
      <c r="L455">
        <f>57.292*$L$355</f>
        <v>0</v>
      </c>
      <c r="M455">
        <f>0+D455+E455+G455+H455+I455+J455+K455+L455</f>
        <v>0</v>
      </c>
      <c r="N455">
        <f>0+D455+F455+G455+H455+I455+J455+K455+L455</f>
        <v>0</v>
      </c>
    </row>
    <row r="456" spans="3:14">
      <c r="C456" t="s">
        <v>65</v>
      </c>
      <c r="D456">
        <f>2.235*$D$355</f>
        <v>0</v>
      </c>
      <c r="E456">
        <f>28.186*$E$355</f>
        <v>0</v>
      </c>
      <c r="F456">
        <f>-41.613*$F$355</f>
        <v>0</v>
      </c>
      <c r="G456">
        <f>10.187*$G$355</f>
        <v>0</v>
      </c>
      <c r="H456">
        <f>0*$H$355</f>
        <v>0</v>
      </c>
      <c r="I456">
        <f>-0.326*$I$355</f>
        <v>0</v>
      </c>
      <c r="J456">
        <f>-167.713*$J$355</f>
        <v>0</v>
      </c>
      <c r="K456">
        <f>223.617*$K$355</f>
        <v>0</v>
      </c>
      <c r="L456">
        <f>56.436*$L$355</f>
        <v>0</v>
      </c>
      <c r="M456">
        <f>0+D456+E456+G456+H456+I456+J456+K456+L456</f>
        <v>0</v>
      </c>
      <c r="N456">
        <f>0+D456+F456+G456+H456+I456+J456+K456+L456</f>
        <v>0</v>
      </c>
    </row>
    <row r="457" spans="3:14">
      <c r="C457" t="s">
        <v>65</v>
      </c>
      <c r="D457">
        <f>7.661*$D$355</f>
        <v>0</v>
      </c>
      <c r="E457">
        <f>27.247*$E$355</f>
        <v>0</v>
      </c>
      <c r="F457">
        <f>-25.145*$F$355</f>
        <v>0</v>
      </c>
      <c r="G457">
        <f>8.289*$G$355</f>
        <v>0</v>
      </c>
      <c r="H457">
        <f>0*$H$355</f>
        <v>0</v>
      </c>
      <c r="I457">
        <f>0.611*$I$355</f>
        <v>0</v>
      </c>
      <c r="J457">
        <f>-108.772*$J$355</f>
        <v>0</v>
      </c>
      <c r="K457">
        <f>145.029*$K$355</f>
        <v>0</v>
      </c>
      <c r="L457">
        <f>58.753*$L$355</f>
        <v>0</v>
      </c>
      <c r="M457">
        <f>0+D457+E457+G457+H457+I457+J457+K457+L457</f>
        <v>0</v>
      </c>
      <c r="N457">
        <f>0+D457+F457+G457+H457+I457+J457+K457+L457</f>
        <v>0</v>
      </c>
    </row>
    <row r="458" spans="3:14">
      <c r="C458" t="s">
        <v>66</v>
      </c>
      <c r="D458">
        <f>12.036*$D$355</f>
        <v>0</v>
      </c>
      <c r="E458">
        <f>31.585*$E$355</f>
        <v>0</v>
      </c>
      <c r="F458">
        <f>-15.954*$F$355</f>
        <v>0</v>
      </c>
      <c r="G458">
        <f>7.002*$G$355</f>
        <v>0</v>
      </c>
      <c r="H458">
        <f>0*$H$355</f>
        <v>0</v>
      </c>
      <c r="I458">
        <f>1.373*$I$355</f>
        <v>0</v>
      </c>
      <c r="J458">
        <f>-58.725*$J$355</f>
        <v>0</v>
      </c>
      <c r="K458">
        <f>78.3*$K$355</f>
        <v>0</v>
      </c>
      <c r="L458">
        <f>62.115*$L$355</f>
        <v>0</v>
      </c>
      <c r="M458">
        <f>0+D458+E458+G458+H458+I458+J458+K458+L458</f>
        <v>0</v>
      </c>
      <c r="N458">
        <f>0+D458+F458+G458+H458+I458+J458+K458+L458</f>
        <v>0</v>
      </c>
    </row>
    <row r="459" spans="3:14">
      <c r="C459" t="s">
        <v>66</v>
      </c>
      <c r="D459">
        <f>16.837*$D$355</f>
        <v>0</v>
      </c>
      <c r="E459">
        <f>37.838*$E$355</f>
        <v>0</v>
      </c>
      <c r="F459">
        <f>-11.305*$F$355</f>
        <v>0</v>
      </c>
      <c r="G459">
        <f>6.102*$G$355</f>
        <v>0</v>
      </c>
      <c r="H459">
        <f>0*$H$355</f>
        <v>0</v>
      </c>
      <c r="I459">
        <f>2.193*$I$355</f>
        <v>0</v>
      </c>
      <c r="J459">
        <f>-11.318*$J$355</f>
        <v>0</v>
      </c>
      <c r="K459">
        <f>15.091*$K$355</f>
        <v>0</v>
      </c>
      <c r="L459">
        <f>67.764*$L$355</f>
        <v>0</v>
      </c>
      <c r="M459">
        <f>0+D459+E459+G459+H459+I459+J459+K459+L459</f>
        <v>0</v>
      </c>
      <c r="N459">
        <f>0+D459+F459+G459+H459+I459+J459+K459+L459</f>
        <v>0</v>
      </c>
    </row>
    <row r="460" spans="3:14">
      <c r="C460" t="s">
        <v>67</v>
      </c>
      <c r="D460">
        <f>20.643*$D$355</f>
        <v>0</v>
      </c>
      <c r="E460">
        <f>45.133*$E$355</f>
        <v>0</v>
      </c>
      <c r="F460">
        <f>-9.013*$F$355</f>
        <v>0</v>
      </c>
      <c r="G460">
        <f>5.609*$G$355</f>
        <v>0</v>
      </c>
      <c r="H460">
        <f>0*$H$355</f>
        <v>0</v>
      </c>
      <c r="I460">
        <f>2.818*$I$355</f>
        <v>0</v>
      </c>
      <c r="J460">
        <f>38.227*$J$355</f>
        <v>0</v>
      </c>
      <c r="K460">
        <f>-50.969*$K$355</f>
        <v>0</v>
      </c>
      <c r="L460">
        <f>71.874*$L$355</f>
        <v>0</v>
      </c>
      <c r="M460">
        <f>0+D460+E460+G460+H460+I460+J460+K460+L460</f>
        <v>0</v>
      </c>
      <c r="N460">
        <f>0+D460+F460+G460+H460+I460+J460+K460+L460</f>
        <v>0</v>
      </c>
    </row>
    <row r="461" spans="3:14">
      <c r="C461" t="s">
        <v>67</v>
      </c>
      <c r="D461">
        <f>24.917*$D$355</f>
        <v>0</v>
      </c>
      <c r="E461">
        <f>53.448*$E$355</f>
        <v>0</v>
      </c>
      <c r="F461">
        <f>-6.941*$F$355</f>
        <v>0</v>
      </c>
      <c r="G461">
        <f>4.783*$G$355</f>
        <v>0</v>
      </c>
      <c r="H461">
        <f>0*$H$355</f>
        <v>0</v>
      </c>
      <c r="I461">
        <f>3.535*$I$355</f>
        <v>0</v>
      </c>
      <c r="J461">
        <f>100.845*$J$355</f>
        <v>0</v>
      </c>
      <c r="K461">
        <f>-134.46*$K$355</f>
        <v>0</v>
      </c>
      <c r="L461">
        <f>75.102*$L$355</f>
        <v>0</v>
      </c>
      <c r="M461">
        <f>0+D461+E461+G461+H461+I461+J461+K461+L461</f>
        <v>0</v>
      </c>
      <c r="N461">
        <f>0+D461+F461+G461+H461+I461+J461+K461+L461</f>
        <v>0</v>
      </c>
    </row>
    <row r="462" spans="3:14">
      <c r="C462" t="s">
        <v>68</v>
      </c>
      <c r="D462">
        <f>28.346*$D$355</f>
        <v>0</v>
      </c>
      <c r="E462">
        <f>60.342*$E$355</f>
        <v>0</v>
      </c>
      <c r="F462">
        <f>-6.382*$F$355</f>
        <v>0</v>
      </c>
      <c r="G462">
        <f>3.69*$G$355</f>
        <v>0</v>
      </c>
      <c r="H462">
        <f>0*$H$355</f>
        <v>0</v>
      </c>
      <c r="I462">
        <f>4.089*$I$355</f>
        <v>0</v>
      </c>
      <c r="J462">
        <f>185.48*$J$355</f>
        <v>0</v>
      </c>
      <c r="K462">
        <f>-247.306*$K$355</f>
        <v>0</v>
      </c>
      <c r="L462">
        <f>73.36*$L$355</f>
        <v>0</v>
      </c>
      <c r="M462">
        <f>0+D462+E462+G462+H462+I462+J462+K462+L462</f>
        <v>0</v>
      </c>
      <c r="N462">
        <f>0+D462+F462+G462+H462+I462+J462+K462+L462</f>
        <v>0</v>
      </c>
    </row>
    <row r="463" spans="3:14">
      <c r="C463" t="s">
        <v>68</v>
      </c>
      <c r="D463">
        <f>30.851*$D$355</f>
        <v>0</v>
      </c>
      <c r="E463">
        <f>64.779*$E$355</f>
        <v>0</v>
      </c>
      <c r="F463">
        <f>-6.74*$F$355</f>
        <v>0</v>
      </c>
      <c r="G463">
        <f>1.614*$G$355</f>
        <v>0</v>
      </c>
      <c r="H463">
        <f>0*$H$355</f>
        <v>0</v>
      </c>
      <c r="I463">
        <f>4.519*$I$355</f>
        <v>0</v>
      </c>
      <c r="J463">
        <f>304.367*$J$355</f>
        <v>0</v>
      </c>
      <c r="K463">
        <f>-405.822*$K$355</f>
        <v>0</v>
      </c>
      <c r="L463">
        <f>63.903*$L$355</f>
        <v>0</v>
      </c>
      <c r="M463">
        <f>0+D463+E463+G463+H463+I463+J463+K463+L463</f>
        <v>0</v>
      </c>
      <c r="N463">
        <f>0+D463+F463+G463+H463+I463+J463+K463+L463</f>
        <v>0</v>
      </c>
    </row>
    <row r="464" spans="3:14">
      <c r="C464" t="s">
        <v>69</v>
      </c>
      <c r="D464">
        <f>21.402*$D$355</f>
        <v>0</v>
      </c>
      <c r="E464">
        <f>57.093*$E$355</f>
        <v>0</v>
      </c>
      <c r="F464">
        <f>-11.498*$F$355</f>
        <v>0</v>
      </c>
      <c r="G464">
        <f>-2.332*$G$355</f>
        <v>0</v>
      </c>
      <c r="H464">
        <f>0*$H$355</f>
        <v>0</v>
      </c>
      <c r="I464">
        <f>3.201*$I$355</f>
        <v>0</v>
      </c>
      <c r="J464">
        <f>456.771*$J$355</f>
        <v>0</v>
      </c>
      <c r="K464">
        <f>-609.027*$K$355</f>
        <v>0</v>
      </c>
      <c r="L464">
        <f>25.039*$L$355</f>
        <v>0</v>
      </c>
      <c r="M464">
        <f>0+D464+E464+G464+H464+I464+J464+K464+L464</f>
        <v>0</v>
      </c>
      <c r="N464">
        <f>0+D464+F464+G464+H464+I464+J464+K464+L464</f>
        <v>0</v>
      </c>
    </row>
    <row r="469" spans="3:14">
      <c r="C469" t="s">
        <v>73</v>
      </c>
    </row>
    <row r="471" spans="3:14">
      <c r="C471" t="s">
        <v>2</v>
      </c>
    </row>
    <row r="472" spans="3:14">
      <c r="C472" t="s">
        <v>3</v>
      </c>
      <c r="D472" t="s">
        <v>4</v>
      </c>
      <c r="E472" t="s">
        <v>5</v>
      </c>
      <c r="F472" t="s">
        <v>6</v>
      </c>
      <c r="G472" t="s">
        <v>7</v>
      </c>
      <c r="H472" t="s">
        <v>8</v>
      </c>
      <c r="I472" t="s">
        <v>9</v>
      </c>
      <c r="J472" t="s">
        <v>10</v>
      </c>
      <c r="K472" t="s">
        <v>11</v>
      </c>
      <c r="L472" t="s">
        <v>12</v>
      </c>
      <c r="M472" t="s">
        <v>13</v>
      </c>
      <c r="N472" t="s">
        <v>14</v>
      </c>
    </row>
    <row r="473" spans="3:14">
      <c r="C473" t="s">
        <v>15</v>
      </c>
      <c r="D473">
        <f>-22.05*$D$471</f>
        <v>0</v>
      </c>
      <c r="E473">
        <f>446.542*$E$471</f>
        <v>0</v>
      </c>
      <c r="F473">
        <f>-446.047*$F$471</f>
        <v>0</v>
      </c>
      <c r="G473">
        <f>-30.428*$G$471</f>
        <v>0</v>
      </c>
      <c r="H473">
        <f>0*$H$471</f>
        <v>0</v>
      </c>
      <c r="I473">
        <f>-1.178*$I$471</f>
        <v>0</v>
      </c>
      <c r="J473">
        <f>-387.869*$J$471</f>
        <v>0</v>
      </c>
      <c r="K473">
        <f>517.158*$K$471</f>
        <v>0</v>
      </c>
      <c r="L473">
        <f>-0.182*$L$471</f>
        <v>0</v>
      </c>
      <c r="M473">
        <f>0+D473+E473+G473+H473+I473+J473+K473+L473</f>
        <v>0</v>
      </c>
      <c r="N473">
        <f>0+D473+F473+G473+H473+I473+J473+K473+L473</f>
        <v>0</v>
      </c>
    </row>
    <row r="474" spans="3:14">
      <c r="C474" t="s">
        <v>16</v>
      </c>
      <c r="D474">
        <f>-19.541*$D$471</f>
        <v>0</v>
      </c>
      <c r="E474">
        <f>434.282*$E$471</f>
        <v>0</v>
      </c>
      <c r="F474">
        <f>-430.726*$F$471</f>
        <v>0</v>
      </c>
      <c r="G474">
        <f>-29.227*$G$471</f>
        <v>0</v>
      </c>
      <c r="H474">
        <f>0*$H$471</f>
        <v>0</v>
      </c>
      <c r="I474">
        <f>-0.894*$I$471</f>
        <v>0</v>
      </c>
      <c r="J474">
        <f>-334.343*$J$471</f>
        <v>0</v>
      </c>
      <c r="K474">
        <f>445.791*$K$471</f>
        <v>0</v>
      </c>
      <c r="L474">
        <f>-0.176*$L$471</f>
        <v>0</v>
      </c>
      <c r="M474">
        <f>0+D474+E474+G474+H474+I474+J474+K474+L474</f>
        <v>0</v>
      </c>
      <c r="N474">
        <f>0+D474+F474+G474+H474+I474+J474+K474+L474</f>
        <v>0</v>
      </c>
    </row>
    <row r="475" spans="3:14">
      <c r="C475" t="s">
        <v>16</v>
      </c>
      <c r="D475">
        <f>-40.146*$D$471</f>
        <v>0</v>
      </c>
      <c r="E475">
        <f>402.897*$E$471</f>
        <v>0</v>
      </c>
      <c r="F475">
        <f>-431.897*$F$471</f>
        <v>0</v>
      </c>
      <c r="G475">
        <f>-29.75*$G$471</f>
        <v>0</v>
      </c>
      <c r="H475">
        <f>0*$H$471</f>
        <v>0</v>
      </c>
      <c r="I475">
        <f>-3.989*$I$471</f>
        <v>0</v>
      </c>
      <c r="J475">
        <f>-251.55*$J$471</f>
        <v>0</v>
      </c>
      <c r="K475">
        <f>335.4*$K$471</f>
        <v>0</v>
      </c>
      <c r="L475">
        <f>-0.167*$L$471</f>
        <v>0</v>
      </c>
      <c r="M475">
        <f>0+D475+E475+G475+H475+I475+J475+K475+L475</f>
        <v>0</v>
      </c>
      <c r="N475">
        <f>0+D475+F475+G475+H475+I475+J475+K475+L475</f>
        <v>0</v>
      </c>
    </row>
    <row r="476" spans="3:14">
      <c r="C476" t="s">
        <v>17</v>
      </c>
      <c r="D476">
        <f>-32.126*$D$471</f>
        <v>0</v>
      </c>
      <c r="E476">
        <f>393.078*$E$471</f>
        <v>0</v>
      </c>
      <c r="F476">
        <f>-413.475*$F$471</f>
        <v>0</v>
      </c>
      <c r="G476">
        <f>-27.332*$G$471</f>
        <v>0</v>
      </c>
      <c r="H476">
        <f>0*$H$471</f>
        <v>0</v>
      </c>
      <c r="I476">
        <f>-2.962*$I$471</f>
        <v>0</v>
      </c>
      <c r="J476">
        <f>-181.798*$J$471</f>
        <v>0</v>
      </c>
      <c r="K476">
        <f>242.398*$K$471</f>
        <v>0</v>
      </c>
      <c r="L476">
        <f>-0.162*$L$471</f>
        <v>0</v>
      </c>
      <c r="M476">
        <f>0+D476+E476+G476+H476+I476+J476+K476+L476</f>
        <v>0</v>
      </c>
      <c r="N476">
        <f>0+D476+F476+G476+H476+I476+J476+K476+L476</f>
        <v>0</v>
      </c>
    </row>
    <row r="477" spans="3:14">
      <c r="C477" t="s">
        <v>17</v>
      </c>
      <c r="D477">
        <f>-51.901*$D$471</f>
        <v>0</v>
      </c>
      <c r="E477">
        <f>369.611*$E$471</f>
        <v>0</v>
      </c>
      <c r="F477">
        <f>-421.521*$F$471</f>
        <v>0</v>
      </c>
      <c r="G477">
        <f>-26.967*$G$471</f>
        <v>0</v>
      </c>
      <c r="H477">
        <f>0*$H$471</f>
        <v>0</v>
      </c>
      <c r="I477">
        <f>-5.959*$I$471</f>
        <v>0</v>
      </c>
      <c r="J477">
        <f>-135.563*$J$471</f>
        <v>0</v>
      </c>
      <c r="K477">
        <f>180.75*$K$471</f>
        <v>0</v>
      </c>
      <c r="L477">
        <f>-0.155*$L$471</f>
        <v>0</v>
      </c>
      <c r="M477">
        <f>0+D477+E477+G477+H477+I477+J477+K477+L477</f>
        <v>0</v>
      </c>
      <c r="N477">
        <f>0+D477+F477+G477+H477+I477+J477+K477+L477</f>
        <v>0</v>
      </c>
    </row>
    <row r="478" spans="3:14">
      <c r="C478" t="s">
        <v>18</v>
      </c>
      <c r="D478">
        <f>-42.722*$D$471</f>
        <v>0</v>
      </c>
      <c r="E478">
        <f>362.565*$E$471</f>
        <v>0</v>
      </c>
      <c r="F478">
        <f>-404.136*$F$471</f>
        <v>0</v>
      </c>
      <c r="G478">
        <f>-23.05*$G$471</f>
        <v>0</v>
      </c>
      <c r="H478">
        <f>0*$H$471</f>
        <v>0</v>
      </c>
      <c r="I478">
        <f>-4.852*$I$471</f>
        <v>0</v>
      </c>
      <c r="J478">
        <f>-109.366*$J$471</f>
        <v>0</v>
      </c>
      <c r="K478">
        <f>145.821*$K$471</f>
        <v>0</v>
      </c>
      <c r="L478">
        <f>-0.15*$L$471</f>
        <v>0</v>
      </c>
      <c r="M478">
        <f>0+D478+E478+G478+H478+I478+J478+K478+L478</f>
        <v>0</v>
      </c>
      <c r="N478">
        <f>0+D478+F478+G478+H478+I478+J478+K478+L478</f>
        <v>0</v>
      </c>
    </row>
    <row r="479" spans="3:14">
      <c r="C479" t="s">
        <v>18</v>
      </c>
      <c r="D479">
        <f>-70.393*$D$471</f>
        <v>0</v>
      </c>
      <c r="E479">
        <f>346.843*$E$471</f>
        <v>0</v>
      </c>
      <c r="F479">
        <f>-429.99*$F$471</f>
        <v>0</v>
      </c>
      <c r="G479">
        <f>-22.616*$G$471</f>
        <v>0</v>
      </c>
      <c r="H479">
        <f>0*$H$471</f>
        <v>0</v>
      </c>
      <c r="I479">
        <f>-8.989*$I$471</f>
        <v>0</v>
      </c>
      <c r="J479">
        <f>-100.565*$J$471</f>
        <v>0</v>
      </c>
      <c r="K479">
        <f>134.087*$K$471</f>
        <v>0</v>
      </c>
      <c r="L479">
        <f>-0.146*$L$471</f>
        <v>0</v>
      </c>
      <c r="M479">
        <f>0+D479+E479+G479+H479+I479+J479+K479+L479</f>
        <v>0</v>
      </c>
      <c r="N479">
        <f>0+D479+F479+G479+H479+I479+J479+K479+L479</f>
        <v>0</v>
      </c>
    </row>
    <row r="480" spans="3:14">
      <c r="C480" t="s">
        <v>19</v>
      </c>
      <c r="D480">
        <f>-61.684*$D$471</f>
        <v>0</v>
      </c>
      <c r="E480">
        <f>341.565*$E$471</f>
        <v>0</v>
      </c>
      <c r="F480">
        <f>-414.115*$F$471</f>
        <v>0</v>
      </c>
      <c r="G480">
        <f>-17.545*$G$471</f>
        <v>0</v>
      </c>
      <c r="H480">
        <f>0*$H$471</f>
        <v>0</v>
      </c>
      <c r="I480">
        <f>-8.028*$I$471</f>
        <v>0</v>
      </c>
      <c r="J480">
        <f>-106.642*$J$471</f>
        <v>0</v>
      </c>
      <c r="K480">
        <f>142.19*$K$471</f>
        <v>0</v>
      </c>
      <c r="L480">
        <f>-0.14*$L$471</f>
        <v>0</v>
      </c>
      <c r="M480">
        <f>0+D480+E480+G480+H480+I480+J480+K480+L480</f>
        <v>0</v>
      </c>
      <c r="N480">
        <f>0+D480+F480+G480+H480+I480+J480+K480+L480</f>
        <v>0</v>
      </c>
    </row>
    <row r="481" spans="3:14">
      <c r="C481" t="s">
        <v>19</v>
      </c>
      <c r="D481">
        <f>-90.499*$D$471</f>
        <v>0</v>
      </c>
      <c r="E481">
        <f>327.15*$E$471</f>
        <v>0</v>
      </c>
      <c r="F481">
        <f>-440.44*$F$471</f>
        <v>0</v>
      </c>
      <c r="G481">
        <f>-16.449*$G$471</f>
        <v>0</v>
      </c>
      <c r="H481">
        <f>0*$H$471</f>
        <v>0</v>
      </c>
      <c r="I481">
        <f>-12.335*$I$471</f>
        <v>0</v>
      </c>
      <c r="J481">
        <f>-119.499*$J$471</f>
        <v>0</v>
      </c>
      <c r="K481">
        <f>159.332*$K$471</f>
        <v>0</v>
      </c>
      <c r="L481">
        <f>-0.134*$L$471</f>
        <v>0</v>
      </c>
      <c r="M481">
        <f>0+D481+E481+G481+H481+I481+J481+K481+L481</f>
        <v>0</v>
      </c>
      <c r="N481">
        <f>0+D481+F481+G481+H481+I481+J481+K481+L481</f>
        <v>0</v>
      </c>
    </row>
    <row r="482" spans="3:14">
      <c r="C482" t="s">
        <v>20</v>
      </c>
      <c r="D482">
        <f>-81.978*$D$471</f>
        <v>0</v>
      </c>
      <c r="E482">
        <f>319.632*$E$471</f>
        <v>0</v>
      </c>
      <c r="F482">
        <f>-423.879*$F$471</f>
        <v>0</v>
      </c>
      <c r="G482">
        <f>-12.415*$G$471</f>
        <v>0</v>
      </c>
      <c r="H482">
        <f>0*$H$471</f>
        <v>0</v>
      </c>
      <c r="I482">
        <f>-11.331*$I$471</f>
        <v>0</v>
      </c>
      <c r="J482">
        <f>-121.389*$J$471</f>
        <v>0</v>
      </c>
      <c r="K482">
        <f>161.852*$K$471</f>
        <v>0</v>
      </c>
      <c r="L482">
        <f>-0.126*$L$471</f>
        <v>0</v>
      </c>
      <c r="M482">
        <f>0+D482+E482+G482+H482+I482+J482+K482+L482</f>
        <v>0</v>
      </c>
      <c r="N482">
        <f>0+D482+F482+G482+H482+I482+J482+K482+L482</f>
        <v>0</v>
      </c>
    </row>
    <row r="483" spans="3:14">
      <c r="C483" t="s">
        <v>20</v>
      </c>
      <c r="D483">
        <f>-88.11*$D$471</f>
        <v>0</v>
      </c>
      <c r="E483">
        <f>319.96*$E$471</f>
        <v>0</v>
      </c>
      <c r="F483">
        <f>-433.264*$F$471</f>
        <v>0</v>
      </c>
      <c r="G483">
        <f>-11.75*$G$471</f>
        <v>0</v>
      </c>
      <c r="H483">
        <f>0*$H$471</f>
        <v>0</v>
      </c>
      <c r="I483">
        <f>-12.288*$I$471</f>
        <v>0</v>
      </c>
      <c r="J483">
        <f>-119.646*$J$471</f>
        <v>0</v>
      </c>
      <c r="K483">
        <f>159.529*$K$471</f>
        <v>0</v>
      </c>
      <c r="L483">
        <f>-0.129*$L$471</f>
        <v>0</v>
      </c>
      <c r="M483">
        <f>0+D483+E483+G483+H483+I483+J483+K483+L483</f>
        <v>0</v>
      </c>
      <c r="N483">
        <f>0+D483+F483+G483+H483+I483+J483+K483+L483</f>
        <v>0</v>
      </c>
    </row>
    <row r="484" spans="3:14">
      <c r="C484" t="s">
        <v>21</v>
      </c>
      <c r="D484">
        <f>-79.908*$D$471</f>
        <v>0</v>
      </c>
      <c r="E484">
        <f>310.935*$E$471</f>
        <v>0</v>
      </c>
      <c r="F484">
        <f>-414.054*$F$471</f>
        <v>0</v>
      </c>
      <c r="G484">
        <f>-10.131*$G$471</f>
        <v>0</v>
      </c>
      <c r="H484">
        <f>0*$H$471</f>
        <v>0</v>
      </c>
      <c r="I484">
        <f>-11.153*$I$471</f>
        <v>0</v>
      </c>
      <c r="J484">
        <f>-102.531*$J$471</f>
        <v>0</v>
      </c>
      <c r="K484">
        <f>136.708*$K$471</f>
        <v>0</v>
      </c>
      <c r="L484">
        <f>-0.121*$L$471</f>
        <v>0</v>
      </c>
      <c r="M484">
        <f>0+D484+E484+G484+H484+I484+J484+K484+L484</f>
        <v>0</v>
      </c>
      <c r="N484">
        <f>0+D484+F484+G484+H484+I484+J484+K484+L484</f>
        <v>0</v>
      </c>
    </row>
    <row r="485" spans="3:14">
      <c r="C485" t="s">
        <v>21</v>
      </c>
      <c r="D485">
        <f>-87.943*$D$471</f>
        <v>0</v>
      </c>
      <c r="E485">
        <f>300.585*$E$471</f>
        <v>0</v>
      </c>
      <c r="F485">
        <f>-414.354*$F$471</f>
        <v>0</v>
      </c>
      <c r="G485">
        <f>-11.088*$G$471</f>
        <v>0</v>
      </c>
      <c r="H485">
        <f>0*$H$471</f>
        <v>0</v>
      </c>
      <c r="I485">
        <f>-12.318*$I$471</f>
        <v>0</v>
      </c>
      <c r="J485">
        <f>-77.057*$J$471</f>
        <v>0</v>
      </c>
      <c r="K485">
        <f>102.743*$K$471</f>
        <v>0</v>
      </c>
      <c r="L485">
        <f>-0.115*$L$471</f>
        <v>0</v>
      </c>
      <c r="M485">
        <f>0+D485+E485+G485+H485+I485+J485+K485+L485</f>
        <v>0</v>
      </c>
      <c r="N485">
        <f>0+D485+F485+G485+H485+I485+J485+K485+L485</f>
        <v>0</v>
      </c>
    </row>
    <row r="486" spans="3:14">
      <c r="C486" t="s">
        <v>22</v>
      </c>
      <c r="D486">
        <f>-81.06*$D$471</f>
        <v>0</v>
      </c>
      <c r="E486">
        <f>293.002*$E$471</f>
        <v>0</v>
      </c>
      <c r="F486">
        <f>-396.954*$F$471</f>
        <v>0</v>
      </c>
      <c r="G486">
        <f>-10.741*$G$471</f>
        <v>0</v>
      </c>
      <c r="H486">
        <f>0*$H$471</f>
        <v>0</v>
      </c>
      <c r="I486">
        <f>-11.296*$I$471</f>
        <v>0</v>
      </c>
      <c r="J486">
        <f>-53.323*$J$471</f>
        <v>0</v>
      </c>
      <c r="K486">
        <f>71.097*$K$471</f>
        <v>0</v>
      </c>
      <c r="L486">
        <f>-0.11*$L$471</f>
        <v>0</v>
      </c>
      <c r="M486">
        <f>0+D486+E486+G486+H486+I486+J486+K486+L486</f>
        <v>0</v>
      </c>
      <c r="N486">
        <f>0+D486+F486+G486+H486+I486+J486+K486+L486</f>
        <v>0</v>
      </c>
    </row>
    <row r="487" spans="3:14">
      <c r="C487" t="s">
        <v>22</v>
      </c>
      <c r="D487">
        <f>-93.566*$D$471</f>
        <v>0</v>
      </c>
      <c r="E487">
        <f>286.69*$E$471</f>
        <v>0</v>
      </c>
      <c r="F487">
        <f>-403.38*$F$471</f>
        <v>0</v>
      </c>
      <c r="G487">
        <f>-11.649*$G$471</f>
        <v>0</v>
      </c>
      <c r="H487">
        <f>0*$H$471</f>
        <v>0</v>
      </c>
      <c r="I487">
        <f>-13.116*$I$471</f>
        <v>0</v>
      </c>
      <c r="J487">
        <f>-39.026*$J$471</f>
        <v>0</v>
      </c>
      <c r="K487">
        <f>52.034*$K$471</f>
        <v>0</v>
      </c>
      <c r="L487">
        <f>-0.107*$L$471</f>
        <v>0</v>
      </c>
      <c r="M487">
        <f>0+D487+E487+G487+H487+I487+J487+K487+L487</f>
        <v>0</v>
      </c>
      <c r="N487">
        <f>0+D487+F487+G487+H487+I487+J487+K487+L487</f>
        <v>0</v>
      </c>
    </row>
    <row r="488" spans="3:14">
      <c r="C488" t="s">
        <v>23</v>
      </c>
      <c r="D488">
        <f>-90.184*$D$471</f>
        <v>0</v>
      </c>
      <c r="E488">
        <f>277.846*$E$471</f>
        <v>0</v>
      </c>
      <c r="F488">
        <f>-391.115*$F$471</f>
        <v>0</v>
      </c>
      <c r="G488">
        <f>-10.015*$G$471</f>
        <v>0</v>
      </c>
      <c r="H488">
        <f>0*$H$471</f>
        <v>0</v>
      </c>
      <c r="I488">
        <f>-12.708*$I$471</f>
        <v>0</v>
      </c>
      <c r="J488">
        <f>-32.809*$J$471</f>
        <v>0</v>
      </c>
      <c r="K488">
        <f>43.745*$K$471</f>
        <v>0</v>
      </c>
      <c r="L488">
        <f>-0.102*$L$471</f>
        <v>0</v>
      </c>
      <c r="M488">
        <f>0+D488+E488+G488+H488+I488+J488+K488+L488</f>
        <v>0</v>
      </c>
      <c r="N488">
        <f>0+D488+F488+G488+H488+I488+J488+K488+L488</f>
        <v>0</v>
      </c>
    </row>
    <row r="489" spans="3:14">
      <c r="C489" t="s">
        <v>23</v>
      </c>
      <c r="D489">
        <f>-93.678*$D$471</f>
        <v>0</v>
      </c>
      <c r="E489">
        <f>268.471*$E$471</f>
        <v>0</v>
      </c>
      <c r="F489">
        <f>-387.814*$F$471</f>
        <v>0</v>
      </c>
      <c r="G489">
        <f>-8.095*$G$471</f>
        <v>0</v>
      </c>
      <c r="H489">
        <f>0*$H$471</f>
        <v>0</v>
      </c>
      <c r="I489">
        <f>-13.316*$I$471</f>
        <v>0</v>
      </c>
      <c r="J489">
        <f>-34.338*$J$471</f>
        <v>0</v>
      </c>
      <c r="K489">
        <f>45.783*$K$471</f>
        <v>0</v>
      </c>
      <c r="L489">
        <f>-0.097*$L$471</f>
        <v>0</v>
      </c>
      <c r="M489">
        <f>0+D489+E489+G489+H489+I489+J489+K489+L489</f>
        <v>0</v>
      </c>
      <c r="N489">
        <f>0+D489+F489+G489+H489+I489+J489+K489+L489</f>
        <v>0</v>
      </c>
    </row>
    <row r="490" spans="3:14">
      <c r="C490" t="s">
        <v>24</v>
      </c>
      <c r="D490">
        <f>-93.964*$D$471</f>
        <v>0</v>
      </c>
      <c r="E490">
        <f>258.533*$E$471</f>
        <v>0</v>
      </c>
      <c r="F490">
        <f>-381.633*$F$471</f>
        <v>0</v>
      </c>
      <c r="G490">
        <f>-4.971*$G$471</f>
        <v>0</v>
      </c>
      <c r="H490">
        <f>0*$H$471</f>
        <v>0</v>
      </c>
      <c r="I490">
        <f>-13.56*$I$471</f>
        <v>0</v>
      </c>
      <c r="J490">
        <f>-43.581*$J$471</f>
        <v>0</v>
      </c>
      <c r="K490">
        <f>58.108*$K$471</f>
        <v>0</v>
      </c>
      <c r="L490">
        <f>-0.091*$L$471</f>
        <v>0</v>
      </c>
      <c r="M490">
        <f>0+D490+E490+G490+H490+I490+J490+K490+L490</f>
        <v>0</v>
      </c>
      <c r="N490">
        <f>0+D490+F490+G490+H490+I490+J490+K490+L490</f>
        <v>0</v>
      </c>
    </row>
    <row r="491" spans="3:14">
      <c r="C491" t="s">
        <v>24</v>
      </c>
      <c r="D491">
        <f>-100.358*$D$471</f>
        <v>0</v>
      </c>
      <c r="E491">
        <f>249.543*$E$471</f>
        <v>0</v>
      </c>
      <c r="F491">
        <f>-383.61*$F$471</f>
        <v>0</v>
      </c>
      <c r="G491">
        <f>-2.541*$G$471</f>
        <v>0</v>
      </c>
      <c r="H491">
        <f>0*$H$471</f>
        <v>0</v>
      </c>
      <c r="I491">
        <f>-14.617*$I$471</f>
        <v>0</v>
      </c>
      <c r="J491">
        <f>-54.23*$J$471</f>
        <v>0</v>
      </c>
      <c r="K491">
        <f>72.306*$K$471</f>
        <v>0</v>
      </c>
      <c r="L491">
        <f>-0.085*$L$471</f>
        <v>0</v>
      </c>
      <c r="M491">
        <f>0+D491+E491+G491+H491+I491+J491+K491+L491</f>
        <v>0</v>
      </c>
      <c r="N491">
        <f>0+D491+F491+G491+H491+I491+J491+K491+L491</f>
        <v>0</v>
      </c>
    </row>
    <row r="492" spans="3:14">
      <c r="C492" t="s">
        <v>25</v>
      </c>
      <c r="D492">
        <f>-102.096*$D$471</f>
        <v>0</v>
      </c>
      <c r="E492">
        <f>238.132*$E$471</f>
        <v>0</v>
      </c>
      <c r="F492">
        <f>-376.606*$F$471</f>
        <v>0</v>
      </c>
      <c r="G492">
        <f>-0.863*$G$471</f>
        <v>0</v>
      </c>
      <c r="H492">
        <f>0*$H$471</f>
        <v>0</v>
      </c>
      <c r="I492">
        <f>-14.983*$I$471</f>
        <v>0</v>
      </c>
      <c r="J492">
        <f>-58.58*$J$471</f>
        <v>0</v>
      </c>
      <c r="K492">
        <f>78.107*$K$471</f>
        <v>0</v>
      </c>
      <c r="L492">
        <f>-0.076*$L$471</f>
        <v>0</v>
      </c>
      <c r="M492">
        <f>0+D492+E492+G492+H492+I492+J492+K492+L492</f>
        <v>0</v>
      </c>
      <c r="N492">
        <f>0+D492+F492+G492+H492+I492+J492+K492+L492</f>
        <v>0</v>
      </c>
    </row>
    <row r="493" spans="3:14">
      <c r="C493" t="s">
        <v>25</v>
      </c>
      <c r="D493">
        <f>-102.568*$D$471</f>
        <v>0</v>
      </c>
      <c r="E493">
        <f>231.48*$E$471</f>
        <v>0</v>
      </c>
      <c r="F493">
        <f>-366.763*$F$471</f>
        <v>0</v>
      </c>
      <c r="G493">
        <f>-0.66*$G$471</f>
        <v>0</v>
      </c>
      <c r="H493">
        <f>0*$H$471</f>
        <v>0</v>
      </c>
      <c r="I493">
        <f>-15.052*$I$471</f>
        <v>0</v>
      </c>
      <c r="J493">
        <f>-57.146*$J$471</f>
        <v>0</v>
      </c>
      <c r="K493">
        <f>76.195*$K$471</f>
        <v>0</v>
      </c>
      <c r="L493">
        <f>-0.078*$L$471</f>
        <v>0</v>
      </c>
      <c r="M493">
        <f>0+D493+E493+G493+H493+I493+J493+K493+L493</f>
        <v>0</v>
      </c>
      <c r="N493">
        <f>0+D493+F493+G493+H493+I493+J493+K493+L493</f>
        <v>0</v>
      </c>
    </row>
    <row r="494" spans="3:14">
      <c r="C494" t="s">
        <v>26</v>
      </c>
      <c r="D494">
        <f>-105.08*$D$471</f>
        <v>0</v>
      </c>
      <c r="E494">
        <f>217.247*$E$471</f>
        <v>0</v>
      </c>
      <c r="F494">
        <f>-355.285*$F$471</f>
        <v>0</v>
      </c>
      <c r="G494">
        <f>-2.013*$G$471</f>
        <v>0</v>
      </c>
      <c r="H494">
        <f>0*$H$471</f>
        <v>0</v>
      </c>
      <c r="I494">
        <f>-15.315*$I$471</f>
        <v>0</v>
      </c>
      <c r="J494">
        <f>-47.52*$J$471</f>
        <v>0</v>
      </c>
      <c r="K494">
        <f>63.359*$K$471</f>
        <v>0</v>
      </c>
      <c r="L494">
        <f>-0.069*$L$471</f>
        <v>0</v>
      </c>
      <c r="M494">
        <f>0+D494+E494+G494+H494+I494+J494+K494+L494</f>
        <v>0</v>
      </c>
      <c r="N494">
        <f>0+D494+F494+G494+H494+I494+J494+K494+L494</f>
        <v>0</v>
      </c>
    </row>
    <row r="495" spans="3:14">
      <c r="C495" t="s">
        <v>26</v>
      </c>
      <c r="D495">
        <f>-101.336*$D$471</f>
        <v>0</v>
      </c>
      <c r="E495">
        <f>206.332*$E$471</f>
        <v>0</v>
      </c>
      <c r="F495">
        <f>-333.747*$F$471</f>
        <v>0</v>
      </c>
      <c r="G495">
        <f>-3.952*$G$471</f>
        <v>0</v>
      </c>
      <c r="H495">
        <f>0*$H$471</f>
        <v>0</v>
      </c>
      <c r="I495">
        <f>-14.659*$I$471</f>
        <v>0</v>
      </c>
      <c r="J495">
        <f>-31.542*$J$471</f>
        <v>0</v>
      </c>
      <c r="K495">
        <f>42.056*$K$471</f>
        <v>0</v>
      </c>
      <c r="L495">
        <f>-0.061*$L$471</f>
        <v>0</v>
      </c>
      <c r="M495">
        <f>0+D495+E495+G495+H495+I495+J495+K495+L495</f>
        <v>0</v>
      </c>
      <c r="N495">
        <f>0+D495+F495+G495+H495+I495+J495+K495+L495</f>
        <v>0</v>
      </c>
    </row>
    <row r="496" spans="3:14">
      <c r="C496" t="s">
        <v>27</v>
      </c>
      <c r="D496">
        <f>-105.226*$D$471</f>
        <v>0</v>
      </c>
      <c r="E496">
        <f>190.143*$E$471</f>
        <v>0</v>
      </c>
      <c r="F496">
        <f>-321.673*$F$471</f>
        <v>0</v>
      </c>
      <c r="G496">
        <f>-6.675*$G$471</f>
        <v>0</v>
      </c>
      <c r="H496">
        <f>0*$H$471</f>
        <v>0</v>
      </c>
      <c r="I496">
        <f>-15.04*$I$471</f>
        <v>0</v>
      </c>
      <c r="J496">
        <f>-16.468*$J$471</f>
        <v>0</v>
      </c>
      <c r="K496">
        <f>21.958*$K$471</f>
        <v>0</v>
      </c>
      <c r="L496">
        <f>-0.055*$L$471</f>
        <v>0</v>
      </c>
      <c r="M496">
        <f>0+D496+E496+G496+H496+I496+J496+K496+L496</f>
        <v>0</v>
      </c>
      <c r="N496">
        <f>0+D496+F496+G496+H496+I496+J496+K496+L496</f>
        <v>0</v>
      </c>
    </row>
    <row r="497" spans="3:14">
      <c r="C497" t="s">
        <v>27</v>
      </c>
      <c r="D497">
        <f>-103.967*$D$471</f>
        <v>0</v>
      </c>
      <c r="E497">
        <f>178.773*$E$471</f>
        <v>0</v>
      </c>
      <c r="F497">
        <f>-308.168*$F$471</f>
        <v>0</v>
      </c>
      <c r="G497">
        <f>-7.894*$G$471</f>
        <v>0</v>
      </c>
      <c r="H497">
        <f>0*$H$471</f>
        <v>0</v>
      </c>
      <c r="I497">
        <f>-14.789*$I$471</f>
        <v>0</v>
      </c>
      <c r="J497">
        <f>-7.967*$J$471</f>
        <v>0</v>
      </c>
      <c r="K497">
        <f>10.623*$K$471</f>
        <v>0</v>
      </c>
      <c r="L497">
        <f>-0.05*$L$471</f>
        <v>0</v>
      </c>
      <c r="M497">
        <f>0+D497+E497+G497+H497+I497+J497+K497+L497</f>
        <v>0</v>
      </c>
      <c r="N497">
        <f>0+D497+F497+G497+H497+I497+J497+K497+L497</f>
        <v>0</v>
      </c>
    </row>
    <row r="498" spans="3:14">
      <c r="C498" t="s">
        <v>28</v>
      </c>
      <c r="D498">
        <f>-110.81*$D$471</f>
        <v>0</v>
      </c>
      <c r="E498">
        <f>162.884*$E$471</f>
        <v>0</v>
      </c>
      <c r="F498">
        <f>-301.925*$F$471</f>
        <v>0</v>
      </c>
      <c r="G498">
        <f>-8.802*$G$471</f>
        <v>0</v>
      </c>
      <c r="H498">
        <f>0*$H$471</f>
        <v>0</v>
      </c>
      <c r="I498">
        <f>-15.744*$I$471</f>
        <v>0</v>
      </c>
      <c r="J498">
        <f>-5.784*$J$471</f>
        <v>0</v>
      </c>
      <c r="K498">
        <f>7.712*$K$471</f>
        <v>0</v>
      </c>
      <c r="L498">
        <f>-0.044*$L$471</f>
        <v>0</v>
      </c>
      <c r="M498">
        <f>0+D498+E498+G498+H498+I498+J498+K498+L498</f>
        <v>0</v>
      </c>
      <c r="N498">
        <f>0+D498+F498+G498+H498+I498+J498+K498+L498</f>
        <v>0</v>
      </c>
    </row>
    <row r="499" spans="3:14">
      <c r="C499" t="s">
        <v>28</v>
      </c>
      <c r="D499">
        <f>-97.538*$D$471</f>
        <v>0</v>
      </c>
      <c r="E499">
        <f>156.926*$E$471</f>
        <v>0</v>
      </c>
      <c r="F499">
        <f>-277.97*$F$471</f>
        <v>0</v>
      </c>
      <c r="G499">
        <f>-6.685*$G$471</f>
        <v>0</v>
      </c>
      <c r="H499">
        <f>0*$H$471</f>
        <v>0</v>
      </c>
      <c r="I499">
        <f>-13.878*$I$471</f>
        <v>0</v>
      </c>
      <c r="J499">
        <f>-10.593*$J$471</f>
        <v>0</v>
      </c>
      <c r="K499">
        <f>14.124*$K$471</f>
        <v>0</v>
      </c>
      <c r="L499">
        <f>-0.041*$L$471</f>
        <v>0</v>
      </c>
      <c r="M499">
        <f>0+D499+E499+G499+H499+I499+J499+K499+L499</f>
        <v>0</v>
      </c>
      <c r="N499">
        <f>0+D499+F499+G499+H499+I499+J499+K499+L499</f>
        <v>0</v>
      </c>
    </row>
    <row r="500" spans="3:14">
      <c r="C500" t="s">
        <v>29</v>
      </c>
      <c r="D500">
        <f>-106.615*$D$471</f>
        <v>0</v>
      </c>
      <c r="E500">
        <f>142.069*$E$471</f>
        <v>0</v>
      </c>
      <c r="F500">
        <f>-279.274*$F$471</f>
        <v>0</v>
      </c>
      <c r="G500">
        <f>-5.784*$G$471</f>
        <v>0</v>
      </c>
      <c r="H500">
        <f>0*$H$471</f>
        <v>0</v>
      </c>
      <c r="I500">
        <f>-15.304*$I$471</f>
        <v>0</v>
      </c>
      <c r="J500">
        <f>-21.963*$J$471</f>
        <v>0</v>
      </c>
      <c r="K500">
        <f>29.283*$K$471</f>
        <v>0</v>
      </c>
      <c r="L500">
        <f>-0.036*$L$471</f>
        <v>0</v>
      </c>
      <c r="M500">
        <f>0+D500+E500+G500+H500+I500+J500+K500+L500</f>
        <v>0</v>
      </c>
      <c r="N500">
        <f>0+D500+F500+G500+H500+I500+J500+K500+L500</f>
        <v>0</v>
      </c>
    </row>
    <row r="501" spans="3:14">
      <c r="C501" t="s">
        <v>29</v>
      </c>
      <c r="D501">
        <f>-98.312*$D$471</f>
        <v>0</v>
      </c>
      <c r="E501">
        <f>137.217*$E$471</f>
        <v>0</v>
      </c>
      <c r="F501">
        <f>-263.046*$F$471</f>
        <v>0</v>
      </c>
      <c r="G501">
        <f>-3.284*$G$471</f>
        <v>0</v>
      </c>
      <c r="H501">
        <f>0*$H$471</f>
        <v>0</v>
      </c>
      <c r="I501">
        <f>-14.198*$I$471</f>
        <v>0</v>
      </c>
      <c r="J501">
        <f>-34.835*$J$471</f>
        <v>0</v>
      </c>
      <c r="K501">
        <f>46.446*$K$471</f>
        <v>0</v>
      </c>
      <c r="L501">
        <f>-0.028*$L$471</f>
        <v>0</v>
      </c>
      <c r="M501">
        <f>0+D501+E501+G501+H501+I501+J501+K501+L501</f>
        <v>0</v>
      </c>
      <c r="N501">
        <f>0+D501+F501+G501+H501+I501+J501+K501+L501</f>
        <v>0</v>
      </c>
    </row>
    <row r="502" spans="3:14">
      <c r="C502" t="s">
        <v>30</v>
      </c>
      <c r="D502">
        <f>-108.639*$D$471</f>
        <v>0</v>
      </c>
      <c r="E502">
        <f>125.801*$E$471</f>
        <v>0</v>
      </c>
      <c r="F502">
        <f>-266.108*$F$471</f>
        <v>0</v>
      </c>
      <c r="G502">
        <f>-3.583*$G$471</f>
        <v>0</v>
      </c>
      <c r="H502">
        <f>0*$H$471</f>
        <v>0</v>
      </c>
      <c r="I502">
        <f>-15.732*$I$471</f>
        <v>0</v>
      </c>
      <c r="J502">
        <f>-40.153*$J$471</f>
        <v>0</v>
      </c>
      <c r="K502">
        <f>53.537*$K$471</f>
        <v>0</v>
      </c>
      <c r="L502">
        <f>-0.02*$L$471</f>
        <v>0</v>
      </c>
      <c r="M502">
        <f>0+D502+E502+G502+H502+I502+J502+K502+L502</f>
        <v>0</v>
      </c>
      <c r="N502">
        <f>0+D502+F502+G502+H502+I502+J502+K502+L502</f>
        <v>0</v>
      </c>
    </row>
    <row r="503" spans="3:14">
      <c r="C503" t="s">
        <v>30</v>
      </c>
      <c r="D503">
        <f>-105.835*$D$471</f>
        <v>0</v>
      </c>
      <c r="E503">
        <f>108.706*$E$471</f>
        <v>0</v>
      </c>
      <c r="F503">
        <f>-243.766*$F$471</f>
        <v>0</v>
      </c>
      <c r="G503">
        <f>-3.166*$G$471</f>
        <v>0</v>
      </c>
      <c r="H503">
        <f>0*$H$471</f>
        <v>0</v>
      </c>
      <c r="I503">
        <f>-15.311*$I$471</f>
        <v>0</v>
      </c>
      <c r="J503">
        <f>-35.163*$J$471</f>
        <v>0</v>
      </c>
      <c r="K503">
        <f>46.884*$K$471</f>
        <v>0</v>
      </c>
      <c r="L503">
        <f>-0.022*$L$471</f>
        <v>0</v>
      </c>
      <c r="M503">
        <f>0+D503+E503+G503+H503+I503+J503+K503+L503</f>
        <v>0</v>
      </c>
      <c r="N503">
        <f>0+D503+F503+G503+H503+I503+J503+K503+L503</f>
        <v>0</v>
      </c>
    </row>
    <row r="504" spans="3:14">
      <c r="C504" t="s">
        <v>31</v>
      </c>
      <c r="D504">
        <f>-116.25*$D$471</f>
        <v>0</v>
      </c>
      <c r="E504">
        <f>96.709*$E$471</f>
        <v>0</v>
      </c>
      <c r="F504">
        <f>-242.335*$F$471</f>
        <v>0</v>
      </c>
      <c r="G504">
        <f>-5.673*$G$471</f>
        <v>0</v>
      </c>
      <c r="H504">
        <f>0*$H$471</f>
        <v>0</v>
      </c>
      <c r="I504">
        <f>-16.683*$I$471</f>
        <v>0</v>
      </c>
      <c r="J504">
        <f>-27.192*$J$471</f>
        <v>0</v>
      </c>
      <c r="K504">
        <f>36.255*$K$471</f>
        <v>0</v>
      </c>
      <c r="L504">
        <f>-0.014*$L$471</f>
        <v>0</v>
      </c>
      <c r="M504">
        <f>0+D504+E504+G504+H504+I504+J504+K504+L504</f>
        <v>0</v>
      </c>
      <c r="N504">
        <f>0+D504+F504+G504+H504+I504+J504+K504+L504</f>
        <v>0</v>
      </c>
    </row>
    <row r="505" spans="3:14">
      <c r="C505" t="s">
        <v>31</v>
      </c>
      <c r="D505">
        <f>-89.46*$D$471</f>
        <v>0</v>
      </c>
      <c r="E505">
        <f>89.451*$E$471</f>
        <v>0</v>
      </c>
      <c r="F505">
        <f>-193.961*$F$471</f>
        <v>0</v>
      </c>
      <c r="G505">
        <f>-5.521*$G$471</f>
        <v>0</v>
      </c>
      <c r="H505">
        <f>0*$H$471</f>
        <v>0</v>
      </c>
      <c r="I505">
        <f>-12.736*$I$471</f>
        <v>0</v>
      </c>
      <c r="J505">
        <f>-10.952*$J$471</f>
        <v>0</v>
      </c>
      <c r="K505">
        <f>14.603*$K$471</f>
        <v>0</v>
      </c>
      <c r="L505">
        <f>-0.006893*$L$471</f>
        <v>0</v>
      </c>
      <c r="M505">
        <f>0+D505+E505+G505+H505+I505+J505+K505+L505</f>
        <v>0</v>
      </c>
      <c r="N505">
        <f>0+D505+F505+G505+H505+I505+J505+K505+L505</f>
        <v>0</v>
      </c>
    </row>
    <row r="506" spans="3:14">
      <c r="C506" t="s">
        <v>32</v>
      </c>
      <c r="D506">
        <f>-99.756*$D$471</f>
        <v>0</v>
      </c>
      <c r="E506">
        <f>72.533*$E$471</f>
        <v>0</v>
      </c>
      <c r="F506">
        <f>-187.784*$F$471</f>
        <v>0</v>
      </c>
      <c r="G506">
        <f>-9.15*$G$471</f>
        <v>0</v>
      </c>
      <c r="H506">
        <f>0*$H$471</f>
        <v>0</v>
      </c>
      <c r="I506">
        <f>-14.015*$I$471</f>
        <v>0</v>
      </c>
      <c r="J506">
        <f>2.99*$J$471</f>
        <v>0</v>
      </c>
      <c r="K506">
        <f>-3.987*$K$471</f>
        <v>0</v>
      </c>
      <c r="L506">
        <f>-0.002033*$L$471</f>
        <v>0</v>
      </c>
      <c r="M506">
        <f>0+D506+E506+G506+H506+I506+J506+K506+L506</f>
        <v>0</v>
      </c>
      <c r="N506">
        <f>0+D506+F506+G506+H506+I506+J506+K506+L506</f>
        <v>0</v>
      </c>
    </row>
    <row r="507" spans="3:14">
      <c r="C507" t="s">
        <v>32</v>
      </c>
      <c r="D507">
        <f>-80.884*$D$471</f>
        <v>0</v>
      </c>
      <c r="E507">
        <f>61.617*$E$471</f>
        <v>0</v>
      </c>
      <c r="F507">
        <f>-147.954*$F$471</f>
        <v>0</v>
      </c>
      <c r="G507">
        <f>-8.988*$G$471</f>
        <v>0</v>
      </c>
      <c r="H507">
        <f>0*$H$471</f>
        <v>0</v>
      </c>
      <c r="I507">
        <f>-11.229*$I$471</f>
        <v>0</v>
      </c>
      <c r="J507">
        <f>6.159*$J$471</f>
        <v>0</v>
      </c>
      <c r="K507">
        <f>-8.212*$K$471</f>
        <v>0</v>
      </c>
      <c r="L507">
        <f>0.001699*$L$471</f>
        <v>0</v>
      </c>
      <c r="M507">
        <f>0+D507+E507+G507+H507+I507+J507+K507+L507</f>
        <v>0</v>
      </c>
      <c r="N507">
        <f>0+D507+F507+G507+H507+I507+J507+K507+L507</f>
        <v>0</v>
      </c>
    </row>
    <row r="508" spans="3:14">
      <c r="C508" t="s">
        <v>33</v>
      </c>
      <c r="D508">
        <f>-87.88*$D$471</f>
        <v>0</v>
      </c>
      <c r="E508">
        <f>45.579*$E$471</f>
        <v>0</v>
      </c>
      <c r="F508">
        <f>-142.466*$F$471</f>
        <v>0</v>
      </c>
      <c r="G508">
        <f>-10.865*$G$471</f>
        <v>0</v>
      </c>
      <c r="H508">
        <f>0*$H$471</f>
        <v>0</v>
      </c>
      <c r="I508">
        <f>-12.168*$I$471</f>
        <v>0</v>
      </c>
      <c r="J508">
        <f>1.324*$J$471</f>
        <v>0</v>
      </c>
      <c r="K508">
        <f>-1.766*$K$471</f>
        <v>0</v>
      </c>
      <c r="L508">
        <f>0.003857*$L$471</f>
        <v>0</v>
      </c>
      <c r="M508">
        <f>0+D508+E508+G508+H508+I508+J508+K508+L508</f>
        <v>0</v>
      </c>
      <c r="N508">
        <f>0+D508+F508+G508+H508+I508+J508+K508+L508</f>
        <v>0</v>
      </c>
    </row>
    <row r="509" spans="3:14">
      <c r="C509" t="s">
        <v>33</v>
      </c>
      <c r="D509">
        <f>-68.508*$D$471</f>
        <v>0</v>
      </c>
      <c r="E509">
        <f>35.292*$E$471</f>
        <v>0</v>
      </c>
      <c r="F509">
        <f>-109.268*$F$471</f>
        <v>0</v>
      </c>
      <c r="G509">
        <f>-9.61*$G$471</f>
        <v>0</v>
      </c>
      <c r="H509">
        <f>0*$H$471</f>
        <v>0</v>
      </c>
      <c r="I509">
        <f>-9.404*$I$471</f>
        <v>0</v>
      </c>
      <c r="J509">
        <f>-16.172*$J$471</f>
        <v>0</v>
      </c>
      <c r="K509">
        <f>21.563*$K$471</f>
        <v>0</v>
      </c>
      <c r="L509">
        <f>0.00487*$L$471</f>
        <v>0</v>
      </c>
      <c r="M509">
        <f>0+D509+E509+G509+H509+I509+J509+K509+L509</f>
        <v>0</v>
      </c>
      <c r="N509">
        <f>0+D509+F509+G509+H509+I509+J509+K509+L509</f>
        <v>0</v>
      </c>
    </row>
    <row r="510" spans="3:14">
      <c r="C510" t="s">
        <v>34</v>
      </c>
      <c r="D510">
        <f>-69.382*$D$471</f>
        <v>0</v>
      </c>
      <c r="E510">
        <f>20.197*$E$471</f>
        <v>0</v>
      </c>
      <c r="F510">
        <f>-103.611*$F$471</f>
        <v>0</v>
      </c>
      <c r="G510">
        <f>-9.465*$G$471</f>
        <v>0</v>
      </c>
      <c r="H510">
        <f>0*$H$471</f>
        <v>0</v>
      </c>
      <c r="I510">
        <f>-9.608*$I$471</f>
        <v>0</v>
      </c>
      <c r="J510">
        <f>-44.475*$J$471</f>
        <v>0</v>
      </c>
      <c r="K510">
        <f>59.3*$K$471</f>
        <v>0</v>
      </c>
      <c r="L510">
        <f>0.004027*$L$471</f>
        <v>0</v>
      </c>
      <c r="M510">
        <f>0+D510+E510+G510+H510+I510+J510+K510+L510</f>
        <v>0</v>
      </c>
      <c r="N510">
        <f>0+D510+F510+G510+H510+I510+J510+K510+L510</f>
        <v>0</v>
      </c>
    </row>
    <row r="511" spans="3:14">
      <c r="C511" t="s">
        <v>34</v>
      </c>
      <c r="D511">
        <f>-22.957*$D$471</f>
        <v>0</v>
      </c>
      <c r="E511">
        <f>17.887*$E$471</f>
        <v>0</v>
      </c>
      <c r="F511">
        <f>-40.442*$F$471</f>
        <v>0</v>
      </c>
      <c r="G511">
        <f>-4.152*$G$471</f>
        <v>0</v>
      </c>
      <c r="H511">
        <f>0*$H$471</f>
        <v>0</v>
      </c>
      <c r="I511">
        <f>-3.051*$I$471</f>
        <v>0</v>
      </c>
      <c r="J511">
        <f>-81.625*$J$471</f>
        <v>0</v>
      </c>
      <c r="K511">
        <f>108.833*$K$471</f>
        <v>0</v>
      </c>
      <c r="L511">
        <f>0.004597*$L$471</f>
        <v>0</v>
      </c>
      <c r="M511">
        <f>0+D511+E511+G511+H511+I511+J511+K511+L511</f>
        <v>0</v>
      </c>
      <c r="N511">
        <f>0+D511+F511+G511+H511+I511+J511+K511+L511</f>
        <v>0</v>
      </c>
    </row>
    <row r="512" spans="3:14">
      <c r="C512" t="s">
        <v>35</v>
      </c>
      <c r="D512">
        <f>-20.208*$D$471</f>
        <v>0</v>
      </c>
      <c r="E512">
        <f>11.94*$E$471</f>
        <v>0</v>
      </c>
      <c r="F512">
        <f>-32.809*$F$471</f>
        <v>0</v>
      </c>
      <c r="G512">
        <f>-3.397*$G$471</f>
        <v>0</v>
      </c>
      <c r="H512">
        <f>0*$H$471</f>
        <v>0</v>
      </c>
      <c r="I512">
        <f>-2.752*$I$471</f>
        <v>0</v>
      </c>
      <c r="J512">
        <f>-108.574*$J$471</f>
        <v>0</v>
      </c>
      <c r="K512">
        <f>144.765*$K$471</f>
        <v>0</v>
      </c>
      <c r="L512">
        <f>0.004396*$L$471</f>
        <v>0</v>
      </c>
      <c r="M512">
        <f>0+D512+E512+G512+H512+I512+J512+K512+L512</f>
        <v>0</v>
      </c>
      <c r="N512">
        <f>0+D512+F512+G512+H512+I512+J512+K512+L512</f>
        <v>0</v>
      </c>
    </row>
    <row r="513" spans="3:14">
      <c r="C513" t="s">
        <v>35</v>
      </c>
      <c r="D513">
        <f>-18.113*$D$471</f>
        <v>0</v>
      </c>
      <c r="E513">
        <f>5.457*$E$471</f>
        <v>0</v>
      </c>
      <c r="F513">
        <f>-25.322*$F$471</f>
        <v>0</v>
      </c>
      <c r="G513">
        <f>-2.167*$G$471</f>
        <v>0</v>
      </c>
      <c r="H513">
        <f>0*$H$471</f>
        <v>0</v>
      </c>
      <c r="I513">
        <f>-2.562*$I$471</f>
        <v>0</v>
      </c>
      <c r="J513">
        <f>-131.329*$J$471</f>
        <v>0</v>
      </c>
      <c r="K513">
        <f>175.106*$K$471</f>
        <v>0</v>
      </c>
      <c r="L513">
        <f>-0.002685*$L$471</f>
        <v>0</v>
      </c>
      <c r="M513">
        <f>0+D513+E513+G513+H513+I513+J513+K513+L513</f>
        <v>0</v>
      </c>
      <c r="N513">
        <f>0+D513+F513+G513+H513+I513+J513+K513+L513</f>
        <v>0</v>
      </c>
    </row>
    <row r="514" spans="3:14">
      <c r="C514" t="s">
        <v>36</v>
      </c>
      <c r="D514">
        <f>-18.113*$D$471</f>
        <v>0</v>
      </c>
      <c r="E514">
        <f>5.457*$E$471</f>
        <v>0</v>
      </c>
      <c r="F514">
        <f>-25.322*$F$471</f>
        <v>0</v>
      </c>
      <c r="G514">
        <f>-2.167*$G$471</f>
        <v>0</v>
      </c>
      <c r="H514">
        <f>0*$H$471</f>
        <v>0</v>
      </c>
      <c r="I514">
        <f>-2.562*$I$471</f>
        <v>0</v>
      </c>
      <c r="J514">
        <f>-131.329*$J$471</f>
        <v>0</v>
      </c>
      <c r="K514">
        <f>175.106*$K$471</f>
        <v>0</v>
      </c>
      <c r="L514">
        <f>-0.002685*$L$471</f>
        <v>0</v>
      </c>
      <c r="M514">
        <f>0+D514+E514+G514+H514+I514+J514+K514+L514</f>
        <v>0</v>
      </c>
      <c r="N514">
        <f>0+D514+F514+G514+H514+I514+J514+K514+L514</f>
        <v>0</v>
      </c>
    </row>
    <row r="515" spans="3:14">
      <c r="C515" t="s">
        <v>36</v>
      </c>
      <c r="D515">
        <f>-19.743*$D$471</f>
        <v>0</v>
      </c>
      <c r="E515">
        <f>1.966*$E$471</f>
        <v>0</v>
      </c>
      <c r="F515">
        <f>-29.202*$F$471</f>
        <v>0</v>
      </c>
      <c r="G515">
        <f>-1.851*$G$471</f>
        <v>0</v>
      </c>
      <c r="H515">
        <f>0*$H$471</f>
        <v>0</v>
      </c>
      <c r="I515">
        <f>-2.814*$I$471</f>
        <v>0</v>
      </c>
      <c r="J515">
        <f>-127.956*$J$471</f>
        <v>0</v>
      </c>
      <c r="K515">
        <f>170.608*$K$471</f>
        <v>0</v>
      </c>
      <c r="L515">
        <f>0.522*$L$471</f>
        <v>0</v>
      </c>
      <c r="M515">
        <f>0+D515+E515+G515+H515+I515+J515+K515+L515</f>
        <v>0</v>
      </c>
      <c r="N515">
        <f>0+D515+F515+G515+H515+I515+J515+K515+L515</f>
        <v>0</v>
      </c>
    </row>
    <row r="516" spans="3:14">
      <c r="C516" t="s">
        <v>37</v>
      </c>
      <c r="D516">
        <f>-19.743*$D$471</f>
        <v>0</v>
      </c>
      <c r="E516">
        <f>1.966*$E$471</f>
        <v>0</v>
      </c>
      <c r="F516">
        <f>-29.202*$F$471</f>
        <v>0</v>
      </c>
      <c r="G516">
        <f>-1.851*$G$471</f>
        <v>0</v>
      </c>
      <c r="H516">
        <f>0*$H$471</f>
        <v>0</v>
      </c>
      <c r="I516">
        <f>-2.814*$I$471</f>
        <v>0</v>
      </c>
      <c r="J516">
        <f>-127.956*$J$471</f>
        <v>0</v>
      </c>
      <c r="K516">
        <f>170.608*$K$471</f>
        <v>0</v>
      </c>
      <c r="L516">
        <f>0.522*$L$471</f>
        <v>0</v>
      </c>
      <c r="M516">
        <f>0+D516+E516+G516+H516+I516+J516+K516+L516</f>
        <v>0</v>
      </c>
      <c r="N516">
        <f>0+D516+F516+G516+H516+I516+J516+K516+L516</f>
        <v>0</v>
      </c>
    </row>
    <row r="517" spans="3:14">
      <c r="C517" t="s">
        <v>37</v>
      </c>
      <c r="D517">
        <f>-2.157*$D$471</f>
        <v>0</v>
      </c>
      <c r="E517">
        <f>53.091*$E$471</f>
        <v>0</v>
      </c>
      <c r="F517">
        <f>-52.226*$F$471</f>
        <v>0</v>
      </c>
      <c r="G517">
        <f>-5.621*$G$471</f>
        <v>0</v>
      </c>
      <c r="H517">
        <f>0*$H$471</f>
        <v>0</v>
      </c>
      <c r="I517">
        <f>-0.014*$I$471</f>
        <v>0</v>
      </c>
      <c r="J517">
        <f>-136.503*$J$471</f>
        <v>0</v>
      </c>
      <c r="K517">
        <f>182.004*$K$471</f>
        <v>0</v>
      </c>
      <c r="L517">
        <f>-3.666*$L$471</f>
        <v>0</v>
      </c>
      <c r="M517">
        <f>0+D517+E517+G517+H517+I517+J517+K517+L517</f>
        <v>0</v>
      </c>
      <c r="N517">
        <f>0+D517+F517+G517+H517+I517+J517+K517+L517</f>
        <v>0</v>
      </c>
    </row>
    <row r="518" spans="3:14">
      <c r="C518" t="s">
        <v>38</v>
      </c>
      <c r="D518">
        <f>-5.712*$D$471</f>
        <v>0</v>
      </c>
      <c r="E518">
        <f>48.971*$E$471</f>
        <v>0</v>
      </c>
      <c r="F518">
        <f>-51.703*$F$471</f>
        <v>0</v>
      </c>
      <c r="G518">
        <f>-6.301*$G$471</f>
        <v>0</v>
      </c>
      <c r="H518">
        <f>0*$H$471</f>
        <v>0</v>
      </c>
      <c r="I518">
        <f>-0.433*$I$471</f>
        <v>0</v>
      </c>
      <c r="J518">
        <f>-108.517*$J$471</f>
        <v>0</v>
      </c>
      <c r="K518">
        <f>144.69*$K$471</f>
        <v>0</v>
      </c>
      <c r="L518">
        <f>-3.719*$L$471</f>
        <v>0</v>
      </c>
      <c r="M518">
        <f>0+D518+E518+G518+H518+I518+J518+K518+L518</f>
        <v>0</v>
      </c>
      <c r="N518">
        <f>0+D518+F518+G518+H518+I518+J518+K518+L518</f>
        <v>0</v>
      </c>
    </row>
    <row r="519" spans="3:14">
      <c r="C519" t="s">
        <v>38</v>
      </c>
      <c r="D519">
        <f>-52.422*$D$471</f>
        <v>0</v>
      </c>
      <c r="E519">
        <f>28.682*$E$471</f>
        <v>0</v>
      </c>
      <c r="F519">
        <f>-97.846*$F$471</f>
        <v>0</v>
      </c>
      <c r="G519">
        <f>-11.354*$G$471</f>
        <v>0</v>
      </c>
      <c r="H519">
        <f>0*$H$471</f>
        <v>0</v>
      </c>
      <c r="I519">
        <f>-7.039*$I$471</f>
        <v>0</v>
      </c>
      <c r="J519">
        <f>-69.424*$J$471</f>
        <v>0</v>
      </c>
      <c r="K519">
        <f>92.565*$K$471</f>
        <v>0</v>
      </c>
      <c r="L519">
        <f>-3.587*$L$471</f>
        <v>0</v>
      </c>
      <c r="M519">
        <f>0+D519+E519+G519+H519+I519+J519+K519+L519</f>
        <v>0</v>
      </c>
      <c r="N519">
        <f>0+D519+F519+G519+H519+I519+J519+K519+L519</f>
        <v>0</v>
      </c>
    </row>
    <row r="520" spans="3:14">
      <c r="C520" t="s">
        <v>39</v>
      </c>
      <c r="D520">
        <f>-52.634*$D$471</f>
        <v>0</v>
      </c>
      <c r="E520">
        <f>31.387*$E$471</f>
        <v>0</v>
      </c>
      <c r="F520">
        <f>-100.286*$F$471</f>
        <v>0</v>
      </c>
      <c r="G520">
        <f>-11.446*$G$471</f>
        <v>0</v>
      </c>
      <c r="H520">
        <f>0*$H$471</f>
        <v>0</v>
      </c>
      <c r="I520">
        <f>-6.993*$I$471</f>
        <v>0</v>
      </c>
      <c r="J520">
        <f>-40.127*$J$471</f>
        <v>0</v>
      </c>
      <c r="K520">
        <f>53.503*$K$471</f>
        <v>0</v>
      </c>
      <c r="L520">
        <f>-3.776*$L$471</f>
        <v>0</v>
      </c>
      <c r="M520">
        <f>0+D520+E520+G520+H520+I520+J520+K520+L520</f>
        <v>0</v>
      </c>
      <c r="N520">
        <f>0+D520+F520+G520+H520+I520+J520+K520+L520</f>
        <v>0</v>
      </c>
    </row>
    <row r="521" spans="3:14">
      <c r="C521" t="s">
        <v>39</v>
      </c>
      <c r="D521">
        <f>-72.695*$D$471</f>
        <v>0</v>
      </c>
      <c r="E521">
        <f>31.653*$E$471</f>
        <v>0</v>
      </c>
      <c r="F521">
        <f>-125.706*$F$471</f>
        <v>0</v>
      </c>
      <c r="G521">
        <f>-12.569*$G$471</f>
        <v>0</v>
      </c>
      <c r="H521">
        <f>0*$H$471</f>
        <v>0</v>
      </c>
      <c r="I521">
        <f>-9.859*$I$471</f>
        <v>0</v>
      </c>
      <c r="J521">
        <f>-21.433*$J$471</f>
        <v>0</v>
      </c>
      <c r="K521">
        <f>28.577*$K$471</f>
        <v>0</v>
      </c>
      <c r="L521">
        <f>-3.969*$L$471</f>
        <v>0</v>
      </c>
      <c r="M521">
        <f>0+D521+E521+G521+H521+I521+J521+K521+L521</f>
        <v>0</v>
      </c>
      <c r="N521">
        <f>0+D521+F521+G521+H521+I521+J521+K521+L521</f>
        <v>0</v>
      </c>
    </row>
    <row r="522" spans="3:14">
      <c r="C522" t="s">
        <v>40</v>
      </c>
      <c r="D522">
        <f>-67.13*$D$471</f>
        <v>0</v>
      </c>
      <c r="E522">
        <f>37.486*$E$471</f>
        <v>0</v>
      </c>
      <c r="F522">
        <f>-124.412*$F$471</f>
        <v>0</v>
      </c>
      <c r="G522">
        <f>-10.654*$G$471</f>
        <v>0</v>
      </c>
      <c r="H522">
        <f>0*$H$471</f>
        <v>0</v>
      </c>
      <c r="I522">
        <f>-9.128*$I$471</f>
        <v>0</v>
      </c>
      <c r="J522">
        <f>-15.602*$J$471</f>
        <v>0</v>
      </c>
      <c r="K522">
        <f>20.803*$K$471</f>
        <v>0</v>
      </c>
      <c r="L522">
        <f>-4.238*$L$471</f>
        <v>0</v>
      </c>
      <c r="M522">
        <f>0+D522+E522+G522+H522+I522+J522+K522+L522</f>
        <v>0</v>
      </c>
      <c r="N522">
        <f>0+D522+F522+G522+H522+I522+J522+K522+L522</f>
        <v>0</v>
      </c>
    </row>
    <row r="523" spans="3:14">
      <c r="C523" t="s">
        <v>40</v>
      </c>
      <c r="D523">
        <f>-86.587*$D$471</f>
        <v>0</v>
      </c>
      <c r="E523">
        <f>40.712*$E$471</f>
        <v>0</v>
      </c>
      <c r="F523">
        <f>-155.852*$F$471</f>
        <v>0</v>
      </c>
      <c r="G523">
        <f>-10.712*$G$471</f>
        <v>0</v>
      </c>
      <c r="H523">
        <f>0*$H$471</f>
        <v>0</v>
      </c>
      <c r="I523">
        <f>-11.998*$I$471</f>
        <v>0</v>
      </c>
      <c r="J523">
        <f>-17.94*$J$471</f>
        <v>0</v>
      </c>
      <c r="K523">
        <f>23.92*$K$471</f>
        <v>0</v>
      </c>
      <c r="L523">
        <f>-4.536*$L$471</f>
        <v>0</v>
      </c>
      <c r="M523">
        <f>0+D523+E523+G523+H523+I523+J523+K523+L523</f>
        <v>0</v>
      </c>
      <c r="N523">
        <f>0+D523+F523+G523+H523+I523+J523+K523+L523</f>
        <v>0</v>
      </c>
    </row>
    <row r="524" spans="3:14">
      <c r="C524" t="s">
        <v>41</v>
      </c>
      <c r="D524">
        <f>-77.825*$D$471</f>
        <v>0</v>
      </c>
      <c r="E524">
        <f>48.094*$E$471</f>
        <v>0</v>
      </c>
      <c r="F524">
        <f>-153.655*$F$471</f>
        <v>0</v>
      </c>
      <c r="G524">
        <f>-7.076*$G$471</f>
        <v>0</v>
      </c>
      <c r="H524">
        <f>0*$H$471</f>
        <v>0</v>
      </c>
      <c r="I524">
        <f>-10.939*$I$471</f>
        <v>0</v>
      </c>
      <c r="J524">
        <f>-31.12*$J$471</f>
        <v>0</v>
      </c>
      <c r="K524">
        <f>41.493*$K$471</f>
        <v>0</v>
      </c>
      <c r="L524">
        <f>-4.89*$L$471</f>
        <v>0</v>
      </c>
      <c r="M524">
        <f>0+D524+E524+G524+H524+I524+J524+K524+L524</f>
        <v>0</v>
      </c>
      <c r="N524">
        <f>0+D524+F524+G524+H524+I524+J524+K524+L524</f>
        <v>0</v>
      </c>
    </row>
    <row r="525" spans="3:14">
      <c r="C525" t="s">
        <v>41</v>
      </c>
      <c r="D525">
        <f>-104.635*$D$471</f>
        <v>0</v>
      </c>
      <c r="E525">
        <f>49.452*$E$471</f>
        <v>0</v>
      </c>
      <c r="F525">
        <f>-190.962*$F$471</f>
        <v>0</v>
      </c>
      <c r="G525">
        <f>-7.095*$G$471</f>
        <v>0</v>
      </c>
      <c r="H525">
        <f>0*$H$471</f>
        <v>0</v>
      </c>
      <c r="I525">
        <f>-14.888*$I$471</f>
        <v>0</v>
      </c>
      <c r="J525">
        <f>-46.728*$J$471</f>
        <v>0</v>
      </c>
      <c r="K525">
        <f>62.304*$K$471</f>
        <v>0</v>
      </c>
      <c r="L525">
        <f>-5.164*$L$471</f>
        <v>0</v>
      </c>
      <c r="M525">
        <f>0+D525+E525+G525+H525+I525+J525+K525+L525</f>
        <v>0</v>
      </c>
      <c r="N525">
        <f>0+D525+F525+G525+H525+I525+J525+K525+L525</f>
        <v>0</v>
      </c>
    </row>
    <row r="526" spans="3:14">
      <c r="C526" t="s">
        <v>42</v>
      </c>
      <c r="D526">
        <f>-95.922*$D$471</f>
        <v>0</v>
      </c>
      <c r="E526">
        <f>51.932*$E$471</f>
        <v>0</v>
      </c>
      <c r="F526">
        <f>-184.156*$F$471</f>
        <v>0</v>
      </c>
      <c r="G526">
        <f>-4.559*$G$471</f>
        <v>0</v>
      </c>
      <c r="H526">
        <f>0*$H$471</f>
        <v>0</v>
      </c>
      <c r="I526">
        <f>-13.761*$I$471</f>
        <v>0</v>
      </c>
      <c r="J526">
        <f>-53.647*$J$471</f>
        <v>0</v>
      </c>
      <c r="K526">
        <f>71.529*$K$471</f>
        <v>0</v>
      </c>
      <c r="L526">
        <f>-5.451*$L$471</f>
        <v>0</v>
      </c>
      <c r="M526">
        <f>0+D526+E526+G526+H526+I526+J526+K526+L526</f>
        <v>0</v>
      </c>
      <c r="N526">
        <f>0+D526+F526+G526+H526+I526+J526+K526+L526</f>
        <v>0</v>
      </c>
    </row>
    <row r="527" spans="3:14">
      <c r="C527" t="s">
        <v>42</v>
      </c>
      <c r="D527">
        <f>-99.94*$D$471</f>
        <v>0</v>
      </c>
      <c r="E527">
        <f>61.089*$E$471</f>
        <v>0</v>
      </c>
      <c r="F527">
        <f>-198.928*$F$471</f>
        <v>0</v>
      </c>
      <c r="G527">
        <f>-4.913*$G$471</f>
        <v>0</v>
      </c>
      <c r="H527">
        <f>0*$H$471</f>
        <v>0</v>
      </c>
      <c r="I527">
        <f>-14.354*$I$471</f>
        <v>0</v>
      </c>
      <c r="J527">
        <f>-57.884*$J$471</f>
        <v>0</v>
      </c>
      <c r="K527">
        <f>77.179*$K$471</f>
        <v>0</v>
      </c>
      <c r="L527">
        <f>-6.186*$L$471</f>
        <v>0</v>
      </c>
      <c r="M527">
        <f>0+D527+E527+G527+H527+I527+J527+K527+L527</f>
        <v>0</v>
      </c>
      <c r="N527">
        <f>0+D527+F527+G527+H527+I527+J527+K527+L527</f>
        <v>0</v>
      </c>
    </row>
    <row r="528" spans="3:14">
      <c r="C528" t="s">
        <v>43</v>
      </c>
      <c r="D528">
        <f>-91.703*$D$471</f>
        <v>0</v>
      </c>
      <c r="E528">
        <f>60.097*$E$471</f>
        <v>0</v>
      </c>
      <c r="F528">
        <f>-186.821*$F$471</f>
        <v>0</v>
      </c>
      <c r="G528">
        <f>-4.551*$G$471</f>
        <v>0</v>
      </c>
      <c r="H528">
        <f>0*$H$471</f>
        <v>0</v>
      </c>
      <c r="I528">
        <f>-13.122*$I$471</f>
        <v>0</v>
      </c>
      <c r="J528">
        <f>-51.049*$J$471</f>
        <v>0</v>
      </c>
      <c r="K528">
        <f>68.065*$K$471</f>
        <v>0</v>
      </c>
      <c r="L528">
        <f>-6.551*$L$471</f>
        <v>0</v>
      </c>
      <c r="M528">
        <f>0+D528+E528+G528+H528+I528+J528+K528+L528</f>
        <v>0</v>
      </c>
      <c r="N528">
        <f>0+D528+F528+G528+H528+I528+J528+K528+L528</f>
        <v>0</v>
      </c>
    </row>
    <row r="529" spans="3:14">
      <c r="C529" t="s">
        <v>43</v>
      </c>
      <c r="D529">
        <f>-101.231*$D$471</f>
        <v>0</v>
      </c>
      <c r="E529">
        <f>55.533*$E$471</f>
        <v>0</v>
      </c>
      <c r="F529">
        <f>-192.297*$F$471</f>
        <v>0</v>
      </c>
      <c r="G529">
        <f>-6.887*$G$471</f>
        <v>0</v>
      </c>
      <c r="H529">
        <f>0*$H$471</f>
        <v>0</v>
      </c>
      <c r="I529">
        <f>-14.407*$I$471</f>
        <v>0</v>
      </c>
      <c r="J529">
        <f>-36.527*$J$471</f>
        <v>0</v>
      </c>
      <c r="K529">
        <f>48.703*$K$471</f>
        <v>0</v>
      </c>
      <c r="L529">
        <f>-6.967*$L$471</f>
        <v>0</v>
      </c>
      <c r="M529">
        <f>0+D529+E529+G529+H529+I529+J529+K529+L529</f>
        <v>0</v>
      </c>
      <c r="N529">
        <f>0+D529+F529+G529+H529+I529+J529+K529+L529</f>
        <v>0</v>
      </c>
    </row>
    <row r="530" spans="3:14">
      <c r="C530" t="s">
        <v>44</v>
      </c>
      <c r="D530">
        <f>-94.368*$D$471</f>
        <v>0</v>
      </c>
      <c r="E530">
        <f>55.722*$E$471</f>
        <v>0</v>
      </c>
      <c r="F530">
        <f>-182.26*$F$471</f>
        <v>0</v>
      </c>
      <c r="G530">
        <f>-7.709*$G$471</f>
        <v>0</v>
      </c>
      <c r="H530">
        <f>0*$H$471</f>
        <v>0</v>
      </c>
      <c r="I530">
        <f>-13.302*$I$471</f>
        <v>0</v>
      </c>
      <c r="J530">
        <f>-23.441*$J$471</f>
        <v>0</v>
      </c>
      <c r="K530">
        <f>31.254*$K$471</f>
        <v>0</v>
      </c>
      <c r="L530">
        <f>-7.535*$L$471</f>
        <v>0</v>
      </c>
      <c r="M530">
        <f>0+D530+E530+G530+H530+I530+J530+K530+L530</f>
        <v>0</v>
      </c>
      <c r="N530">
        <f>0+D530+F530+G530+H530+I530+J530+K530+L530</f>
        <v>0</v>
      </c>
    </row>
    <row r="531" spans="3:14">
      <c r="C531" t="s">
        <v>44</v>
      </c>
      <c r="D531">
        <f>-108.061*$D$471</f>
        <v>0</v>
      </c>
      <c r="E531">
        <f>54.724*$E$471</f>
        <v>0</v>
      </c>
      <c r="F531">
        <f>-196.112*$F$471</f>
        <v>0</v>
      </c>
      <c r="G531">
        <f>-9.59*$G$471</f>
        <v>0</v>
      </c>
      <c r="H531">
        <f>0*$H$471</f>
        <v>0</v>
      </c>
      <c r="I531">
        <f>-15.233*$I$471</f>
        <v>0</v>
      </c>
      <c r="J531">
        <f>-16.907*$J$471</f>
        <v>0</v>
      </c>
      <c r="K531">
        <f>22.542*$K$471</f>
        <v>0</v>
      </c>
      <c r="L531">
        <f>-8.129*$L$471</f>
        <v>0</v>
      </c>
      <c r="M531">
        <f>0+D531+E531+G531+H531+I531+J531+K531+L531</f>
        <v>0</v>
      </c>
      <c r="N531">
        <f>0+D531+F531+G531+H531+I531+J531+K531+L531</f>
        <v>0</v>
      </c>
    </row>
    <row r="532" spans="3:14">
      <c r="C532" t="s">
        <v>45</v>
      </c>
      <c r="D532">
        <f>-103.345*$D$471</f>
        <v>0</v>
      </c>
      <c r="E532">
        <f>56.314*$E$471</f>
        <v>0</v>
      </c>
      <c r="F532">
        <f>-191.595*$F$471</f>
        <v>0</v>
      </c>
      <c r="G532">
        <f>-8.581*$G$471</f>
        <v>0</v>
      </c>
      <c r="H532">
        <f>0*$H$471</f>
        <v>0</v>
      </c>
      <c r="I532">
        <f>-14.588*$I$471</f>
        <v>0</v>
      </c>
      <c r="J532">
        <f>-17.18*$J$471</f>
        <v>0</v>
      </c>
      <c r="K532">
        <f>22.907*$K$471</f>
        <v>0</v>
      </c>
      <c r="L532">
        <f>-8.855*$L$471</f>
        <v>0</v>
      </c>
      <c r="M532">
        <f>0+D532+E532+G532+H532+I532+J532+K532+L532</f>
        <v>0</v>
      </c>
      <c r="N532">
        <f>0+D532+F532+G532+H532+I532+J532+K532+L532</f>
        <v>0</v>
      </c>
    </row>
    <row r="533" spans="3:14">
      <c r="C533" t="s">
        <v>45</v>
      </c>
      <c r="D533">
        <f>-105.917*$D$471</f>
        <v>0</v>
      </c>
      <c r="E533">
        <f>57.953*$E$471</f>
        <v>0</v>
      </c>
      <c r="F533">
        <f>-194.614*$F$471</f>
        <v>0</v>
      </c>
      <c r="G533">
        <f>-7.153*$G$471</f>
        <v>0</v>
      </c>
      <c r="H533">
        <f>0*$H$471</f>
        <v>0</v>
      </c>
      <c r="I533">
        <f>-15.034*$I$471</f>
        <v>0</v>
      </c>
      <c r="J533">
        <f>-23.473*$J$471</f>
        <v>0</v>
      </c>
      <c r="K533">
        <f>31.297*$K$471</f>
        <v>0</v>
      </c>
      <c r="L533">
        <f>-9.638*$L$471</f>
        <v>0</v>
      </c>
      <c r="M533">
        <f>0+D533+E533+G533+H533+I533+J533+K533+L533</f>
        <v>0</v>
      </c>
      <c r="N533">
        <f>0+D533+F533+G533+H533+I533+J533+K533+L533</f>
        <v>0</v>
      </c>
    </row>
    <row r="534" spans="3:14">
      <c r="C534" t="s">
        <v>46</v>
      </c>
      <c r="D534">
        <f>-104.109*$D$471</f>
        <v>0</v>
      </c>
      <c r="E534">
        <f>61.263*$E$471</f>
        <v>0</v>
      </c>
      <c r="F534">
        <f>-197.06*$F$471</f>
        <v>0</v>
      </c>
      <c r="G534">
        <f>-4.253*$G$471</f>
        <v>0</v>
      </c>
      <c r="H534">
        <f>0*$H$471</f>
        <v>0</v>
      </c>
      <c r="I534">
        <f>-14.961*$I$471</f>
        <v>0</v>
      </c>
      <c r="J534">
        <f>-35.918*$J$471</f>
        <v>0</v>
      </c>
      <c r="K534">
        <f>47.891*$K$471</f>
        <v>0</v>
      </c>
      <c r="L534">
        <f>-10.511*$L$471</f>
        <v>0</v>
      </c>
      <c r="M534">
        <f>0+D534+E534+G534+H534+I534+J534+K534+L534</f>
        <v>0</v>
      </c>
      <c r="N534">
        <f>0+D534+F534+G534+H534+I534+J534+K534+L534</f>
        <v>0</v>
      </c>
    </row>
    <row r="535" spans="3:14">
      <c r="C535" t="s">
        <v>46</v>
      </c>
      <c r="D535">
        <f>-109.135*$D$471</f>
        <v>0</v>
      </c>
      <c r="E535">
        <f>63.735*$E$471</f>
        <v>0</v>
      </c>
      <c r="F535">
        <f>-208.739*$F$471</f>
        <v>0</v>
      </c>
      <c r="G535">
        <f>-2.014*$G$471</f>
        <v>0</v>
      </c>
      <c r="H535">
        <f>0*$H$471</f>
        <v>0</v>
      </c>
      <c r="I535">
        <f>-15.814*$I$471</f>
        <v>0</v>
      </c>
      <c r="J535">
        <f>-48.83*$J$471</f>
        <v>0</v>
      </c>
      <c r="K535">
        <f>65.107*$K$471</f>
        <v>0</v>
      </c>
      <c r="L535">
        <f>-11.387*$L$471</f>
        <v>0</v>
      </c>
      <c r="M535">
        <f>0+D535+E535+G535+H535+I535+J535+K535+L535</f>
        <v>0</v>
      </c>
      <c r="N535">
        <f>0+D535+F535+G535+H535+I535+J535+K535+L535</f>
        <v>0</v>
      </c>
    </row>
    <row r="536" spans="3:14">
      <c r="C536" t="s">
        <v>47</v>
      </c>
      <c r="D536">
        <f>-108.672*$D$471</f>
        <v>0</v>
      </c>
      <c r="E536">
        <f>65.186*$E$471</f>
        <v>0</v>
      </c>
      <c r="F536">
        <f>-211.812*$F$471</f>
        <v>0</v>
      </c>
      <c r="G536">
        <f>-0.428*$G$471</f>
        <v>0</v>
      </c>
      <c r="H536">
        <f>0*$H$471</f>
        <v>0</v>
      </c>
      <c r="I536">
        <f>-15.857*$I$471</f>
        <v>0</v>
      </c>
      <c r="J536">
        <f>-55.355*$J$471</f>
        <v>0</v>
      </c>
      <c r="K536">
        <f>73.807*$K$471</f>
        <v>0</v>
      </c>
      <c r="L536">
        <f>-12.231*$L$471</f>
        <v>0</v>
      </c>
      <c r="M536">
        <f>0+D536+E536+G536+H536+I536+J536+K536+L536</f>
        <v>0</v>
      </c>
      <c r="N536">
        <f>0+D536+F536+G536+H536+I536+J536+K536+L536</f>
        <v>0</v>
      </c>
    </row>
    <row r="537" spans="3:14">
      <c r="C537" t="s">
        <v>47</v>
      </c>
      <c r="D537">
        <f>-108.525*$D$471</f>
        <v>0</v>
      </c>
      <c r="E537">
        <f>65.268*$E$471</f>
        <v>0</v>
      </c>
      <c r="F537">
        <f>-209.925*$F$471</f>
        <v>0</v>
      </c>
      <c r="G537">
        <f>-0.357*$G$471</f>
        <v>0</v>
      </c>
      <c r="H537">
        <f>0*$H$471</f>
        <v>0</v>
      </c>
      <c r="I537">
        <f>-15.838*$I$471</f>
        <v>0</v>
      </c>
      <c r="J537">
        <f>-54.973*$J$471</f>
        <v>0</v>
      </c>
      <c r="K537">
        <f>73.297*$K$471</f>
        <v>0</v>
      </c>
      <c r="L537">
        <f>-13.526*$L$471</f>
        <v>0</v>
      </c>
      <c r="M537">
        <f>0+D537+E537+G537+H537+I537+J537+K537+L537</f>
        <v>0</v>
      </c>
      <c r="N537">
        <f>0+D537+F537+G537+H537+I537+J537+K537+L537</f>
        <v>0</v>
      </c>
    </row>
    <row r="538" spans="3:14">
      <c r="C538" t="s">
        <v>48</v>
      </c>
      <c r="D538">
        <f>-108.867*$D$471</f>
        <v>0</v>
      </c>
      <c r="E538">
        <f>62.427*$E$471</f>
        <v>0</v>
      </c>
      <c r="F538">
        <f>-206.798*$F$471</f>
        <v>0</v>
      </c>
      <c r="G538">
        <f>-1.773*$G$471</f>
        <v>0</v>
      </c>
      <c r="H538">
        <f>0*$H$471</f>
        <v>0</v>
      </c>
      <c r="I538">
        <f>-15.784*$I$471</f>
        <v>0</v>
      </c>
      <c r="J538">
        <f>-47.363*$J$471</f>
        <v>0</v>
      </c>
      <c r="K538">
        <f>63.15*$K$471</f>
        <v>0</v>
      </c>
      <c r="L538">
        <f>-14.492*$L$471</f>
        <v>0</v>
      </c>
      <c r="M538">
        <f>0+D538+E538+G538+H538+I538+J538+K538+L538</f>
        <v>0</v>
      </c>
      <c r="N538">
        <f>0+D538+F538+G538+H538+I538+J538+K538+L538</f>
        <v>0</v>
      </c>
    </row>
    <row r="539" spans="3:14">
      <c r="C539" t="s">
        <v>48</v>
      </c>
      <c r="D539">
        <f>-103.766*$D$471</f>
        <v>0</v>
      </c>
      <c r="E539">
        <f>58.905*$E$471</f>
        <v>0</v>
      </c>
      <c r="F539">
        <f>-193.213*$F$471</f>
        <v>0</v>
      </c>
      <c r="G539">
        <f>-3.845*$G$471</f>
        <v>0</v>
      </c>
      <c r="H539">
        <f>0*$H$471</f>
        <v>0</v>
      </c>
      <c r="I539">
        <f>-14.927*$I$471</f>
        <v>0</v>
      </c>
      <c r="J539">
        <f>-33.355*$J$471</f>
        <v>0</v>
      </c>
      <c r="K539">
        <f>44.473*$K$471</f>
        <v>0</v>
      </c>
      <c r="L539">
        <f>-15.548*$L$471</f>
        <v>0</v>
      </c>
      <c r="M539">
        <f>0+D539+E539+G539+H539+I539+J539+K539+L539</f>
        <v>0</v>
      </c>
      <c r="N539">
        <f>0+D539+F539+G539+H539+I539+J539+K539+L539</f>
        <v>0</v>
      </c>
    </row>
    <row r="540" spans="3:14">
      <c r="C540" t="s">
        <v>49</v>
      </c>
      <c r="D540">
        <f>-105.525*$D$471</f>
        <v>0</v>
      </c>
      <c r="E540">
        <f>53.97*$E$471</f>
        <v>0</v>
      </c>
      <c r="F540">
        <f>-188.241*$F$471</f>
        <v>0</v>
      </c>
      <c r="G540">
        <f>-6.57*$G$471</f>
        <v>0</v>
      </c>
      <c r="H540">
        <f>0*$H$471</f>
        <v>0</v>
      </c>
      <c r="I540">
        <f>-14.999*$I$471</f>
        <v>0</v>
      </c>
      <c r="J540">
        <f>-19.747*$J$471</f>
        <v>0</v>
      </c>
      <c r="K540">
        <f>26.329*$K$471</f>
        <v>0</v>
      </c>
      <c r="L540">
        <f>-16.687*$L$471</f>
        <v>0</v>
      </c>
      <c r="M540">
        <f>0+D540+E540+G540+H540+I540+J540+K540+L540</f>
        <v>0</v>
      </c>
      <c r="N540">
        <f>0+D540+F540+G540+H540+I540+J540+K540+L540</f>
        <v>0</v>
      </c>
    </row>
    <row r="541" spans="3:14">
      <c r="C541" t="s">
        <v>49</v>
      </c>
      <c r="D541">
        <f>-103.105*$D$471</f>
        <v>0</v>
      </c>
      <c r="E541">
        <f>51.358*$E$471</f>
        <v>0</v>
      </c>
      <c r="F541">
        <f>-182.939*$F$471</f>
        <v>0</v>
      </c>
      <c r="G541">
        <f>-7.825*$G$471</f>
        <v>0</v>
      </c>
      <c r="H541">
        <f>0*$H$471</f>
        <v>0</v>
      </c>
      <c r="I541">
        <f>-14.582*$I$471</f>
        <v>0</v>
      </c>
      <c r="J541">
        <f>-12.16*$J$471</f>
        <v>0</v>
      </c>
      <c r="K541">
        <f>16.214*$K$471</f>
        <v>0</v>
      </c>
      <c r="L541">
        <f>-17.71*$L$471</f>
        <v>0</v>
      </c>
      <c r="M541">
        <f>0+D541+E541+G541+H541+I541+J541+K541+L541</f>
        <v>0</v>
      </c>
      <c r="N541">
        <f>0+D541+F541+G541+H541+I541+J541+K541+L541</f>
        <v>0</v>
      </c>
    </row>
    <row r="542" spans="3:14">
      <c r="C542" t="s">
        <v>50</v>
      </c>
      <c r="D542">
        <f>-108.137*$D$471</f>
        <v>0</v>
      </c>
      <c r="E542">
        <f>48.185*$E$471</f>
        <v>0</v>
      </c>
      <c r="F542">
        <f>-187.206*$F$471</f>
        <v>0</v>
      </c>
      <c r="G542">
        <f>-8.653*$G$471</f>
        <v>0</v>
      </c>
      <c r="H542">
        <f>0*$H$471</f>
        <v>0</v>
      </c>
      <c r="I542">
        <f>-15.281*$I$471</f>
        <v>0</v>
      </c>
      <c r="J542">
        <f>-10.427*$J$471</f>
        <v>0</v>
      </c>
      <c r="K542">
        <f>13.902*$K$471</f>
        <v>0</v>
      </c>
      <c r="L542">
        <f>-18.561*$L$471</f>
        <v>0</v>
      </c>
      <c r="M542">
        <f>0+D542+E542+G542+H542+I542+J542+K542+L542</f>
        <v>0</v>
      </c>
      <c r="N542">
        <f>0+D542+F542+G542+H542+I542+J542+K542+L542</f>
        <v>0</v>
      </c>
    </row>
    <row r="543" spans="3:14">
      <c r="C543" t="s">
        <v>50</v>
      </c>
      <c r="D543">
        <f>-95.1*$D$471</f>
        <v>0</v>
      </c>
      <c r="E543">
        <f>49.04*$E$471</f>
        <v>0</v>
      </c>
      <c r="F543">
        <f>-173.698*$F$471</f>
        <v>0</v>
      </c>
      <c r="G543">
        <f>-6.621*$G$471</f>
        <v>0</v>
      </c>
      <c r="H543">
        <f>0*$H$471</f>
        <v>0</v>
      </c>
      <c r="I543">
        <f>-13.453*$I$471</f>
        <v>0</v>
      </c>
      <c r="J543">
        <f>-15.462*$J$471</f>
        <v>0</v>
      </c>
      <c r="K543">
        <f>20.616*$K$471</f>
        <v>0</v>
      </c>
      <c r="L543">
        <f>-18.892*$L$471</f>
        <v>0</v>
      </c>
      <c r="M543">
        <f>0+D543+E543+G543+H543+I543+J543+K543+L543</f>
        <v>0</v>
      </c>
      <c r="N543">
        <f>0+D543+F543+G543+H543+I543+J543+K543+L543</f>
        <v>0</v>
      </c>
    </row>
    <row r="544" spans="3:14">
      <c r="C544" t="s">
        <v>51</v>
      </c>
      <c r="D544">
        <f>-102.871*$D$471</f>
        <v>0</v>
      </c>
      <c r="E544">
        <f>48.242*$E$471</f>
        <v>0</v>
      </c>
      <c r="F544">
        <f>-185.715*$F$471</f>
        <v>0</v>
      </c>
      <c r="G544">
        <f>-5.612*$G$471</f>
        <v>0</v>
      </c>
      <c r="H544">
        <f>0*$H$471</f>
        <v>0</v>
      </c>
      <c r="I544">
        <f>-14.698*$I$471</f>
        <v>0</v>
      </c>
      <c r="J544">
        <f>-26.639*$J$471</f>
        <v>0</v>
      </c>
      <c r="K544">
        <f>35.519*$K$471</f>
        <v>0</v>
      </c>
      <c r="L544">
        <f>-19.138*$L$471</f>
        <v>0</v>
      </c>
      <c r="M544">
        <f>0+D544+E544+G544+H544+I544+J544+K544+L544</f>
        <v>0</v>
      </c>
      <c r="N544">
        <f>0+D544+F544+G544+H544+I544+J544+K544+L544</f>
        <v>0</v>
      </c>
    </row>
    <row r="545" spans="3:14">
      <c r="C545" t="s">
        <v>51</v>
      </c>
      <c r="D545">
        <f>-94.408*$D$471</f>
        <v>0</v>
      </c>
      <c r="E545">
        <f>52.932*$E$471</f>
        <v>0</v>
      </c>
      <c r="F545">
        <f>-180.185*$F$471</f>
        <v>0</v>
      </c>
      <c r="G545">
        <f>-3.106*$G$471</f>
        <v>0</v>
      </c>
      <c r="H545">
        <f>0*$H$471</f>
        <v>0</v>
      </c>
      <c r="I545">
        <f>-13.576*$I$471</f>
        <v>0</v>
      </c>
      <c r="J545">
        <f>-39.249*$J$471</f>
        <v>0</v>
      </c>
      <c r="K545">
        <f>52.332*$K$471</f>
        <v>0</v>
      </c>
      <c r="L545">
        <f>-18.992*$L$471</f>
        <v>0</v>
      </c>
      <c r="M545">
        <f>0+D545+E545+G545+H545+I545+J545+K545+L545</f>
        <v>0</v>
      </c>
      <c r="N545">
        <f>0+D545+F545+G545+H545+I545+J545+K545+L545</f>
        <v>0</v>
      </c>
    </row>
    <row r="546" spans="3:14">
      <c r="C546" t="s">
        <v>52</v>
      </c>
      <c r="D546">
        <f>-103.508*$D$471</f>
        <v>0</v>
      </c>
      <c r="E546">
        <f>53.346*$E$471</f>
        <v>0</v>
      </c>
      <c r="F546">
        <f>-193.076*$F$471</f>
        <v>0</v>
      </c>
      <c r="G546">
        <f>-3.281*$G$471</f>
        <v>0</v>
      </c>
      <c r="H546">
        <f>0*$H$471</f>
        <v>0</v>
      </c>
      <c r="I546">
        <f>-14.941*$I$471</f>
        <v>0</v>
      </c>
      <c r="J546">
        <f>-44.195*$J$471</f>
        <v>0</v>
      </c>
      <c r="K546">
        <f>58.926*$K$471</f>
        <v>0</v>
      </c>
      <c r="L546">
        <f>-19.143*$L$471</f>
        <v>0</v>
      </c>
      <c r="M546">
        <f>0+D546+E546+G546+H546+I546+J546+K546+L546</f>
        <v>0</v>
      </c>
      <c r="N546">
        <f>0+D546+F546+G546+H546+I546+J546+K546+L546</f>
        <v>0</v>
      </c>
    </row>
    <row r="547" spans="3:14">
      <c r="C547" t="s">
        <v>52</v>
      </c>
      <c r="D547">
        <f>-99.612*$D$471</f>
        <v>0</v>
      </c>
      <c r="E547">
        <f>44.326*$E$471</f>
        <v>0</v>
      </c>
      <c r="F547">
        <f>-178.844*$F$471</f>
        <v>0</v>
      </c>
      <c r="G547">
        <f>-2.717*$G$471</f>
        <v>0</v>
      </c>
      <c r="H547">
        <f>0*$H$471</f>
        <v>0</v>
      </c>
      <c r="I547">
        <f>-14.375*$I$471</f>
        <v>0</v>
      </c>
      <c r="J547">
        <f>-38.427*$J$471</f>
        <v>0</v>
      </c>
      <c r="K547">
        <f>51.236*$K$471</f>
        <v>0</v>
      </c>
      <c r="L547">
        <f>-21.257*$L$471</f>
        <v>0</v>
      </c>
      <c r="M547">
        <f>0+D547+E547+G547+H547+I547+J547+K547+L547</f>
        <v>0</v>
      </c>
      <c r="N547">
        <f>0+D547+F547+G547+H547+I547+J547+K547+L547</f>
        <v>0</v>
      </c>
    </row>
    <row r="548" spans="3:14">
      <c r="C548" t="s">
        <v>53</v>
      </c>
      <c r="D548">
        <f>-108.703*$D$471</f>
        <v>0</v>
      </c>
      <c r="E548">
        <f>41.602*$E$471</f>
        <v>0</v>
      </c>
      <c r="F548">
        <f>-185.026*$F$471</f>
        <v>0</v>
      </c>
      <c r="G548">
        <f>-5.083*$G$471</f>
        <v>0</v>
      </c>
      <c r="H548">
        <f>0*$H$471</f>
        <v>0</v>
      </c>
      <c r="I548">
        <f>-15.564*$I$471</f>
        <v>0</v>
      </c>
      <c r="J548">
        <f>-30.071*$J$471</f>
        <v>0</v>
      </c>
      <c r="K548">
        <f>40.095*$K$471</f>
        <v>0</v>
      </c>
      <c r="L548">
        <f>-21.926*$L$471</f>
        <v>0</v>
      </c>
      <c r="M548">
        <f>0+D548+E548+G548+H548+I548+J548+K548+L548</f>
        <v>0</v>
      </c>
      <c r="N548">
        <f>0+D548+F548+G548+H548+I548+J548+K548+L548</f>
        <v>0</v>
      </c>
    </row>
    <row r="549" spans="3:14">
      <c r="C549" t="s">
        <v>53</v>
      </c>
      <c r="D549">
        <f>-81.765*$D$471</f>
        <v>0</v>
      </c>
      <c r="E549">
        <f>38.722*$E$471</f>
        <v>0</v>
      </c>
      <c r="F549">
        <f>-145.043*$F$471</f>
        <v>0</v>
      </c>
      <c r="G549">
        <f>-4.916*$G$471</f>
        <v>0</v>
      </c>
      <c r="H549">
        <f>0*$H$471</f>
        <v>0</v>
      </c>
      <c r="I549">
        <f>-11.602*$I$471</f>
        <v>0</v>
      </c>
      <c r="J549">
        <f>-13.524*$J$471</f>
        <v>0</v>
      </c>
      <c r="K549">
        <f>18.032*$K$471</f>
        <v>0</v>
      </c>
      <c r="L549">
        <f>-22.992*$L$471</f>
        <v>0</v>
      </c>
      <c r="M549">
        <f>0+D549+E549+G549+H549+I549+J549+K549+L549</f>
        <v>0</v>
      </c>
      <c r="N549">
        <f>0+D549+F549+G549+H549+I549+J549+K549+L549</f>
        <v>0</v>
      </c>
    </row>
    <row r="550" spans="3:14">
      <c r="C550" t="s">
        <v>54</v>
      </c>
      <c r="D550">
        <f>-90.748*$D$471</f>
        <v>0</v>
      </c>
      <c r="E550">
        <f>30.932*$E$471</f>
        <v>0</v>
      </c>
      <c r="F550">
        <f>-145.686*$F$471</f>
        <v>0</v>
      </c>
      <c r="G550">
        <f>-8.397*$G$471</f>
        <v>0</v>
      </c>
      <c r="H550">
        <f>0*$H$471</f>
        <v>0</v>
      </c>
      <c r="I550">
        <f>-12.7*$I$471</f>
        <v>0</v>
      </c>
      <c r="J550">
        <f>0.879*$J$471</f>
        <v>0</v>
      </c>
      <c r="K550">
        <f>-1.172*$K$471</f>
        <v>0</v>
      </c>
      <c r="L550">
        <f>-23.744*$L$471</f>
        <v>0</v>
      </c>
      <c r="M550">
        <f>0+D550+E550+G550+H550+I550+J550+K550+L550</f>
        <v>0</v>
      </c>
      <c r="N550">
        <f>0+D550+F550+G550+H550+I550+J550+K550+L550</f>
        <v>0</v>
      </c>
    </row>
    <row r="551" spans="3:14">
      <c r="C551" t="s">
        <v>54</v>
      </c>
      <c r="D551">
        <f>-71.93*$D$471</f>
        <v>0</v>
      </c>
      <c r="E551">
        <f>25.848*$E$471</f>
        <v>0</v>
      </c>
      <c r="F551">
        <f>-111.949*$F$471</f>
        <v>0</v>
      </c>
      <c r="G551">
        <f>-8.22*$G$471</f>
        <v>0</v>
      </c>
      <c r="H551">
        <f>0*$H$471</f>
        <v>0</v>
      </c>
      <c r="I551">
        <f>-9.928*$I$471</f>
        <v>0</v>
      </c>
      <c r="J551">
        <f>4.488*$J$471</f>
        <v>0</v>
      </c>
      <c r="K551">
        <f>-5.984*$K$471</f>
        <v>0</v>
      </c>
      <c r="L551">
        <f>-23.479*$L$471</f>
        <v>0</v>
      </c>
      <c r="M551">
        <f>0+D551+E551+G551+H551+I551+J551+K551+L551</f>
        <v>0</v>
      </c>
      <c r="N551">
        <f>0+D551+F551+G551+H551+I551+J551+K551+L551</f>
        <v>0</v>
      </c>
    </row>
    <row r="552" spans="3:14">
      <c r="C552" t="s">
        <v>55</v>
      </c>
      <c r="D552">
        <f>-78.748*$D$471</f>
        <v>0</v>
      </c>
      <c r="E552">
        <f>19.782*$E$471</f>
        <v>0</v>
      </c>
      <c r="F552">
        <f>-114.421*$F$471</f>
        <v>0</v>
      </c>
      <c r="G552">
        <f>-10.054*$G$471</f>
        <v>0</v>
      </c>
      <c r="H552">
        <f>0*$H$471</f>
        <v>0</v>
      </c>
      <c r="I552">
        <f>-10.847*$I$471</f>
        <v>0</v>
      </c>
      <c r="J552">
        <f>0.091*$J$471</f>
        <v>0</v>
      </c>
      <c r="K552">
        <f>-0.122*$K$471</f>
        <v>0</v>
      </c>
      <c r="L552">
        <f>-21.974*$L$471</f>
        <v>0</v>
      </c>
      <c r="M552">
        <f>0+D552+E552+G552+H552+I552+J552+K552+L552</f>
        <v>0</v>
      </c>
      <c r="N552">
        <f>0+D552+F552+G552+H552+I552+J552+K552+L552</f>
        <v>0</v>
      </c>
    </row>
    <row r="553" spans="3:14">
      <c r="C553" t="s">
        <v>55</v>
      </c>
      <c r="D553">
        <f>-60.611*$D$471</f>
        <v>0</v>
      </c>
      <c r="E553">
        <f>15.376*$E$471</f>
        <v>0</v>
      </c>
      <c r="F553">
        <f>-91.588*$F$471</f>
        <v>0</v>
      </c>
      <c r="G553">
        <f>-8.897*$G$471</f>
        <v>0</v>
      </c>
      <c r="H553">
        <f>0*$H$471</f>
        <v>0</v>
      </c>
      <c r="I553">
        <f>-8.265*$I$471</f>
        <v>0</v>
      </c>
      <c r="J553">
        <f>-17.015*$J$471</f>
        <v>0</v>
      </c>
      <c r="K553">
        <f>22.686*$K$471</f>
        <v>0</v>
      </c>
      <c r="L553">
        <f>-18.833*$L$471</f>
        <v>0</v>
      </c>
      <c r="M553">
        <f>0+D553+E553+G553+H553+I553+J553+K553+L553</f>
        <v>0</v>
      </c>
      <c r="N553">
        <f>0+D553+F553+G553+H553+I553+J553+K553+L553</f>
        <v>0</v>
      </c>
    </row>
    <row r="554" spans="3:14">
      <c r="C554" t="s">
        <v>56</v>
      </c>
      <c r="D554">
        <f>-62.808*$D$471</f>
        <v>0</v>
      </c>
      <c r="E554">
        <f>12.3*$E$471</f>
        <v>0</v>
      </c>
      <c r="F554">
        <f>-90.68*$F$471</f>
        <v>0</v>
      </c>
      <c r="G554">
        <f>-8.857*$G$471</f>
        <v>0</v>
      </c>
      <c r="H554">
        <f>0*$H$471</f>
        <v>0</v>
      </c>
      <c r="I554">
        <f>-8.662*$I$471</f>
        <v>0</v>
      </c>
      <c r="J554">
        <f>-44.989*$J$471</f>
        <v>0</v>
      </c>
      <c r="K554">
        <f>59.986*$K$471</f>
        <v>0</v>
      </c>
      <c r="L554">
        <f>-14.363*$L$471</f>
        <v>0</v>
      </c>
      <c r="M554">
        <f>0+D554+E554+G554+H554+I554+J554+K554+L554</f>
        <v>0</v>
      </c>
      <c r="N554">
        <f>0+D554+F554+G554+H554+I554+J554+K554+L554</f>
        <v>0</v>
      </c>
    </row>
    <row r="555" spans="3:14">
      <c r="C555" t="s">
        <v>56</v>
      </c>
      <c r="D555">
        <f>-19.35*$D$471</f>
        <v>0</v>
      </c>
      <c r="E555">
        <f>8.419*$E$471</f>
        <v>0</v>
      </c>
      <c r="F555">
        <f>-31.657*$F$471</f>
        <v>0</v>
      </c>
      <c r="G555">
        <f>-3.824*$G$471</f>
        <v>0</v>
      </c>
      <c r="H555">
        <f>0*$H$471</f>
        <v>0</v>
      </c>
      <c r="I555">
        <f>-2.532*$I$471</f>
        <v>0</v>
      </c>
      <c r="J555">
        <f>-81.947*$J$471</f>
        <v>0</v>
      </c>
      <c r="K555">
        <f>109.263*$K$471</f>
        <v>0</v>
      </c>
      <c r="L555">
        <f>-8.858*$L$471</f>
        <v>0</v>
      </c>
      <c r="M555">
        <f>0+D555+E555+G555+H555+I555+J555+K555+L555</f>
        <v>0</v>
      </c>
      <c r="N555">
        <f>0+D555+F555+G555+H555+I555+J555+K555+L555</f>
        <v>0</v>
      </c>
    </row>
    <row r="556" spans="3:14">
      <c r="C556" t="s">
        <v>57</v>
      </c>
      <c r="D556">
        <f>-18.049*$D$471</f>
        <v>0</v>
      </c>
      <c r="E556">
        <f>8.211*$E$471</f>
        <v>0</v>
      </c>
      <c r="F556">
        <f>-29.032*$F$471</f>
        <v>0</v>
      </c>
      <c r="G556">
        <f>-3.197*$G$471</f>
        <v>0</v>
      </c>
      <c r="H556">
        <f>0*$H$471</f>
        <v>0</v>
      </c>
      <c r="I556">
        <f>-2.442*$I$471</f>
        <v>0</v>
      </c>
      <c r="J556">
        <f>-108.715*$J$471</f>
        <v>0</v>
      </c>
      <c r="K556">
        <f>144.954*$K$471</f>
        <v>0</v>
      </c>
      <c r="L556">
        <f>-4.369*$L$471</f>
        <v>0</v>
      </c>
      <c r="M556">
        <f>0+D556+E556+G556+H556+I556+J556+K556+L556</f>
        <v>0</v>
      </c>
      <c r="N556">
        <f>0+D556+F556+G556+H556+I556+J556+K556+L556</f>
        <v>0</v>
      </c>
    </row>
    <row r="557" spans="3:14">
      <c r="C557" t="s">
        <v>57</v>
      </c>
      <c r="D557">
        <f>-17.004*$D$471</f>
        <v>0</v>
      </c>
      <c r="E557">
        <f>5.539*$E$471</f>
        <v>0</v>
      </c>
      <c r="F557">
        <f>-25.116*$F$471</f>
        <v>0</v>
      </c>
      <c r="G557">
        <f>-2.049*$G$471</f>
        <v>0</v>
      </c>
      <c r="H557">
        <f>0*$H$471</f>
        <v>0</v>
      </c>
      <c r="I557">
        <f>-2.404*$I$471</f>
        <v>0</v>
      </c>
      <c r="J557">
        <f>-131.236*$J$471</f>
        <v>0</v>
      </c>
      <c r="K557">
        <f>174.982*$K$471</f>
        <v>0</v>
      </c>
      <c r="L557">
        <f>-1.761*$L$471</f>
        <v>0</v>
      </c>
      <c r="M557">
        <f>0+D557+E557+G557+H557+I557+J557+K557+L557</f>
        <v>0</v>
      </c>
      <c r="N557">
        <f>0+D557+F557+G557+H557+I557+J557+K557+L557</f>
        <v>0</v>
      </c>
    </row>
    <row r="558" spans="3:14">
      <c r="C558" t="s">
        <v>58</v>
      </c>
      <c r="D558">
        <f>-17.004*$D$471</f>
        <v>0</v>
      </c>
      <c r="E558">
        <f>5.539*$E$471</f>
        <v>0</v>
      </c>
      <c r="F558">
        <f>-25.116*$F$471</f>
        <v>0</v>
      </c>
      <c r="G558">
        <f>-2.049*$G$471</f>
        <v>0</v>
      </c>
      <c r="H558">
        <f>0*$H$471</f>
        <v>0</v>
      </c>
      <c r="I558">
        <f>-2.404*$I$471</f>
        <v>0</v>
      </c>
      <c r="J558">
        <f>-131.236*$J$471</f>
        <v>0</v>
      </c>
      <c r="K558">
        <f>174.982*$K$471</f>
        <v>0</v>
      </c>
      <c r="L558">
        <f>-1.761*$L$471</f>
        <v>0</v>
      </c>
      <c r="M558">
        <f>0+D558+E558+G558+H558+I558+J558+K558+L558</f>
        <v>0</v>
      </c>
      <c r="N558">
        <f>0+D558+F558+G558+H558+I558+J558+K558+L558</f>
        <v>0</v>
      </c>
    </row>
    <row r="559" spans="3:14">
      <c r="C559" t="s">
        <v>58</v>
      </c>
      <c r="D559">
        <f>-11.367*$D$471</f>
        <v>0</v>
      </c>
      <c r="E559">
        <f>1.053*$E$471</f>
        <v>0</v>
      </c>
      <c r="F559">
        <f>-20.899*$F$471</f>
        <v>0</v>
      </c>
      <c r="G559">
        <f>-1.459*$G$471</f>
        <v>0</v>
      </c>
      <c r="H559">
        <f>0*$H$471</f>
        <v>0</v>
      </c>
      <c r="I559">
        <f>-1.596*$I$471</f>
        <v>0</v>
      </c>
      <c r="J559">
        <f>-124.471*$J$471</f>
        <v>0</v>
      </c>
      <c r="K559">
        <f>165.961*$K$471</f>
        <v>0</v>
      </c>
      <c r="L559">
        <f>-17.96*$L$471</f>
        <v>0</v>
      </c>
      <c r="M559">
        <f>0+D559+E559+G559+H559+I559+J559+K559+L559</f>
        <v>0</v>
      </c>
      <c r="N559">
        <f>0+D559+F559+G559+H559+I559+J559+K559+L559</f>
        <v>0</v>
      </c>
    </row>
    <row r="560" spans="3:14">
      <c r="C560" t="s">
        <v>59</v>
      </c>
      <c r="D560">
        <f>-11.367*$D$471</f>
        <v>0</v>
      </c>
      <c r="E560">
        <f>1.053*$E$471</f>
        <v>0</v>
      </c>
      <c r="F560">
        <f>-20.899*$F$471</f>
        <v>0</v>
      </c>
      <c r="G560">
        <f>-1.459*$G$471</f>
        <v>0</v>
      </c>
      <c r="H560">
        <f>0*$H$471</f>
        <v>0</v>
      </c>
      <c r="I560">
        <f>-1.596*$I$471</f>
        <v>0</v>
      </c>
      <c r="J560">
        <f>-124.471*$J$471</f>
        <v>0</v>
      </c>
      <c r="K560">
        <f>165.961*$K$471</f>
        <v>0</v>
      </c>
      <c r="L560">
        <f>-17.96*$L$471</f>
        <v>0</v>
      </c>
      <c r="M560">
        <f>0+D560+E560+G560+H560+I560+J560+K560+L560</f>
        <v>0</v>
      </c>
      <c r="N560">
        <f>0+D560+F560+G560+H560+I560+J560+K560+L560</f>
        <v>0</v>
      </c>
    </row>
    <row r="561" spans="3:14">
      <c r="C561" t="s">
        <v>59</v>
      </c>
      <c r="D561">
        <f>2.026*$D$471</f>
        <v>0</v>
      </c>
      <c r="E561">
        <f>32.471*$E$471</f>
        <v>0</v>
      </c>
      <c r="F561">
        <f>-31.698*$F$471</f>
        <v>0</v>
      </c>
      <c r="G561">
        <f>-3.587*$G$471</f>
        <v>0</v>
      </c>
      <c r="H561">
        <f>0*$H$471</f>
        <v>0</v>
      </c>
      <c r="I561">
        <f>0.457*$I$471</f>
        <v>0</v>
      </c>
      <c r="J561">
        <f>-106.218*$J$471</f>
        <v>0</v>
      </c>
      <c r="K561">
        <f>141.624*$K$471</f>
        <v>0</v>
      </c>
      <c r="L561">
        <f>-62.924*$L$471</f>
        <v>0</v>
      </c>
      <c r="M561">
        <f>0+D561+E561+G561+H561+I561+J561+K561+L561</f>
        <v>0</v>
      </c>
      <c r="N561">
        <f>0+D561+F561+G561+H561+I561+J561+K561+L561</f>
        <v>0</v>
      </c>
    </row>
    <row r="562" spans="3:14">
      <c r="C562" t="s">
        <v>60</v>
      </c>
      <c r="D562">
        <f>-2.657*$D$471</f>
        <v>0</v>
      </c>
      <c r="E562">
        <f>27.351*$E$471</f>
        <v>0</v>
      </c>
      <c r="F562">
        <f>-33.133*$F$471</f>
        <v>0</v>
      </c>
      <c r="G562">
        <f>-4.135*$G$471</f>
        <v>0</v>
      </c>
      <c r="H562">
        <f>0*$H$471</f>
        <v>0</v>
      </c>
      <c r="I562">
        <f>-0.147*$I$471</f>
        <v>0</v>
      </c>
      <c r="J562">
        <f>-72.906*$J$471</f>
        <v>0</v>
      </c>
      <c r="K562">
        <f>97.208*$K$471</f>
        <v>0</v>
      </c>
      <c r="L562">
        <f>-61.867*$L$471</f>
        <v>0</v>
      </c>
      <c r="M562">
        <f>0+D562+E562+G562+H562+I562+J562+K562+L562</f>
        <v>0</v>
      </c>
      <c r="N562">
        <f>0+D562+F562+G562+H562+I562+J562+K562+L562</f>
        <v>0</v>
      </c>
    </row>
    <row r="563" spans="3:14">
      <c r="C563" t="s">
        <v>60</v>
      </c>
      <c r="D563">
        <f>-25.241*$D$471</f>
        <v>0</v>
      </c>
      <c r="E563">
        <f>16.344*$E$471</f>
        <v>0</v>
      </c>
      <c r="F563">
        <f>-61.434*$F$471</f>
        <v>0</v>
      </c>
      <c r="G563">
        <f>-6.708*$G$471</f>
        <v>0</v>
      </c>
      <c r="H563">
        <f>0*$H$471</f>
        <v>0</v>
      </c>
      <c r="I563">
        <f>-3.33*$I$471</f>
        <v>0</v>
      </c>
      <c r="J563">
        <f>-30.595*$J$471</f>
        <v>0</v>
      </c>
      <c r="K563">
        <f>40.793*$K$471</f>
        <v>0</v>
      </c>
      <c r="L563">
        <f>-99.407*$L$471</f>
        <v>0</v>
      </c>
      <c r="M563">
        <f>0+D563+E563+G563+H563+I563+J563+K563+L563</f>
        <v>0</v>
      </c>
      <c r="N563">
        <f>0+D563+F563+G563+H563+I563+J563+K563+L563</f>
        <v>0</v>
      </c>
    </row>
    <row r="564" spans="3:14">
      <c r="C564" t="s">
        <v>61</v>
      </c>
      <c r="D564">
        <f>-29.333*$D$471</f>
        <v>0</v>
      </c>
      <c r="E564">
        <f>14.957*$E$471</f>
        <v>0</v>
      </c>
      <c r="F564">
        <f>-66.539*$F$471</f>
        <v>0</v>
      </c>
      <c r="G564">
        <f>-6.861*$G$471</f>
        <v>0</v>
      </c>
      <c r="H564">
        <f>0*$H$471</f>
        <v>0</v>
      </c>
      <c r="I564">
        <f>-3.872*$I$471</f>
        <v>0</v>
      </c>
      <c r="J564">
        <f>6.856*$J$471</f>
        <v>0</v>
      </c>
      <c r="K564">
        <f>-9.142*$K$471</f>
        <v>0</v>
      </c>
      <c r="L564">
        <f>-96.807*$L$471</f>
        <v>0</v>
      </c>
      <c r="M564">
        <f>0+D564+E564+G564+H564+I564+J564+K564+L564</f>
        <v>0</v>
      </c>
      <c r="N564">
        <f>0+D564+F564+G564+H564+I564+J564+K564+L564</f>
        <v>0</v>
      </c>
    </row>
    <row r="565" spans="3:14">
      <c r="C565" t="s">
        <v>61</v>
      </c>
      <c r="D565">
        <f>-39.952*$D$471</f>
        <v>0</v>
      </c>
      <c r="E565">
        <f>14.617*$E$471</f>
        <v>0</v>
      </c>
      <c r="F565">
        <f>-84.008*$F$471</f>
        <v>0</v>
      </c>
      <c r="G565">
        <f>-6.927*$G$471</f>
        <v>0</v>
      </c>
      <c r="H565">
        <f>0*$H$471</f>
        <v>0</v>
      </c>
      <c r="I565">
        <f>-5.422*$I$471</f>
        <v>0</v>
      </c>
      <c r="J565">
        <f>28.037*$J$471</f>
        <v>0</v>
      </c>
      <c r="K565">
        <f>-37.383*$K$471</f>
        <v>0</v>
      </c>
      <c r="L565">
        <f>-104.636*$L$471</f>
        <v>0</v>
      </c>
      <c r="M565">
        <f>0+D565+E565+G565+H565+I565+J565+K565+L565</f>
        <v>0</v>
      </c>
      <c r="N565">
        <f>0+D565+F565+G565+H565+I565+J565+K565+L565</f>
        <v>0</v>
      </c>
    </row>
    <row r="566" spans="3:14">
      <c r="C566" t="s">
        <v>62</v>
      </c>
      <c r="D566">
        <f>-40.884*$D$471</f>
        <v>0</v>
      </c>
      <c r="E566">
        <f>16.377*$E$471</f>
        <v>0</v>
      </c>
      <c r="F566">
        <f>-87.281*$F$471</f>
        <v>0</v>
      </c>
      <c r="G566">
        <f>-5.585*$G$471</f>
        <v>0</v>
      </c>
      <c r="H566">
        <f>0*$H$471</f>
        <v>0</v>
      </c>
      <c r="I566">
        <f>-5.64*$I$471</f>
        <v>0</v>
      </c>
      <c r="J566">
        <f>41.126*$J$471</f>
        <v>0</v>
      </c>
      <c r="K566">
        <f>-54.835*$K$471</f>
        <v>0</v>
      </c>
      <c r="L566">
        <f>-94.781*$L$471</f>
        <v>0</v>
      </c>
      <c r="M566">
        <f>0+D566+E566+G566+H566+I566+J566+K566+L566</f>
        <v>0</v>
      </c>
      <c r="N566">
        <f>0+D566+F566+G566+H566+I566+J566+K566+L566</f>
        <v>0</v>
      </c>
    </row>
    <row r="567" spans="3:14">
      <c r="C567" t="s">
        <v>62</v>
      </c>
      <c r="D567">
        <f>-49.211*$D$471</f>
        <v>0</v>
      </c>
      <c r="E567">
        <f>19.569*$E$471</f>
        <v>0</v>
      </c>
      <c r="F567">
        <f>-107.215*$F$471</f>
        <v>0</v>
      </c>
      <c r="G567">
        <f>-4.675*$G$471</f>
        <v>0</v>
      </c>
      <c r="H567">
        <f>0*$H$471</f>
        <v>0</v>
      </c>
      <c r="I567">
        <f>-6.929*$I$471</f>
        <v>0</v>
      </c>
      <c r="J567">
        <f>41.658*$J$471</f>
        <v>0</v>
      </c>
      <c r="K567">
        <f>-55.544*$K$471</f>
        <v>0</v>
      </c>
      <c r="L567">
        <f>-102.779*$L$471</f>
        <v>0</v>
      </c>
      <c r="M567">
        <f>0+D567+E567+G567+H567+I567+J567+K567+L567</f>
        <v>0</v>
      </c>
      <c r="N567">
        <f>0+D567+F567+G567+H567+I567+J567+K567+L567</f>
        <v>0</v>
      </c>
    </row>
    <row r="568" spans="3:14">
      <c r="C568" t="s">
        <v>63</v>
      </c>
      <c r="D568">
        <f>-48.293*$D$471</f>
        <v>0</v>
      </c>
      <c r="E568">
        <f>23.16*$E$471</f>
        <v>0</v>
      </c>
      <c r="F568">
        <f>-111.007*$F$471</f>
        <v>0</v>
      </c>
      <c r="G568">
        <f>-2.178*$G$471</f>
        <v>0</v>
      </c>
      <c r="H568">
        <f>0*$H$471</f>
        <v>0</v>
      </c>
      <c r="I568">
        <f>-6.988*$I$471</f>
        <v>0</v>
      </c>
      <c r="J568">
        <f>32.953*$J$471</f>
        <v>0</v>
      </c>
      <c r="K568">
        <f>-43.938*$K$471</f>
        <v>0</v>
      </c>
      <c r="L568">
        <f>-87.522*$L$471</f>
        <v>0</v>
      </c>
      <c r="M568">
        <f>0+D568+E568+G568+H568+I568+J568+K568+L568</f>
        <v>0</v>
      </c>
      <c r="N568">
        <f>0+D568+F568+G568+H568+I568+J568+K568+L568</f>
        <v>0</v>
      </c>
    </row>
    <row r="569" spans="3:14">
      <c r="C569" t="s">
        <v>63</v>
      </c>
      <c r="D569">
        <f>-52.088*$D$471</f>
        <v>0</v>
      </c>
      <c r="E569">
        <f>26.297*$E$471</f>
        <v>0</v>
      </c>
      <c r="F569">
        <f>-123.95*$F$471</f>
        <v>0</v>
      </c>
      <c r="G569">
        <f>-0.548*$G$471</f>
        <v>0</v>
      </c>
      <c r="H569">
        <f>0*$H$471</f>
        <v>0</v>
      </c>
      <c r="I569">
        <f>-7.648*$I$471</f>
        <v>0</v>
      </c>
      <c r="J569">
        <f>21.249*$J$471</f>
        <v>0</v>
      </c>
      <c r="K569">
        <f>-28.332*$K$471</f>
        <v>0</v>
      </c>
      <c r="L569">
        <f>-84.376*$L$471</f>
        <v>0</v>
      </c>
      <c r="M569">
        <f>0+D569+E569+G569+H569+I569+J569+K569+L569</f>
        <v>0</v>
      </c>
      <c r="N569">
        <f>0+D569+F569+G569+H569+I569+J569+K569+L569</f>
        <v>0</v>
      </c>
    </row>
    <row r="570" spans="3:14">
      <c r="C570" t="s">
        <v>64</v>
      </c>
      <c r="D570">
        <f>-51.197*$D$471</f>
        <v>0</v>
      </c>
      <c r="E570">
        <f>27.669*$E$471</f>
        <v>0</v>
      </c>
      <c r="F570">
        <f>-125.138*$F$471</f>
        <v>0</v>
      </c>
      <c r="G570">
        <f>0.817*$G$471</f>
        <v>0</v>
      </c>
      <c r="H570">
        <f>0*$H$471</f>
        <v>0</v>
      </c>
      <c r="I570">
        <f>-7.635*$I$471</f>
        <v>0</v>
      </c>
      <c r="J570">
        <f>20.161*$J$471</f>
        <v>0</v>
      </c>
      <c r="K570">
        <f>-26.881*$K$471</f>
        <v>0</v>
      </c>
      <c r="L570">
        <f>-76.236*$L$471</f>
        <v>0</v>
      </c>
      <c r="M570">
        <f>0+D570+E570+G570+H570+I570+J570+K570+L570</f>
        <v>0</v>
      </c>
      <c r="N570">
        <f>0+D570+F570+G570+H570+I570+J570+K570+L570</f>
        <v>0</v>
      </c>
    </row>
    <row r="571" spans="3:14">
      <c r="C571" t="s">
        <v>64</v>
      </c>
      <c r="D571">
        <f>-49.884*$D$471</f>
        <v>0</v>
      </c>
      <c r="E571">
        <f>28.696*$E$471</f>
        <v>0</v>
      </c>
      <c r="F571">
        <f>-125.547*$F$471</f>
        <v>0</v>
      </c>
      <c r="G571">
        <f>1.291*$G$471</f>
        <v>0</v>
      </c>
      <c r="H571">
        <f>0*$H$471</f>
        <v>0</v>
      </c>
      <c r="I571">
        <f>-7.508*$I$471</f>
        <v>0</v>
      </c>
      <c r="J571">
        <f>28.855*$J$471</f>
        <v>0</v>
      </c>
      <c r="K571">
        <f>-38.473*$K$471</f>
        <v>0</v>
      </c>
      <c r="L571">
        <f>-75.048*$L$471</f>
        <v>0</v>
      </c>
      <c r="M571">
        <f>0+D571+E571+G571+H571+I571+J571+K571+L571</f>
        <v>0</v>
      </c>
      <c r="N571">
        <f>0+D571+F571+G571+H571+I571+J571+K571+L571</f>
        <v>0</v>
      </c>
    </row>
    <row r="572" spans="3:14">
      <c r="C572" t="s">
        <v>65</v>
      </c>
      <c r="D572">
        <f>-49.457*$D$471</f>
        <v>0</v>
      </c>
      <c r="E572">
        <f>26.522*$E$471</f>
        <v>0</v>
      </c>
      <c r="F572">
        <f>-123.051*$F$471</f>
        <v>0</v>
      </c>
      <c r="G572">
        <f>0.632*$G$471</f>
        <v>0</v>
      </c>
      <c r="H572">
        <f>0*$H$471</f>
        <v>0</v>
      </c>
      <c r="I572">
        <f>-7.401*$I$471</f>
        <v>0</v>
      </c>
      <c r="J572">
        <f>45.163*$J$471</f>
        <v>0</v>
      </c>
      <c r="K572">
        <f>-60.217*$K$471</f>
        <v>0</v>
      </c>
      <c r="L572">
        <f>-77.785*$L$471</f>
        <v>0</v>
      </c>
      <c r="M572">
        <f>0+D572+E572+G572+H572+I572+J572+K572+L572</f>
        <v>0</v>
      </c>
      <c r="N572">
        <f>0+D572+F572+G572+H572+I572+J572+K572+L572</f>
        <v>0</v>
      </c>
    </row>
    <row r="573" spans="3:14">
      <c r="C573" t="s">
        <v>65</v>
      </c>
      <c r="D573">
        <f>-45.956*$D$471</f>
        <v>0</v>
      </c>
      <c r="E573">
        <f>23.408*$E$471</f>
        <v>0</v>
      </c>
      <c r="F573">
        <f>-111.486*$F$471</f>
        <v>0</v>
      </c>
      <c r="G573">
        <f>-0.628*$G$471</f>
        <v>0</v>
      </c>
      <c r="H573">
        <f>0*$H$471</f>
        <v>0</v>
      </c>
      <c r="I573">
        <f>-6.844*$I$471</f>
        <v>0</v>
      </c>
      <c r="J573">
        <f>70.141*$J$471</f>
        <v>0</v>
      </c>
      <c r="K573">
        <f>-93.522*$K$471</f>
        <v>0</v>
      </c>
      <c r="L573">
        <f>-80.996*$L$471</f>
        <v>0</v>
      </c>
      <c r="M573">
        <f>0+D573+E573+G573+H573+I573+J573+K573+L573</f>
        <v>0</v>
      </c>
      <c r="N573">
        <f>0+D573+F573+G573+H573+I573+J573+K573+L573</f>
        <v>0</v>
      </c>
    </row>
    <row r="574" spans="3:14">
      <c r="C574" t="s">
        <v>66</v>
      </c>
      <c r="D574">
        <f>-45.681*$D$471</f>
        <v>0</v>
      </c>
      <c r="E574">
        <f>19.567*$E$471</f>
        <v>0</v>
      </c>
      <c r="F574">
        <f>-106.834*$F$471</f>
        <v>0</v>
      </c>
      <c r="G574">
        <f>-2.509*$G$471</f>
        <v>0</v>
      </c>
      <c r="H574">
        <f>0*$H$471</f>
        <v>0</v>
      </c>
      <c r="I574">
        <f>-6.677*$I$471</f>
        <v>0</v>
      </c>
      <c r="J574">
        <f>89.634*$J$471</f>
        <v>0</v>
      </c>
      <c r="K574">
        <f>-119.512*$K$471</f>
        <v>0</v>
      </c>
      <c r="L574">
        <f>-91.246*$L$471</f>
        <v>0</v>
      </c>
      <c r="M574">
        <f>0+D574+E574+G574+H574+I574+J574+K574+L574</f>
        <v>0</v>
      </c>
      <c r="N574">
        <f>0+D574+F574+G574+H574+I574+J574+K574+L574</f>
        <v>0</v>
      </c>
    </row>
    <row r="575" spans="3:14">
      <c r="C575" t="s">
        <v>66</v>
      </c>
      <c r="D575">
        <f>-37.91*$D$471</f>
        <v>0</v>
      </c>
      <c r="E575">
        <f>15.855*$E$471</f>
        <v>0</v>
      </c>
      <c r="F575">
        <f>-88.327*$F$471</f>
        <v>0</v>
      </c>
      <c r="G575">
        <f>-3.21*$G$471</f>
        <v>0</v>
      </c>
      <c r="H575">
        <f>0*$H$471</f>
        <v>0</v>
      </c>
      <c r="I575">
        <f>-5.507*$I$471</f>
        <v>0</v>
      </c>
      <c r="J575">
        <f>93.739*$J$471</f>
        <v>0</v>
      </c>
      <c r="K575">
        <f>-124.985*$K$471</f>
        <v>0</v>
      </c>
      <c r="L575">
        <f>-83.953*$L$471</f>
        <v>0</v>
      </c>
      <c r="M575">
        <f>0+D575+E575+G575+H575+I575+J575+K575+L575</f>
        <v>0</v>
      </c>
      <c r="N575">
        <f>0+D575+F575+G575+H575+I575+J575+K575+L575</f>
        <v>0</v>
      </c>
    </row>
    <row r="576" spans="3:14">
      <c r="C576" t="s">
        <v>67</v>
      </c>
      <c r="D576">
        <f>-37.69*$D$471</f>
        <v>0</v>
      </c>
      <c r="E576">
        <f>12.519*$E$471</f>
        <v>0</v>
      </c>
      <c r="F576">
        <f>-85.537*$F$471</f>
        <v>0</v>
      </c>
      <c r="G576">
        <f>-4.363*$G$471</f>
        <v>0</v>
      </c>
      <c r="H576">
        <f>0*$H$471</f>
        <v>0</v>
      </c>
      <c r="I576">
        <f>-5.411*$I$471</f>
        <v>0</v>
      </c>
      <c r="J576">
        <f>78.495*$J$471</f>
        <v>0</v>
      </c>
      <c r="K576">
        <f>-104.66*$K$471</f>
        <v>0</v>
      </c>
      <c r="L576">
        <f>-91.135*$L$471</f>
        <v>0</v>
      </c>
      <c r="M576">
        <f>0+D576+E576+G576+H576+I576+J576+K576+L576</f>
        <v>0</v>
      </c>
      <c r="N576">
        <f>0+D576+F576+G576+H576+I576+J576+K576+L576</f>
        <v>0</v>
      </c>
    </row>
    <row r="577" spans="3:14">
      <c r="C577" t="s">
        <v>67</v>
      </c>
      <c r="D577">
        <f>-25.969*$D$471</f>
        <v>0</v>
      </c>
      <c r="E577">
        <f>9.092*$E$471</f>
        <v>0</v>
      </c>
      <c r="F577">
        <f>-60.512*$F$471</f>
        <v>0</v>
      </c>
      <c r="G577">
        <f>-3.803*$G$471</f>
        <v>0</v>
      </c>
      <c r="H577">
        <f>0*$H$471</f>
        <v>0</v>
      </c>
      <c r="I577">
        <f>-3.689*$I$471</f>
        <v>0</v>
      </c>
      <c r="J577">
        <f>49.161*$J$471</f>
        <v>0</v>
      </c>
      <c r="K577">
        <f>-65.548*$K$471</f>
        <v>0</v>
      </c>
      <c r="L577">
        <f>-70.692*$L$471</f>
        <v>0</v>
      </c>
      <c r="M577">
        <f>0+D577+E577+G577+H577+I577+J577+K577+L577</f>
        <v>0</v>
      </c>
      <c r="N577">
        <f>0+D577+F577+G577+H577+I577+J577+K577+L577</f>
        <v>0</v>
      </c>
    </row>
    <row r="578" spans="3:14">
      <c r="C578" t="s">
        <v>68</v>
      </c>
      <c r="D578">
        <f>-25.777*$D$471</f>
        <v>0</v>
      </c>
      <c r="E578">
        <f>5.784*$E$471</f>
        <v>0</v>
      </c>
      <c r="F578">
        <f>-57.736*$F$471</f>
        <v>0</v>
      </c>
      <c r="G578">
        <f>-4.285*$G$471</f>
        <v>0</v>
      </c>
      <c r="H578">
        <f>0*$H$471</f>
        <v>0</v>
      </c>
      <c r="I578">
        <f>-3.64*$I$471</f>
        <v>0</v>
      </c>
      <c r="J578">
        <f>-14.229*$J$471</f>
        <v>0</v>
      </c>
      <c r="K578">
        <f>18.972*$K$471</f>
        <v>0</v>
      </c>
      <c r="L578">
        <f>-74.83*$L$471</f>
        <v>0</v>
      </c>
      <c r="M578">
        <f>0+D578+E578+G578+H578+I578+J578+K578+L578</f>
        <v>0</v>
      </c>
      <c r="N578">
        <f>0+D578+F578+G578+H578+I578+J578+K578+L578</f>
        <v>0</v>
      </c>
    </row>
    <row r="579" spans="3:14">
      <c r="C579" t="s">
        <v>68</v>
      </c>
      <c r="D579">
        <f>-13.678*$D$471</f>
        <v>0</v>
      </c>
      <c r="E579">
        <f>5.596*$E$471</f>
        <v>0</v>
      </c>
      <c r="F579">
        <f>-32.437*$F$471</f>
        <v>0</v>
      </c>
      <c r="G579">
        <f>-3.556*$G$471</f>
        <v>0</v>
      </c>
      <c r="H579">
        <f>0*$H$471</f>
        <v>0</v>
      </c>
      <c r="I579">
        <f>-1.837*$I$471</f>
        <v>0</v>
      </c>
      <c r="J579">
        <f>-94.003*$J$471</f>
        <v>0</v>
      </c>
      <c r="K579">
        <f>125.337*$K$471</f>
        <v>0</v>
      </c>
      <c r="L579">
        <f>-55.473*$L$471</f>
        <v>0</v>
      </c>
      <c r="M579">
        <f>0+D579+E579+G579+H579+I579+J579+K579+L579</f>
        <v>0</v>
      </c>
      <c r="N579">
        <f>0+D579+F579+G579+H579+I579+J579+K579+L579</f>
        <v>0</v>
      </c>
    </row>
    <row r="580" spans="3:14">
      <c r="C580" t="s">
        <v>69</v>
      </c>
      <c r="D580">
        <f>-13.796*$D$471</f>
        <v>0</v>
      </c>
      <c r="E580">
        <f>2.326*$E$471</f>
        <v>0</v>
      </c>
      <c r="F580">
        <f>-29.671*$F$471</f>
        <v>0</v>
      </c>
      <c r="G580">
        <f>-3.326*$G$471</f>
        <v>0</v>
      </c>
      <c r="H580">
        <f>0*$H$471</f>
        <v>0</v>
      </c>
      <c r="I580">
        <f>-1.87*$I$471</f>
        <v>0</v>
      </c>
      <c r="J580">
        <f>-138.502*$J$471</f>
        <v>0</v>
      </c>
      <c r="K580">
        <f>184.67*$K$471</f>
        <v>0</v>
      </c>
      <c r="L580">
        <f>-52.707*$L$471</f>
        <v>0</v>
      </c>
      <c r="M580">
        <f>0+D580+E580+G580+H580+I580+J580+K580+L580</f>
        <v>0</v>
      </c>
      <c r="N580">
        <f>0+D580+F580+G580+H580+I580+J580+K580+L580</f>
        <v>0</v>
      </c>
    </row>
    <row r="585" spans="3:14">
      <c r="C585" t="s">
        <v>74</v>
      </c>
    </row>
    <row r="587" spans="3:14">
      <c r="C587" t="s">
        <v>2</v>
      </c>
    </row>
    <row r="588" spans="3:14">
      <c r="C588" t="s">
        <v>3</v>
      </c>
      <c r="D588" t="s">
        <v>4</v>
      </c>
      <c r="E588" t="s">
        <v>5</v>
      </c>
      <c r="F588" t="s">
        <v>6</v>
      </c>
      <c r="G588" t="s">
        <v>7</v>
      </c>
      <c r="H588" t="s">
        <v>8</v>
      </c>
      <c r="I588" t="s">
        <v>9</v>
      </c>
      <c r="J588" t="s">
        <v>10</v>
      </c>
      <c r="K588" t="s">
        <v>11</v>
      </c>
      <c r="L588" t="s">
        <v>12</v>
      </c>
      <c r="M588" t="s">
        <v>13</v>
      </c>
      <c r="N588" t="s">
        <v>14</v>
      </c>
    </row>
    <row r="589" spans="3:14">
      <c r="C589" t="s">
        <v>15</v>
      </c>
      <c r="D589">
        <f>2.3825*$D$587</f>
        <v>0</v>
      </c>
      <c r="E589">
        <f>81.2744*$E$587</f>
        <v>0</v>
      </c>
      <c r="F589">
        <f>-60.4272*$F$587</f>
        <v>0</v>
      </c>
      <c r="G589">
        <f>-7.4743*$G$587</f>
        <v>0</v>
      </c>
      <c r="H589">
        <f>0*$H$587</f>
        <v>0</v>
      </c>
      <c r="I589">
        <f>0.778*$I$587</f>
        <v>0</v>
      </c>
      <c r="J589">
        <f>-17.9146*$J$587</f>
        <v>0</v>
      </c>
      <c r="K589">
        <f>23.8861*$K$587</f>
        <v>0</v>
      </c>
      <c r="L589">
        <f>-0.0197*$L$587</f>
        <v>0</v>
      </c>
      <c r="M589">
        <f>0+D589+E589+G589+H589+I589+J589+K589+L589</f>
        <v>0</v>
      </c>
      <c r="N589">
        <f>0+D589+F589+G589+H589+I589+J589+K589+L589</f>
        <v>0</v>
      </c>
    </row>
    <row r="590" spans="3:14">
      <c r="C590" t="s">
        <v>16</v>
      </c>
      <c r="D590">
        <f>-4.6229*$D$587</f>
        <v>0</v>
      </c>
      <c r="E590">
        <f>80.451*$E$587</f>
        <v>0</v>
      </c>
      <c r="F590">
        <f>-58.3458*$F$587</f>
        <v>0</v>
      </c>
      <c r="G590">
        <f>-6.9528*$G$587</f>
        <v>0</v>
      </c>
      <c r="H590">
        <f>0*$H$587</f>
        <v>0</v>
      </c>
      <c r="I590">
        <f>0.1041*$I$587</f>
        <v>0</v>
      </c>
      <c r="J590">
        <f>-18.6158*$J$587</f>
        <v>0</v>
      </c>
      <c r="K590">
        <f>24.8211*$K$587</f>
        <v>0</v>
      </c>
      <c r="L590">
        <f>-0.02*$L$587</f>
        <v>0</v>
      </c>
      <c r="M590">
        <f>0+D590+E590+G590+H590+I590+J590+K590+L590</f>
        <v>0</v>
      </c>
      <c r="N590">
        <f>0+D590+F590+G590+H590+I590+J590+K590+L590</f>
        <v>0</v>
      </c>
    </row>
    <row r="591" spans="3:14">
      <c r="C591" t="s">
        <v>16</v>
      </c>
      <c r="D591">
        <f>-2.1574*$D$587</f>
        <v>0</v>
      </c>
      <c r="E591">
        <f>83.1619*$E$587</f>
        <v>0</v>
      </c>
      <c r="F591">
        <f>-63.3992*$F$587</f>
        <v>0</v>
      </c>
      <c r="G591">
        <f>-7.0033*$G$587</f>
        <v>0</v>
      </c>
      <c r="H591">
        <f>0*$H$587</f>
        <v>0</v>
      </c>
      <c r="I591">
        <f>-0.0233*$I$587</f>
        <v>0</v>
      </c>
      <c r="J591">
        <f>-23.1401*$J$587</f>
        <v>0</v>
      </c>
      <c r="K591">
        <f>30.8534*$K$587</f>
        <v>0</v>
      </c>
      <c r="L591">
        <f>-0.0224*$L$587</f>
        <v>0</v>
      </c>
      <c r="M591">
        <f>0+D591+E591+G591+H591+I591+J591+K591+L591</f>
        <v>0</v>
      </c>
      <c r="N591">
        <f>0+D591+F591+G591+H591+I591+J591+K591+L591</f>
        <v>0</v>
      </c>
    </row>
    <row r="592" spans="3:14">
      <c r="C592" t="s">
        <v>17</v>
      </c>
      <c r="D592">
        <f>-5.9685*$D$587</f>
        <v>0</v>
      </c>
      <c r="E592">
        <f>82.8349*$E$587</f>
        <v>0</v>
      </c>
      <c r="F592">
        <f>-65.9812*$F$587</f>
        <v>0</v>
      </c>
      <c r="G592">
        <f>-6.4536*$G$587</f>
        <v>0</v>
      </c>
      <c r="H592">
        <f>0*$H$587</f>
        <v>0</v>
      </c>
      <c r="I592">
        <f>-0.2086*$I$587</f>
        <v>0</v>
      </c>
      <c r="J592">
        <f>-32.641*$J$587</f>
        <v>0</v>
      </c>
      <c r="K592">
        <f>43.5213*$K$587</f>
        <v>0</v>
      </c>
      <c r="L592">
        <f>-0.0245*$L$587</f>
        <v>0</v>
      </c>
      <c r="M592">
        <f>0+D592+E592+G592+H592+I592+J592+K592+L592</f>
        <v>0</v>
      </c>
      <c r="N592">
        <f>0+D592+F592+G592+H592+I592+J592+K592+L592</f>
        <v>0</v>
      </c>
    </row>
    <row r="593" spans="3:14">
      <c r="C593" t="s">
        <v>17</v>
      </c>
      <c r="D593">
        <f>-3.1152*$D$587</f>
        <v>0</v>
      </c>
      <c r="E593">
        <f>82.4212*$E$587</f>
        <v>0</v>
      </c>
      <c r="F593">
        <f>-69.8588*$F$587</f>
        <v>0</v>
      </c>
      <c r="G593">
        <f>-6.0786*$G$587</f>
        <v>0</v>
      </c>
      <c r="H593">
        <f>0*$H$587</f>
        <v>0</v>
      </c>
      <c r="I593">
        <f>-0.2979*$I$587</f>
        <v>0</v>
      </c>
      <c r="J593">
        <f>-38.8244*$J$587</f>
        <v>0</v>
      </c>
      <c r="K593">
        <f>51.7659*$K$587</f>
        <v>0</v>
      </c>
      <c r="L593">
        <f>-0.0264*$L$587</f>
        <v>0</v>
      </c>
      <c r="M593">
        <f>0+D593+E593+G593+H593+I593+J593+K593+L593</f>
        <v>0</v>
      </c>
      <c r="N593">
        <f>0+D593+F593+G593+H593+I593+J593+K593+L593</f>
        <v>0</v>
      </c>
    </row>
    <row r="594" spans="3:14">
      <c r="C594" t="s">
        <v>18</v>
      </c>
      <c r="D594">
        <f>-6.4198*$D$587</f>
        <v>0</v>
      </c>
      <c r="E594">
        <f>81.1166*$E$587</f>
        <v>0</v>
      </c>
      <c r="F594">
        <f>-72.6225*$F$587</f>
        <v>0</v>
      </c>
      <c r="G594">
        <f>-5.1527*$G$587</f>
        <v>0</v>
      </c>
      <c r="H594">
        <f>0*$H$587</f>
        <v>0</v>
      </c>
      <c r="I594">
        <f>-0.4269*$I$587</f>
        <v>0</v>
      </c>
      <c r="J594">
        <f>-45.0358*$J$587</f>
        <v>0</v>
      </c>
      <c r="K594">
        <f>60.0477*$K$587</f>
        <v>0</v>
      </c>
      <c r="L594">
        <f>-0.0283*$L$587</f>
        <v>0</v>
      </c>
      <c r="M594">
        <f>0+D594+E594+G594+H594+I594+J594+K594+L594</f>
        <v>0</v>
      </c>
      <c r="N594">
        <f>0+D594+F594+G594+H594+I594+J594+K594+L594</f>
        <v>0</v>
      </c>
    </row>
    <row r="595" spans="3:14">
      <c r="C595" t="s">
        <v>18</v>
      </c>
      <c r="D595">
        <f>-3.1013*$D$587</f>
        <v>0</v>
      </c>
      <c r="E595">
        <f>79.5777*$E$587</f>
        <v>0</v>
      </c>
      <c r="F595">
        <f>-85.9251*$F$587</f>
        <v>0</v>
      </c>
      <c r="G595">
        <f>-4.3811*$G$587</f>
        <v>0</v>
      </c>
      <c r="H595">
        <f>0*$H$587</f>
        <v>0</v>
      </c>
      <c r="I595">
        <f>-0.473*$I$587</f>
        <v>0</v>
      </c>
      <c r="J595">
        <f>-49.3753*$J$587</f>
        <v>0</v>
      </c>
      <c r="K595">
        <f>65.8338*$K$587</f>
        <v>0</v>
      </c>
      <c r="L595">
        <f>-0.03*$L$587</f>
        <v>0</v>
      </c>
      <c r="M595">
        <f>0+D595+E595+G595+H595+I595+J595+K595+L595</f>
        <v>0</v>
      </c>
      <c r="N595">
        <f>0+D595+F595+G595+H595+I595+J595+K595+L595</f>
        <v>0</v>
      </c>
    </row>
    <row r="596" spans="3:14">
      <c r="C596" t="s">
        <v>19</v>
      </c>
      <c r="D596">
        <f>-5.9265*$D$587</f>
        <v>0</v>
      </c>
      <c r="E596">
        <f>77.7223*$E$587</f>
        <v>0</v>
      </c>
      <c r="F596">
        <f>-77.6409*$F$587</f>
        <v>0</v>
      </c>
      <c r="G596">
        <f>-3.0157*$G$587</f>
        <v>0</v>
      </c>
      <c r="H596">
        <f>0*$H$587</f>
        <v>0</v>
      </c>
      <c r="I596">
        <f>-0.5619*$I$587</f>
        <v>0</v>
      </c>
      <c r="J596">
        <f>-54.5235*$J$587</f>
        <v>0</v>
      </c>
      <c r="K596">
        <f>72.698*$K$587</f>
        <v>0</v>
      </c>
      <c r="L596">
        <f>-0.032*$L$587</f>
        <v>0</v>
      </c>
      <c r="M596">
        <f>0+D596+E596+G596+H596+I596+J596+K596+L596</f>
        <v>0</v>
      </c>
      <c r="N596">
        <f>0+D596+F596+G596+H596+I596+J596+K596+L596</f>
        <v>0</v>
      </c>
    </row>
    <row r="597" spans="3:14">
      <c r="C597" t="s">
        <v>19</v>
      </c>
      <c r="D597">
        <f>-2.1924*$D$587</f>
        <v>0</v>
      </c>
      <c r="E597">
        <f>75.0709*$E$587</f>
        <v>0</v>
      </c>
      <c r="F597">
        <f>-79.5549*$F$587</f>
        <v>0</v>
      </c>
      <c r="G597">
        <f>-1.9396*$G$587</f>
        <v>0</v>
      </c>
      <c r="H597">
        <f>0*$H$587</f>
        <v>0</v>
      </c>
      <c r="I597">
        <f>-0.5641*$I$587</f>
        <v>0</v>
      </c>
      <c r="J597">
        <f>-56.7218*$J$587</f>
        <v>0</v>
      </c>
      <c r="K597">
        <f>75.629*$K$587</f>
        <v>0</v>
      </c>
      <c r="L597">
        <f>-0.0335*$L$587</f>
        <v>0</v>
      </c>
      <c r="M597">
        <f>0+D597+E597+G597+H597+I597+J597+K597+L597</f>
        <v>0</v>
      </c>
      <c r="N597">
        <f>0+D597+F597+G597+H597+I597+J597+K597+L597</f>
        <v>0</v>
      </c>
    </row>
    <row r="598" spans="3:14">
      <c r="C598" t="s">
        <v>20</v>
      </c>
      <c r="D598">
        <f>-4.7017*$D$587</f>
        <v>0</v>
      </c>
      <c r="E598">
        <f>72.9201*$E$587</f>
        <v>0</v>
      </c>
      <c r="F598">
        <f>-96.6885*$F$587</f>
        <v>0</v>
      </c>
      <c r="G598">
        <f>-0.1447*$G$587</f>
        <v>0</v>
      </c>
      <c r="H598">
        <f>0*$H$587</f>
        <v>0</v>
      </c>
      <c r="I598">
        <f>-0.6197*$I$587</f>
        <v>0</v>
      </c>
      <c r="J598">
        <f>-61.5707*$J$587</f>
        <v>0</v>
      </c>
      <c r="K598">
        <f>82.0943*$K$587</f>
        <v>0</v>
      </c>
      <c r="L598">
        <f>-0.0351*$L$587</f>
        <v>0</v>
      </c>
      <c r="M598">
        <f>0+D598+E598+G598+H598+I598+J598+K598+L598</f>
        <v>0</v>
      </c>
      <c r="N598">
        <f>0+D598+F598+G598+H598+I598+J598+K598+L598</f>
        <v>0</v>
      </c>
    </row>
    <row r="599" spans="3:14">
      <c r="C599" t="s">
        <v>20</v>
      </c>
      <c r="D599">
        <f>-3.7888*$D$587</f>
        <v>0</v>
      </c>
      <c r="E599">
        <f>82.4092*$E$587</f>
        <v>0</v>
      </c>
      <c r="F599">
        <f>-67.9641*$F$587</f>
        <v>0</v>
      </c>
      <c r="G599">
        <f>-9.0011*$G$587</f>
        <v>0</v>
      </c>
      <c r="H599">
        <f>0*$H$587</f>
        <v>0</v>
      </c>
      <c r="I599">
        <f>-0.0661*$I$587</f>
        <v>0</v>
      </c>
      <c r="J599">
        <f>-8.8124*$J$587</f>
        <v>0</v>
      </c>
      <c r="K599">
        <f>11.7498*$K$587</f>
        <v>0</v>
      </c>
      <c r="L599">
        <f>-0.037*$L$587</f>
        <v>0</v>
      </c>
      <c r="M599">
        <f>0+D599+E599+G599+H599+I599+J599+K599+L599</f>
        <v>0</v>
      </c>
      <c r="N599">
        <f>0+D599+F599+G599+H599+I599+J599+K599+L599</f>
        <v>0</v>
      </c>
    </row>
    <row r="600" spans="3:14">
      <c r="C600" t="s">
        <v>21</v>
      </c>
      <c r="D600">
        <f>-6.2373*$D$587</f>
        <v>0</v>
      </c>
      <c r="E600">
        <f>78.043*$E$587</f>
        <v>0</v>
      </c>
      <c r="F600">
        <f>-65.0764*$F$587</f>
        <v>0</v>
      </c>
      <c r="G600">
        <f>-7.0903*$G$587</f>
        <v>0</v>
      </c>
      <c r="H600">
        <f>0*$H$587</f>
        <v>0</v>
      </c>
      <c r="I600">
        <f>-0.1204*$I$587</f>
        <v>0</v>
      </c>
      <c r="J600">
        <f>-12.5607*$J$587</f>
        <v>0</v>
      </c>
      <c r="K600">
        <f>16.7476*$K$587</f>
        <v>0</v>
      </c>
      <c r="L600">
        <f>-0.0377*$L$587</f>
        <v>0</v>
      </c>
      <c r="M600">
        <f>0+D600+E600+G600+H600+I600+J600+K600+L600</f>
        <v>0</v>
      </c>
      <c r="N600">
        <f>0+D600+F600+G600+H600+I600+J600+K600+L600</f>
        <v>0</v>
      </c>
    </row>
    <row r="601" spans="3:14">
      <c r="C601" t="s">
        <v>21</v>
      </c>
      <c r="D601">
        <f>-2.3366*$D$587</f>
        <v>0</v>
      </c>
      <c r="E601">
        <f>74.5637*$E$587</f>
        <v>0</v>
      </c>
      <c r="F601">
        <f>-64.7943*$F$587</f>
        <v>0</v>
      </c>
      <c r="G601">
        <f>-5.8481*$G$587</f>
        <v>0</v>
      </c>
      <c r="H601">
        <f>0*$H$587</f>
        <v>0</v>
      </c>
      <c r="I601">
        <f>-0.109*$I$587</f>
        <v>0</v>
      </c>
      <c r="J601">
        <f>-13.2293*$J$587</f>
        <v>0</v>
      </c>
      <c r="K601">
        <f>17.6391*$K$587</f>
        <v>0</v>
      </c>
      <c r="L601">
        <f>-0.0386*$L$587</f>
        <v>0</v>
      </c>
      <c r="M601">
        <f>0+D601+E601+G601+H601+I601+J601+K601+L601</f>
        <v>0</v>
      </c>
      <c r="N601">
        <f>0+D601+F601+G601+H601+I601+J601+K601+L601</f>
        <v>0</v>
      </c>
    </row>
    <row r="602" spans="3:14">
      <c r="C602" t="s">
        <v>22</v>
      </c>
      <c r="D602">
        <f>-4.7894*$D$587</f>
        <v>0</v>
      </c>
      <c r="E602">
        <f>71.5957*$E$587</f>
        <v>0</v>
      </c>
      <c r="F602">
        <f>-62.7752*$F$587</f>
        <v>0</v>
      </c>
      <c r="G602">
        <f>-4.1943*$G$587</f>
        <v>0</v>
      </c>
      <c r="H602">
        <f>0*$H$587</f>
        <v>0</v>
      </c>
      <c r="I602">
        <f>-0.1619*$I$587</f>
        <v>0</v>
      </c>
      <c r="J602">
        <f>-15.9202*$J$587</f>
        <v>0</v>
      </c>
      <c r="K602">
        <f>21.2269*$K$587</f>
        <v>0</v>
      </c>
      <c r="L602">
        <f>-0.0391*$L$587</f>
        <v>0</v>
      </c>
      <c r="M602">
        <f>0+D602+E602+G602+H602+I602+J602+K602+L602</f>
        <v>0</v>
      </c>
      <c r="N602">
        <f>0+D602+F602+G602+H602+I602+J602+K602+L602</f>
        <v>0</v>
      </c>
    </row>
    <row r="603" spans="3:14">
      <c r="C603" t="s">
        <v>22</v>
      </c>
      <c r="D603">
        <f>-0.9516*$D$587</f>
        <v>0</v>
      </c>
      <c r="E603">
        <f>68.6982*$E$587</f>
        <v>0</v>
      </c>
      <c r="F603">
        <f>-62.3898*$F$587</f>
        <v>0</v>
      </c>
      <c r="G603">
        <f>-3.0093*$G$587</f>
        <v>0</v>
      </c>
      <c r="H603">
        <f>0*$H$587</f>
        <v>0</v>
      </c>
      <c r="I603">
        <f>-0.1585*$I$587</f>
        <v>0</v>
      </c>
      <c r="J603">
        <f>-16.977*$J$587</f>
        <v>0</v>
      </c>
      <c r="K603">
        <f>22.636*$K$587</f>
        <v>0</v>
      </c>
      <c r="L603">
        <f>-0.0398*$L$587</f>
        <v>0</v>
      </c>
      <c r="M603">
        <f>0+D603+E603+G603+H603+I603+J603+K603+L603</f>
        <v>0</v>
      </c>
      <c r="N603">
        <f>0+D603+F603+G603+H603+I603+J603+K603+L603</f>
        <v>0</v>
      </c>
    </row>
    <row r="604" spans="3:14">
      <c r="C604" t="s">
        <v>23</v>
      </c>
      <c r="D604">
        <f>-3.3501*$D$587</f>
        <v>0</v>
      </c>
      <c r="E604">
        <f>67.137*$E$587</f>
        <v>0</v>
      </c>
      <c r="F604">
        <f>-60.4384*$F$587</f>
        <v>0</v>
      </c>
      <c r="G604">
        <f>-1.5036*$G$587</f>
        <v>0</v>
      </c>
      <c r="H604">
        <f>0*$H$587</f>
        <v>0</v>
      </c>
      <c r="I604">
        <f>-0.1914*$I$587</f>
        <v>0</v>
      </c>
      <c r="J604">
        <f>-19.0378*$J$587</f>
        <v>0</v>
      </c>
      <c r="K604">
        <f>25.3838*$K$587</f>
        <v>0</v>
      </c>
      <c r="L604">
        <f>-0.0407*$L$587</f>
        <v>0</v>
      </c>
      <c r="M604">
        <f>0+D604+E604+G604+H604+I604+J604+K604+L604</f>
        <v>0</v>
      </c>
      <c r="N604">
        <f>0+D604+F604+G604+H604+I604+J604+K604+L604</f>
        <v>0</v>
      </c>
    </row>
    <row r="605" spans="3:14">
      <c r="C605" t="s">
        <v>23</v>
      </c>
      <c r="D605">
        <f>0.5298*$D$587</f>
        <v>0</v>
      </c>
      <c r="E605">
        <f>64.7618*$E$587</f>
        <v>0</v>
      </c>
      <c r="F605">
        <f>-59.9598*$F$587</f>
        <v>0</v>
      </c>
      <c r="G605">
        <f>-0.3256*$G$587</f>
        <v>0</v>
      </c>
      <c r="H605">
        <f>0*$H$587</f>
        <v>0</v>
      </c>
      <c r="I605">
        <f>-0.181*$I$587</f>
        <v>0</v>
      </c>
      <c r="J605">
        <f>-20.1048*$J$587</f>
        <v>0</v>
      </c>
      <c r="K605">
        <f>26.8063*$K$587</f>
        <v>0</v>
      </c>
      <c r="L605">
        <f>-0.0414*$L$587</f>
        <v>0</v>
      </c>
      <c r="M605">
        <f>0+D605+E605+G605+H605+I605+J605+K605+L605</f>
        <v>0</v>
      </c>
      <c r="N605">
        <f>0+D605+F605+G605+H605+I605+J605+K605+L605</f>
        <v>0</v>
      </c>
    </row>
    <row r="606" spans="3:14">
      <c r="C606" t="s">
        <v>24</v>
      </c>
      <c r="D606">
        <f>-1.8126*$D$587</f>
        <v>0</v>
      </c>
      <c r="E606">
        <f>60.5326*$E$587</f>
        <v>0</v>
      </c>
      <c r="F606">
        <f>-57.6951*$F$587</f>
        <v>0</v>
      </c>
      <c r="G606">
        <f>1.3333*$G$587</f>
        <v>0</v>
      </c>
      <c r="H606">
        <f>0*$H$587</f>
        <v>0</v>
      </c>
      <c r="I606">
        <f>-0.2171*$I$587</f>
        <v>0</v>
      </c>
      <c r="J606">
        <f>-22.6788*$J$587</f>
        <v>0</v>
      </c>
      <c r="K606">
        <f>30.2383*$K$587</f>
        <v>0</v>
      </c>
      <c r="L606">
        <f>-0.0427*$L$587</f>
        <v>0</v>
      </c>
      <c r="M606">
        <f>0+D606+E606+G606+H606+I606+J606+K606+L606</f>
        <v>0</v>
      </c>
      <c r="N606">
        <f>0+D606+F606+G606+H606+I606+J606+K606+L606</f>
        <v>0</v>
      </c>
    </row>
    <row r="607" spans="3:14">
      <c r="C607" t="s">
        <v>24</v>
      </c>
      <c r="D607">
        <f>2.2202*$D$587</f>
        <v>0</v>
      </c>
      <c r="E607">
        <f>59.9899*$E$587</f>
        <v>0</v>
      </c>
      <c r="F607">
        <f>-56.3626*$F$587</f>
        <v>0</v>
      </c>
      <c r="G607">
        <f>2.5544*$G$587</f>
        <v>0</v>
      </c>
      <c r="H607">
        <f>0*$H$587</f>
        <v>0</v>
      </c>
      <c r="I607">
        <f>-0.1835*$I$587</f>
        <v>0</v>
      </c>
      <c r="J607">
        <f>-23.4156*$J$587</f>
        <v>0</v>
      </c>
      <c r="K607">
        <f>31.2208*$K$587</f>
        <v>0</v>
      </c>
      <c r="L607">
        <f>-0.0433*$L$587</f>
        <v>0</v>
      </c>
      <c r="M607">
        <f>0+D607+E607+G607+H607+I607+J607+K607+L607</f>
        <v>0</v>
      </c>
      <c r="N607">
        <f>0+D607+F607+G607+H607+I607+J607+K607+L607</f>
        <v>0</v>
      </c>
    </row>
    <row r="608" spans="3:14">
      <c r="C608" t="s">
        <v>25</v>
      </c>
      <c r="D608">
        <f>0.0497*$D$587</f>
        <v>0</v>
      </c>
      <c r="E608">
        <f>54.9137*$E$587</f>
        <v>0</v>
      </c>
      <c r="F608">
        <f>-52.9155*$F$587</f>
        <v>0</v>
      </c>
      <c r="G608">
        <f>4.4753*$G$587</f>
        <v>0</v>
      </c>
      <c r="H608">
        <f>0*$H$587</f>
        <v>0</v>
      </c>
      <c r="I608">
        <f>-0.1958*$I$587</f>
        <v>0</v>
      </c>
      <c r="J608">
        <f>-27.032*$J$587</f>
        <v>0</v>
      </c>
      <c r="K608">
        <f>36.0427*$K$587</f>
        <v>0</v>
      </c>
      <c r="L608">
        <f>-0.0444*$L$587</f>
        <v>0</v>
      </c>
      <c r="M608">
        <f>0+D608+E608+G608+H608+I608+J608+K608+L608</f>
        <v>0</v>
      </c>
      <c r="N608">
        <f>0+D608+F608+G608+H608+I608+J608+K608+L608</f>
        <v>0</v>
      </c>
    </row>
    <row r="609" spans="3:14">
      <c r="C609" t="s">
        <v>25</v>
      </c>
      <c r="D609">
        <f>-1.1271*$D$587</f>
        <v>0</v>
      </c>
      <c r="E609">
        <f>50.7075*$E$587</f>
        <v>0</v>
      </c>
      <c r="F609">
        <f>-47.8099*$F$587</f>
        <v>0</v>
      </c>
      <c r="G609">
        <f>-5.8173*$G$587</f>
        <v>0</v>
      </c>
      <c r="H609">
        <f>0*$H$587</f>
        <v>0</v>
      </c>
      <c r="I609">
        <f>0.1464*$I$587</f>
        <v>0</v>
      </c>
      <c r="J609">
        <f>13.7569*$J$587</f>
        <v>0</v>
      </c>
      <c r="K609">
        <f>-18.3425*$K$587</f>
        <v>0</v>
      </c>
      <c r="L609">
        <f>-0.0449*$L$587</f>
        <v>0</v>
      </c>
      <c r="M609">
        <f>0+D609+E609+G609+H609+I609+J609+K609+L609</f>
        <v>0</v>
      </c>
      <c r="N609">
        <f>0+D609+F609+G609+H609+I609+J609+K609+L609</f>
        <v>0</v>
      </c>
    </row>
    <row r="610" spans="3:14">
      <c r="C610" t="s">
        <v>26</v>
      </c>
      <c r="D610">
        <f>-3.3625*$D$587</f>
        <v>0</v>
      </c>
      <c r="E610">
        <f>46.1275*$E$587</f>
        <v>0</v>
      </c>
      <c r="F610">
        <f>-51.6419*$F$587</f>
        <v>0</v>
      </c>
      <c r="G610">
        <f>-3.9015*$G$587</f>
        <v>0</v>
      </c>
      <c r="H610">
        <f>0*$H$587</f>
        <v>0</v>
      </c>
      <c r="I610">
        <f>0.1252*$I$587</f>
        <v>0</v>
      </c>
      <c r="J610">
        <f>10.1298*$J$587</f>
        <v>0</v>
      </c>
      <c r="K610">
        <f>-13.5065*$K$587</f>
        <v>0</v>
      </c>
      <c r="L610">
        <f>-0.0448*$L$587</f>
        <v>0</v>
      </c>
      <c r="M610">
        <f>0+D610+E610+G610+H610+I610+J610+K610+L610</f>
        <v>0</v>
      </c>
      <c r="N610">
        <f>0+D610+F610+G610+H610+I610+J610+K610+L610</f>
        <v>0</v>
      </c>
    </row>
    <row r="611" spans="3:14">
      <c r="C611" t="s">
        <v>26</v>
      </c>
      <c r="D611">
        <f>0.4826*$D$587</f>
        <v>0</v>
      </c>
      <c r="E611">
        <f>47.0584*$E$587</f>
        <v>0</v>
      </c>
      <c r="F611">
        <f>-53.7023*$F$587</f>
        <v>0</v>
      </c>
      <c r="G611">
        <f>-2.7077*$G$587</f>
        <v>0</v>
      </c>
      <c r="H611">
        <f>0*$H$587</f>
        <v>0</v>
      </c>
      <c r="I611">
        <f>0.134*$I$587</f>
        <v>0</v>
      </c>
      <c r="J611">
        <f>9.2242*$J$587</f>
        <v>0</v>
      </c>
      <c r="K611">
        <f>-12.299*$K$587</f>
        <v>0</v>
      </c>
      <c r="L611">
        <f>-0.0448*$L$587</f>
        <v>0</v>
      </c>
      <c r="M611">
        <f>0+D611+E611+G611+H611+I611+J611+K611+L611</f>
        <v>0</v>
      </c>
      <c r="N611">
        <f>0+D611+F611+G611+H611+I611+J611+K611+L611</f>
        <v>0</v>
      </c>
    </row>
    <row r="612" spans="3:14">
      <c r="C612" t="s">
        <v>27</v>
      </c>
      <c r="D612">
        <f>-2.1216*$D$587</f>
        <v>0</v>
      </c>
      <c r="E612">
        <f>48.8201*$E$587</f>
        <v>0</v>
      </c>
      <c r="F612">
        <f>-58.7211*$F$587</f>
        <v>0</v>
      </c>
      <c r="G612">
        <f>-1.0844*$G$587</f>
        <v>0</v>
      </c>
      <c r="H612">
        <f>0*$H$587</f>
        <v>0</v>
      </c>
      <c r="I612">
        <f>0.0632*$I$587</f>
        <v>0</v>
      </c>
      <c r="J612">
        <f>6.4495*$J$587</f>
        <v>0</v>
      </c>
      <c r="K612">
        <f>-8.5994*$K$587</f>
        <v>0</v>
      </c>
      <c r="L612">
        <f>-0.0442*$L$587</f>
        <v>0</v>
      </c>
      <c r="M612">
        <f>0+D612+E612+G612+H612+I612+J612+K612+L612</f>
        <v>0</v>
      </c>
      <c r="N612">
        <f>0+D612+F612+G612+H612+I612+J612+K612+L612</f>
        <v>0</v>
      </c>
    </row>
    <row r="613" spans="3:14">
      <c r="C613" t="s">
        <v>27</v>
      </c>
      <c r="D613">
        <f>1.3722*$D$587</f>
        <v>0</v>
      </c>
      <c r="E613">
        <f>49.3994*$E$587</f>
        <v>0</v>
      </c>
      <c r="F613">
        <f>-60.6219*$F$587</f>
        <v>0</v>
      </c>
      <c r="G613">
        <f>0.0432*$G$587</f>
        <v>0</v>
      </c>
      <c r="H613">
        <f>0*$H$587</f>
        <v>0</v>
      </c>
      <c r="I613">
        <f>0.0223*$I$587</f>
        <v>0</v>
      </c>
      <c r="J613">
        <f>5.1026*$J$587</f>
        <v>0</v>
      </c>
      <c r="K613">
        <f>-6.8034*$K$587</f>
        <v>0</v>
      </c>
      <c r="L613">
        <f>-0.044*$L$587</f>
        <v>0</v>
      </c>
      <c r="M613">
        <f>0+D613+E613+G613+H613+I613+J613+K613+L613</f>
        <v>0</v>
      </c>
      <c r="N613">
        <f>0+D613+F613+G613+H613+I613+J613+K613+L613</f>
        <v>0</v>
      </c>
    </row>
    <row r="614" spans="3:14">
      <c r="C614" t="s">
        <v>28</v>
      </c>
      <c r="D614">
        <f>-1.5024*$D$587</f>
        <v>0</v>
      </c>
      <c r="E614">
        <f>51.9113*$E$587</f>
        <v>0</v>
      </c>
      <c r="F614">
        <f>-62.8465*$F$587</f>
        <v>0</v>
      </c>
      <c r="G614">
        <f>1.4861*$G$587</f>
        <v>0</v>
      </c>
      <c r="H614">
        <f>0*$H$587</f>
        <v>0</v>
      </c>
      <c r="I614">
        <f>-0.0741*$I$587</f>
        <v>0</v>
      </c>
      <c r="J614">
        <f>2.7044*$J$587</f>
        <v>0</v>
      </c>
      <c r="K614">
        <f>-3.6059*$K$587</f>
        <v>0</v>
      </c>
      <c r="L614">
        <f>-0.0438*$L$587</f>
        <v>0</v>
      </c>
      <c r="M614">
        <f>0+D614+E614+G614+H614+I614+J614+K614+L614</f>
        <v>0</v>
      </c>
      <c r="N614">
        <f>0+D614+F614+G614+H614+I614+J614+K614+L614</f>
        <v>0</v>
      </c>
    </row>
    <row r="615" spans="3:14">
      <c r="C615" t="s">
        <v>28</v>
      </c>
      <c r="D615">
        <f>1.7515*$D$587</f>
        <v>0</v>
      </c>
      <c r="E615">
        <f>53.1315*$E$587</f>
        <v>0</v>
      </c>
      <c r="F615">
        <f>-65.9546*$F$587</f>
        <v>0</v>
      </c>
      <c r="G615">
        <f>2.605*$G$587</f>
        <v>0</v>
      </c>
      <c r="H615">
        <f>0*$H$587</f>
        <v>0</v>
      </c>
      <c r="I615">
        <f>-0.1493*$I$587</f>
        <v>0</v>
      </c>
      <c r="J615">
        <f>1.3466*$J$587</f>
        <v>0</v>
      </c>
      <c r="K615">
        <f>-1.7955*$K$587</f>
        <v>0</v>
      </c>
      <c r="L615">
        <f>-0.0436*$L$587</f>
        <v>0</v>
      </c>
      <c r="M615">
        <f>0+D615+E615+G615+H615+I615+J615+K615+L615</f>
        <v>0</v>
      </c>
      <c r="N615">
        <f>0+D615+F615+G615+H615+I615+J615+K615+L615</f>
        <v>0</v>
      </c>
    </row>
    <row r="616" spans="3:14">
      <c r="C616" t="s">
        <v>29</v>
      </c>
      <c r="D616">
        <f>-1.3225*$D$587</f>
        <v>0</v>
      </c>
      <c r="E616">
        <f>56.2919*$E$587</f>
        <v>0</v>
      </c>
      <c r="F616">
        <f>-69.5625*$F$587</f>
        <v>0</v>
      </c>
      <c r="G616">
        <f>4.2031*$G$587</f>
        <v>0</v>
      </c>
      <c r="H616">
        <f>0*$H$587</f>
        <v>0</v>
      </c>
      <c r="I616">
        <f>-0.2872*$I$587</f>
        <v>0</v>
      </c>
      <c r="J616">
        <f>-1.496*$J$587</f>
        <v>0</v>
      </c>
      <c r="K616">
        <f>1.9947*$K$587</f>
        <v>0</v>
      </c>
      <c r="L616">
        <f>-0.0438*$L$587</f>
        <v>0</v>
      </c>
      <c r="M616">
        <f>0+D616+E616+G616+H616+I616+J616+K616+L616</f>
        <v>0</v>
      </c>
      <c r="N616">
        <f>0+D616+F616+G616+H616+I616+J616+K616+L616</f>
        <v>0</v>
      </c>
    </row>
    <row r="617" spans="3:14">
      <c r="C617" t="s">
        <v>29</v>
      </c>
      <c r="D617">
        <f>1.8154*$D$587</f>
        <v>0</v>
      </c>
      <c r="E617">
        <f>57.4627*$E$587</f>
        <v>0</v>
      </c>
      <c r="F617">
        <f>-74.4567*$F$587</f>
        <v>0</v>
      </c>
      <c r="G617">
        <f>5.3705*$G$587</f>
        <v>0</v>
      </c>
      <c r="H617">
        <f>0*$H$587</f>
        <v>0</v>
      </c>
      <c r="I617">
        <f>-0.3798*$I$587</f>
        <v>0</v>
      </c>
      <c r="J617">
        <f>-2.408*$J$587</f>
        <v>0</v>
      </c>
      <c r="K617">
        <f>3.2107*$K$587</f>
        <v>0</v>
      </c>
      <c r="L617">
        <f>-0.0432*$L$587</f>
        <v>0</v>
      </c>
      <c r="M617">
        <f>0+D617+E617+G617+H617+I617+J617+K617+L617</f>
        <v>0</v>
      </c>
      <c r="N617">
        <f>0+D617+F617+G617+H617+I617+J617+K617+L617</f>
        <v>0</v>
      </c>
    </row>
    <row r="618" spans="3:14">
      <c r="C618" t="s">
        <v>30</v>
      </c>
      <c r="D618">
        <f>-1.3411*$D$587</f>
        <v>0</v>
      </c>
      <c r="E618">
        <f>61.1197*$E$587</f>
        <v>0</v>
      </c>
      <c r="F618">
        <f>-80.1884*$F$587</f>
        <v>0</v>
      </c>
      <c r="G618">
        <f>7.2276*$G$587</f>
        <v>0</v>
      </c>
      <c r="H618">
        <f>0*$H$587</f>
        <v>0</v>
      </c>
      <c r="I618">
        <f>-0.5324*$I$587</f>
        <v>0</v>
      </c>
      <c r="J618">
        <f>-6.0893*$J$587</f>
        <v>0</v>
      </c>
      <c r="K618">
        <f>8.119*$K$587</f>
        <v>0</v>
      </c>
      <c r="L618">
        <f>-0.0427*$L$587</f>
        <v>0</v>
      </c>
      <c r="M618">
        <f>0+D618+E618+G618+H618+I618+J618+K618+L618</f>
        <v>0</v>
      </c>
      <c r="N618">
        <f>0+D618+F618+G618+H618+I618+J618+K618+L618</f>
        <v>0</v>
      </c>
    </row>
    <row r="619" spans="3:14">
      <c r="C619" t="s">
        <v>30</v>
      </c>
      <c r="D619">
        <f>-4.7339*$D$587</f>
        <v>0</v>
      </c>
      <c r="E619">
        <f>94.6758*$E$587</f>
        <v>0</v>
      </c>
      <c r="F619">
        <f>-74.8865*$F$587</f>
        <v>0</v>
      </c>
      <c r="G619">
        <f>-2.5164*$G$587</f>
        <v>0</v>
      </c>
      <c r="H619">
        <f>0*$H$587</f>
        <v>0</v>
      </c>
      <c r="I619">
        <f>-0.5029*$I$587</f>
        <v>0</v>
      </c>
      <c r="J619">
        <f>38.5739*$J$587</f>
        <v>0</v>
      </c>
      <c r="K619">
        <f>-51.4318*$K$587</f>
        <v>0</v>
      </c>
      <c r="L619">
        <f>-0.0368*$L$587</f>
        <v>0</v>
      </c>
      <c r="M619">
        <f>0+D619+E619+G619+H619+I619+J619+K619+L619</f>
        <v>0</v>
      </c>
      <c r="N619">
        <f>0+D619+F619+G619+H619+I619+J619+K619+L619</f>
        <v>0</v>
      </c>
    </row>
    <row r="620" spans="3:14">
      <c r="C620" t="s">
        <v>31</v>
      </c>
      <c r="D620">
        <f>-7.6332*$D$587</f>
        <v>0</v>
      </c>
      <c r="E620">
        <f>75.8633*$E$587</f>
        <v>0</v>
      </c>
      <c r="F620">
        <f>-81.9369*$F$587</f>
        <v>0</v>
      </c>
      <c r="G620">
        <f>-0.788*$G$587</f>
        <v>0</v>
      </c>
      <c r="H620">
        <f>0*$H$587</f>
        <v>0</v>
      </c>
      <c r="I620">
        <f>-0.6495*$I$587</f>
        <v>0</v>
      </c>
      <c r="J620">
        <f>34.5506*$J$587</f>
        <v>0</v>
      </c>
      <c r="K620">
        <f>-46.0675*$K$587</f>
        <v>0</v>
      </c>
      <c r="L620">
        <f>-0.0352*$L$587</f>
        <v>0</v>
      </c>
      <c r="M620">
        <f>0+D620+E620+G620+H620+I620+J620+K620+L620</f>
        <v>0</v>
      </c>
      <c r="N620">
        <f>0+D620+F620+G620+H620+I620+J620+K620+L620</f>
        <v>0</v>
      </c>
    </row>
    <row r="621" spans="3:14">
      <c r="C621" t="s">
        <v>31</v>
      </c>
      <c r="D621">
        <f>-5.1882*$D$587</f>
        <v>0</v>
      </c>
      <c r="E621">
        <f>75.5216*$E$587</f>
        <v>0</v>
      </c>
      <c r="F621">
        <f>-87.4746*$F$587</f>
        <v>0</v>
      </c>
      <c r="G621">
        <f>0.2452*$G$587</f>
        <v>0</v>
      </c>
      <c r="H621">
        <f>0*$H$587</f>
        <v>0</v>
      </c>
      <c r="I621">
        <f>-0.7923*$I$587</f>
        <v>0</v>
      </c>
      <c r="J621">
        <f>33.6332*$J$587</f>
        <v>0</v>
      </c>
      <c r="K621">
        <f>-44.8442*$K$587</f>
        <v>0</v>
      </c>
      <c r="L621">
        <f>-0.0343*$L$587</f>
        <v>0</v>
      </c>
      <c r="M621">
        <f>0+D621+E621+G621+H621+I621+J621+K621+L621</f>
        <v>0</v>
      </c>
      <c r="N621">
        <f>0+D621+F621+G621+H621+I621+J621+K621+L621</f>
        <v>0</v>
      </c>
    </row>
    <row r="622" spans="3:14">
      <c r="C622" t="s">
        <v>32</v>
      </c>
      <c r="D622">
        <f>-8.5649*$D$587</f>
        <v>0</v>
      </c>
      <c r="E622">
        <f>75.4449*$E$587</f>
        <v>0</v>
      </c>
      <c r="F622">
        <f>-90.5912*$F$587</f>
        <v>0</v>
      </c>
      <c r="G622">
        <f>1.7046*$G$587</f>
        <v>0</v>
      </c>
      <c r="H622">
        <f>0*$H$587</f>
        <v>0</v>
      </c>
      <c r="I622">
        <f>-1.0069*$I$587</f>
        <v>0</v>
      </c>
      <c r="J622">
        <f>30.4873*$J$587</f>
        <v>0</v>
      </c>
      <c r="K622">
        <f>-40.6498*$K$587</f>
        <v>0</v>
      </c>
      <c r="L622">
        <f>-0.033*$L$587</f>
        <v>0</v>
      </c>
      <c r="M622">
        <f>0+D622+E622+G622+H622+I622+J622+K622+L622</f>
        <v>0</v>
      </c>
      <c r="N622">
        <f>0+D622+F622+G622+H622+I622+J622+K622+L622</f>
        <v>0</v>
      </c>
    </row>
    <row r="623" spans="3:14">
      <c r="C623" t="s">
        <v>32</v>
      </c>
      <c r="D623">
        <f>-6.5338*$D$587</f>
        <v>0</v>
      </c>
      <c r="E623">
        <f>73.1425*$E$587</f>
        <v>0</v>
      </c>
      <c r="F623">
        <f>-95.6357*$F$587</f>
        <v>0</v>
      </c>
      <c r="G623">
        <f>2.6407*$G$587</f>
        <v>0</v>
      </c>
      <c r="H623">
        <f>0*$H$587</f>
        <v>0</v>
      </c>
      <c r="I623">
        <f>-1.2111*$I$587</f>
        <v>0</v>
      </c>
      <c r="J623">
        <f>28.9425*$J$587</f>
        <v>0</v>
      </c>
      <c r="K623">
        <f>-38.59*$K$587</f>
        <v>0</v>
      </c>
      <c r="L623">
        <f>-0.0324*$L$587</f>
        <v>0</v>
      </c>
      <c r="M623">
        <f>0+D623+E623+G623+H623+I623+J623+K623+L623</f>
        <v>0</v>
      </c>
      <c r="N623">
        <f>0+D623+F623+G623+H623+I623+J623+K623+L623</f>
        <v>0</v>
      </c>
    </row>
    <row r="624" spans="3:14">
      <c r="C624" t="s">
        <v>33</v>
      </c>
      <c r="D624">
        <f>-10.5093*$D$587</f>
        <v>0</v>
      </c>
      <c r="E624">
        <f>72.166*$E$587</f>
        <v>0</v>
      </c>
      <c r="F624">
        <f>-100.7422*$F$587</f>
        <v>0</v>
      </c>
      <c r="G624">
        <f>3.863*$G$587</f>
        <v>0</v>
      </c>
      <c r="H624">
        <f>0*$H$587</f>
        <v>0</v>
      </c>
      <c r="I624">
        <f>-1.4992*$I$587</f>
        <v>0</v>
      </c>
      <c r="J624">
        <f>26.3217*$J$587</f>
        <v>0</v>
      </c>
      <c r="K624">
        <f>-35.0956*$K$587</f>
        <v>0</v>
      </c>
      <c r="L624">
        <f>-0.032*$L$587</f>
        <v>0</v>
      </c>
      <c r="M624">
        <f>0+D624+E624+G624+H624+I624+J624+K624+L624</f>
        <v>0</v>
      </c>
      <c r="N624">
        <f>0+D624+F624+G624+H624+I624+J624+K624+L624</f>
        <v>0</v>
      </c>
    </row>
    <row r="625" spans="3:14">
      <c r="C625" t="s">
        <v>33</v>
      </c>
      <c r="D625">
        <f>-8.918*$D$587</f>
        <v>0</v>
      </c>
      <c r="E625">
        <f>78.5568*$E$587</f>
        <v>0</v>
      </c>
      <c r="F625">
        <f>-106.3565*$F$587</f>
        <v>0</v>
      </c>
      <c r="G625">
        <f>4.6769*$G$587</f>
        <v>0</v>
      </c>
      <c r="H625">
        <f>0*$H$587</f>
        <v>0</v>
      </c>
      <c r="I625">
        <f>-1.7646*$I$587</f>
        <v>0</v>
      </c>
      <c r="J625">
        <f>24.6533*$J$587</f>
        <v>0</v>
      </c>
      <c r="K625">
        <f>-32.871*$K$587</f>
        <v>0</v>
      </c>
      <c r="L625">
        <f>-0.0322*$L$587</f>
        <v>0</v>
      </c>
      <c r="M625">
        <f>0+D625+E625+G625+H625+I625+J625+K625+L625</f>
        <v>0</v>
      </c>
      <c r="N625">
        <f>0+D625+F625+G625+H625+I625+J625+K625+L625</f>
        <v>0</v>
      </c>
    </row>
    <row r="626" spans="3:14">
      <c r="C626" t="s">
        <v>34</v>
      </c>
      <c r="D626">
        <f>-13.0422*$D$587</f>
        <v>0</v>
      </c>
      <c r="E626">
        <f>69.0089*$E$587</f>
        <v>0</v>
      </c>
      <c r="F626">
        <f>-113.4123*$F$587</f>
        <v>0</v>
      </c>
      <c r="G626">
        <f>5.8505*$G$587</f>
        <v>0</v>
      </c>
      <c r="H626">
        <f>0*$H$587</f>
        <v>0</v>
      </c>
      <c r="I626">
        <f>-2.0821*$I$587</f>
        <v>0</v>
      </c>
      <c r="J626">
        <f>21.0087*$J$587</f>
        <v>0</v>
      </c>
      <c r="K626">
        <f>-28.0116*$K$587</f>
        <v>0</v>
      </c>
      <c r="L626">
        <f>-0.0328*$L$587</f>
        <v>0</v>
      </c>
      <c r="M626">
        <f>0+D626+E626+G626+H626+I626+J626+K626+L626</f>
        <v>0</v>
      </c>
      <c r="N626">
        <f>0+D626+F626+G626+H626+I626+J626+K626+L626</f>
        <v>0</v>
      </c>
    </row>
    <row r="627" spans="3:14">
      <c r="C627" t="s">
        <v>34</v>
      </c>
      <c r="D627">
        <f>-10.9679*$D$587</f>
        <v>0</v>
      </c>
      <c r="E627">
        <f>67.5146*$E$587</f>
        <v>0</v>
      </c>
      <c r="F627">
        <f>-117.5597*$F$587</f>
        <v>0</v>
      </c>
      <c r="G627">
        <f>6.5125*$G$587</f>
        <v>0</v>
      </c>
      <c r="H627">
        <f>0*$H$587</f>
        <v>0</v>
      </c>
      <c r="I627">
        <f>-2.2777*$I$587</f>
        <v>0</v>
      </c>
      <c r="J627">
        <f>18.5901*$J$587</f>
        <v>0</v>
      </c>
      <c r="K627">
        <f>-24.7868*$K$587</f>
        <v>0</v>
      </c>
      <c r="L627">
        <f>-0.0334*$L$587</f>
        <v>0</v>
      </c>
      <c r="M627">
        <f>0+D627+E627+G627+H627+I627+J627+K627+L627</f>
        <v>0</v>
      </c>
      <c r="N627">
        <f>0+D627+F627+G627+H627+I627+J627+K627+L627</f>
        <v>0</v>
      </c>
    </row>
    <row r="628" spans="3:14">
      <c r="C628" t="s">
        <v>35</v>
      </c>
      <c r="D628">
        <f>-13.5925*$D$587</f>
        <v>0</v>
      </c>
      <c r="E628">
        <f>67.0831*$E$587</f>
        <v>0</v>
      </c>
      <c r="F628">
        <f>-120.1429*$F$587</f>
        <v>0</v>
      </c>
      <c r="G628">
        <f>7.5791*$G$587</f>
        <v>0</v>
      </c>
      <c r="H628">
        <f>0*$H$587</f>
        <v>0</v>
      </c>
      <c r="I628">
        <f>-2.3877*$I$587</f>
        <v>0</v>
      </c>
      <c r="J628">
        <f>10.21*$J$587</f>
        <v>0</v>
      </c>
      <c r="K628">
        <f>-13.6133*$K$587</f>
        <v>0</v>
      </c>
      <c r="L628">
        <f>-0.0342*$L$587</f>
        <v>0</v>
      </c>
      <c r="M628">
        <f>0+D628+E628+G628+H628+I628+J628+K628+L628</f>
        <v>0</v>
      </c>
      <c r="N628">
        <f>0+D628+F628+G628+H628+I628+J628+K628+L628</f>
        <v>0</v>
      </c>
    </row>
    <row r="629" spans="3:14">
      <c r="C629" t="s">
        <v>35</v>
      </c>
      <c r="D629">
        <f>-11.0935*$D$587</f>
        <v>0</v>
      </c>
      <c r="E629">
        <f>94.7197*$E$587</f>
        <v>0</v>
      </c>
      <c r="F629">
        <f>-67.9792*$F$587</f>
        <v>0</v>
      </c>
      <c r="G629">
        <f>1.0775*$G$587</f>
        <v>0</v>
      </c>
      <c r="H629">
        <f>0*$H$587</f>
        <v>0</v>
      </c>
      <c r="I629">
        <f>-1.7843*$I$587</f>
        <v>0</v>
      </c>
      <c r="J629">
        <f>31.3851*$J$587</f>
        <v>0</v>
      </c>
      <c r="K629">
        <f>-41.8468*$K$587</f>
        <v>0</v>
      </c>
      <c r="L629">
        <f>-0.0187*$L$587</f>
        <v>0</v>
      </c>
      <c r="M629">
        <f>0+D629+E629+G629+H629+I629+J629+K629+L629</f>
        <v>0</v>
      </c>
      <c r="N629">
        <f>0+D629+F629+G629+H629+I629+J629+K629+L629</f>
        <v>0</v>
      </c>
    </row>
    <row r="630" spans="3:14">
      <c r="C630" t="s">
        <v>36</v>
      </c>
      <c r="D630">
        <f>-13.8768*$D$587</f>
        <v>0</v>
      </c>
      <c r="E630">
        <f>94.7198*$E$587</f>
        <v>0</v>
      </c>
      <c r="F630">
        <f>-67.9792*$F$587</f>
        <v>0</v>
      </c>
      <c r="G630">
        <f>1.0775*$G$587</f>
        <v>0</v>
      </c>
      <c r="H630">
        <f>0*$H$587</f>
        <v>0</v>
      </c>
      <c r="I630">
        <f>-1.7843*$I$587</f>
        <v>0</v>
      </c>
      <c r="J630">
        <f>31.3851*$J$587</f>
        <v>0</v>
      </c>
      <c r="K630">
        <f>-41.8468*$K$587</f>
        <v>0</v>
      </c>
      <c r="L630">
        <f>-0.0187*$L$587</f>
        <v>0</v>
      </c>
      <c r="M630">
        <f>0+D630+E630+G630+H630+I630+J630+K630+L630</f>
        <v>0</v>
      </c>
      <c r="N630">
        <f>0+D630+F630+G630+H630+I630+J630+K630+L630</f>
        <v>0</v>
      </c>
    </row>
    <row r="631" spans="3:14">
      <c r="C631" t="s">
        <v>36</v>
      </c>
      <c r="D631">
        <f>12.4492*$D$587</f>
        <v>0</v>
      </c>
      <c r="E631">
        <f>70.0341*$E$587</f>
        <v>0</v>
      </c>
      <c r="F631">
        <f>-52.1809*$F$587</f>
        <v>0</v>
      </c>
      <c r="G631">
        <f>-0.9874*$G$587</f>
        <v>0</v>
      </c>
      <c r="H631">
        <f>0*$H$587</f>
        <v>0</v>
      </c>
      <c r="I631">
        <f>1.5733*$I$587</f>
        <v>0</v>
      </c>
      <c r="J631">
        <f>-30.057*$J$587</f>
        <v>0</v>
      </c>
      <c r="K631">
        <f>40.0759*$K$587</f>
        <v>0</v>
      </c>
      <c r="L631">
        <f>-0.7141*$L$587</f>
        <v>0</v>
      </c>
      <c r="M631">
        <f>0+D631+E631+G631+H631+I631+J631+K631+L631</f>
        <v>0</v>
      </c>
      <c r="N631">
        <f>0+D631+F631+G631+H631+I631+J631+K631+L631</f>
        <v>0</v>
      </c>
    </row>
    <row r="632" spans="3:14">
      <c r="C632" t="s">
        <v>37</v>
      </c>
      <c r="D632">
        <f>9.6659*$D$587</f>
        <v>0</v>
      </c>
      <c r="E632">
        <f>70.0341*$E$587</f>
        <v>0</v>
      </c>
      <c r="F632">
        <f>-52.1809*$F$587</f>
        <v>0</v>
      </c>
      <c r="G632">
        <f>-0.9874*$G$587</f>
        <v>0</v>
      </c>
      <c r="H632">
        <f>0*$H$587</f>
        <v>0</v>
      </c>
      <c r="I632">
        <f>1.5733*$I$587</f>
        <v>0</v>
      </c>
      <c r="J632">
        <f>-30.057*$J$587</f>
        <v>0</v>
      </c>
      <c r="K632">
        <f>40.0759*$K$587</f>
        <v>0</v>
      </c>
      <c r="L632">
        <f>-0.7141*$L$587</f>
        <v>0</v>
      </c>
      <c r="M632">
        <f>0+D632+E632+G632+H632+I632+J632+K632+L632</f>
        <v>0</v>
      </c>
      <c r="N632">
        <f>0+D632+F632+G632+H632+I632+J632+K632+L632</f>
        <v>0</v>
      </c>
    </row>
    <row r="633" spans="3:14">
      <c r="C633" t="s">
        <v>37</v>
      </c>
      <c r="D633">
        <f>11.8996*$D$587</f>
        <v>0</v>
      </c>
      <c r="E633">
        <f>126.4488*$E$587</f>
        <v>0</v>
      </c>
      <c r="F633">
        <f>-79.3569*$F$587</f>
        <v>0</v>
      </c>
      <c r="G633">
        <f>-7.4298*$G$587</f>
        <v>0</v>
      </c>
      <c r="H633">
        <f>0*$H$587</f>
        <v>0</v>
      </c>
      <c r="I633">
        <f>2.1348*$I$587</f>
        <v>0</v>
      </c>
      <c r="J633">
        <f>-8.2553*$J$587</f>
        <v>0</v>
      </c>
      <c r="K633">
        <f>11.0071*$K$587</f>
        <v>0</v>
      </c>
      <c r="L633">
        <f>-0.999*$L$587</f>
        <v>0</v>
      </c>
      <c r="M633">
        <f>0+D633+E633+G633+H633+I633+J633+K633+L633</f>
        <v>0</v>
      </c>
      <c r="N633">
        <f>0+D633+F633+G633+H633+I633+J633+K633+L633</f>
        <v>0</v>
      </c>
    </row>
    <row r="634" spans="3:14">
      <c r="C634" t="s">
        <v>38</v>
      </c>
      <c r="D634">
        <f>9.7683*$D$587</f>
        <v>0</v>
      </c>
      <c r="E634">
        <f>124.7655*$E$587</f>
        <v>0</v>
      </c>
      <c r="F634">
        <f>-77.1639*$F$587</f>
        <v>0</v>
      </c>
      <c r="G634">
        <f>-6.4186*$G$587</f>
        <v>0</v>
      </c>
      <c r="H634">
        <f>0*$H$587</f>
        <v>0</v>
      </c>
      <c r="I634">
        <f>2.0992*$I$587</f>
        <v>0</v>
      </c>
      <c r="J634">
        <f>-17.3566*$J$587</f>
        <v>0</v>
      </c>
      <c r="K634">
        <f>23.1421*$K$587</f>
        <v>0</v>
      </c>
      <c r="L634">
        <f>-1.0048*$L$587</f>
        <v>0</v>
      </c>
      <c r="M634">
        <f>0+D634+E634+G634+H634+I634+J634+K634+L634</f>
        <v>0</v>
      </c>
      <c r="N634">
        <f>0+D634+F634+G634+H634+I634+J634+K634+L634</f>
        <v>0</v>
      </c>
    </row>
    <row r="635" spans="3:14">
      <c r="C635" t="s">
        <v>38</v>
      </c>
      <c r="D635">
        <f>12.4155*$D$587</f>
        <v>0</v>
      </c>
      <c r="E635">
        <f>120.7164*$E$587</f>
        <v>0</v>
      </c>
      <c r="F635">
        <f>-78.5011*$F$587</f>
        <v>0</v>
      </c>
      <c r="G635">
        <f>-5.8167*$G$587</f>
        <v>0</v>
      </c>
      <c r="H635">
        <f>0*$H$587</f>
        <v>0</v>
      </c>
      <c r="I635">
        <f>1.9897*$I$587</f>
        <v>0</v>
      </c>
      <c r="J635">
        <f>-20.5627*$J$587</f>
        <v>0</v>
      </c>
      <c r="K635">
        <f>27.4169*$K$587</f>
        <v>0</v>
      </c>
      <c r="L635">
        <f>-1.016*$L$587</f>
        <v>0</v>
      </c>
      <c r="M635">
        <f>0+D635+E635+G635+H635+I635+J635+K635+L635</f>
        <v>0</v>
      </c>
      <c r="N635">
        <f>0+D635+F635+G635+H635+I635+J635+K635+L635</f>
        <v>0</v>
      </c>
    </row>
    <row r="636" spans="3:14">
      <c r="C636" t="s">
        <v>39</v>
      </c>
      <c r="D636">
        <f>8.7934*$D$587</f>
        <v>0</v>
      </c>
      <c r="E636">
        <f>114.3764*$E$587</f>
        <v>0</v>
      </c>
      <c r="F636">
        <f>-77.6011*$F$587</f>
        <v>0</v>
      </c>
      <c r="G636">
        <f>-4.7003*$G$587</f>
        <v>0</v>
      </c>
      <c r="H636">
        <f>0*$H$587</f>
        <v>0</v>
      </c>
      <c r="I636">
        <f>1.748*$I$587</f>
        <v>0</v>
      </c>
      <c r="J636">
        <f>-24.9431*$J$587</f>
        <v>0</v>
      </c>
      <c r="K636">
        <f>33.2574*$K$587</f>
        <v>0</v>
      </c>
      <c r="L636">
        <f>-1.0175*$L$587</f>
        <v>0</v>
      </c>
      <c r="M636">
        <f>0+D636+E636+G636+H636+I636+J636+K636+L636</f>
        <v>0</v>
      </c>
      <c r="N636">
        <f>0+D636+F636+G636+H636+I636+J636+K636+L636</f>
        <v>0</v>
      </c>
    </row>
    <row r="637" spans="3:14">
      <c r="C637" t="s">
        <v>39</v>
      </c>
      <c r="D637">
        <f>10.8055*$D$587</f>
        <v>0</v>
      </c>
      <c r="E637">
        <f>109.1206*$E$587</f>
        <v>0</v>
      </c>
      <c r="F637">
        <f>-79.3189*$F$587</f>
        <v>0</v>
      </c>
      <c r="G637">
        <f>-3.9373*$G$587</f>
        <v>0</v>
      </c>
      <c r="H637">
        <f>0*$H$587</f>
        <v>0</v>
      </c>
      <c r="I637">
        <f>1.5464*$I$587</f>
        <v>0</v>
      </c>
      <c r="J637">
        <f>-27.2558*$J$587</f>
        <v>0</v>
      </c>
      <c r="K637">
        <f>36.3411*$K$587</f>
        <v>0</v>
      </c>
      <c r="L637">
        <f>-1.0295*$L$587</f>
        <v>0</v>
      </c>
      <c r="M637">
        <f>0+D637+E637+G637+H637+I637+J637+K637+L637</f>
        <v>0</v>
      </c>
      <c r="N637">
        <f>0+D637+F637+G637+H637+I637+J637+K637+L637</f>
        <v>0</v>
      </c>
    </row>
    <row r="638" spans="3:14">
      <c r="C638" t="s">
        <v>40</v>
      </c>
      <c r="D638">
        <f>7.1497*$D$587</f>
        <v>0</v>
      </c>
      <c r="E638">
        <f>104.3046*$E$587</f>
        <v>0</v>
      </c>
      <c r="F638">
        <f>-80.3242*$F$587</f>
        <v>0</v>
      </c>
      <c r="G638">
        <f>-2.7578*$G$587</f>
        <v>0</v>
      </c>
      <c r="H638">
        <f>0*$H$587</f>
        <v>0</v>
      </c>
      <c r="I638">
        <f>1.307*$I$587</f>
        <v>0</v>
      </c>
      <c r="J638">
        <f>-30.4026*$J$587</f>
        <v>0</v>
      </c>
      <c r="K638">
        <f>40.5368*$K$587</f>
        <v>0</v>
      </c>
      <c r="L638">
        <f>-1.0524*$L$587</f>
        <v>0</v>
      </c>
      <c r="M638">
        <f>0+D638+E638+G638+H638+I638+J638+K638+L638</f>
        <v>0</v>
      </c>
      <c r="N638">
        <f>0+D638+F638+G638+H638+I638+J638+K638+L638</f>
        <v>0</v>
      </c>
    </row>
    <row r="639" spans="3:14">
      <c r="C639" t="s">
        <v>40</v>
      </c>
      <c r="D639">
        <f>9.4375*$D$587</f>
        <v>0</v>
      </c>
      <c r="E639">
        <f>99.4111*$E$587</f>
        <v>0</v>
      </c>
      <c r="F639">
        <f>-82.9953*$F$587</f>
        <v>0</v>
      </c>
      <c r="G639">
        <f>-1.8613*$G$587</f>
        <v>0</v>
      </c>
      <c r="H639">
        <f>0*$H$587</f>
        <v>0</v>
      </c>
      <c r="I639">
        <f>1.1423*$I$587</f>
        <v>0</v>
      </c>
      <c r="J639">
        <f>-32.4203*$J$587</f>
        <v>0</v>
      </c>
      <c r="K639">
        <f>43.227*$K$587</f>
        <v>0</v>
      </c>
      <c r="L639">
        <f>-1.0809*$L$587</f>
        <v>0</v>
      </c>
      <c r="M639">
        <f>0+D639+E639+G639+H639+I639+J639+K639+L639</f>
        <v>0</v>
      </c>
      <c r="N639">
        <f>0+D639+F639+G639+H639+I639+J639+K639+L639</f>
        <v>0</v>
      </c>
    </row>
    <row r="640" spans="3:14">
      <c r="C640" t="s">
        <v>41</v>
      </c>
      <c r="D640">
        <f>6.2399*$D$587</f>
        <v>0</v>
      </c>
      <c r="E640">
        <f>96.3935*$E$587</f>
        <v>0</v>
      </c>
      <c r="F640">
        <f>-83.0809*$F$587</f>
        <v>0</v>
      </c>
      <c r="G640">
        <f>-0.4372*$G$587</f>
        <v>0</v>
      </c>
      <c r="H640">
        <f>0*$H$587</f>
        <v>0</v>
      </c>
      <c r="I640">
        <f>0.9556*$I$587</f>
        <v>0</v>
      </c>
      <c r="J640">
        <f>-35.963*$J$587</f>
        <v>0</v>
      </c>
      <c r="K640">
        <f>47.9507*$K$587</f>
        <v>0</v>
      </c>
      <c r="L640">
        <f>-1.1317*$L$587</f>
        <v>0</v>
      </c>
      <c r="M640">
        <f>0+D640+E640+G640+H640+I640+J640+K640+L640</f>
        <v>0</v>
      </c>
      <c r="N640">
        <f>0+D640+F640+G640+H640+I640+J640+K640+L640</f>
        <v>0</v>
      </c>
    </row>
    <row r="641" spans="3:14">
      <c r="C641" t="s">
        <v>41</v>
      </c>
      <c r="D641">
        <f>8.8139*$D$587</f>
        <v>0</v>
      </c>
      <c r="E641">
        <f>89.9855*$E$587</f>
        <v>0</v>
      </c>
      <c r="F641">
        <f>-83.8031*$F$587</f>
        <v>0</v>
      </c>
      <c r="G641">
        <f>0.566*$G$587</f>
        <v>0</v>
      </c>
      <c r="H641">
        <f>0*$H$587</f>
        <v>0</v>
      </c>
      <c r="I641">
        <f>0.8333*$I$587</f>
        <v>0</v>
      </c>
      <c r="J641">
        <f>-37.2108*$J$587</f>
        <v>0</v>
      </c>
      <c r="K641">
        <f>49.6143*$K$587</f>
        <v>0</v>
      </c>
      <c r="L641">
        <f>-1.1628*$L$587</f>
        <v>0</v>
      </c>
      <c r="M641">
        <f>0+D641+E641+G641+H641+I641+J641+K641+L641</f>
        <v>0</v>
      </c>
      <c r="N641">
        <f>0+D641+F641+G641+H641+I641+J641+K641+L641</f>
        <v>0</v>
      </c>
    </row>
    <row r="642" spans="3:14">
      <c r="C642" t="s">
        <v>42</v>
      </c>
      <c r="D642">
        <f>5.9882*$D$587</f>
        <v>0</v>
      </c>
      <c r="E642">
        <f>83.0892*$E$587</f>
        <v>0</v>
      </c>
      <c r="F642">
        <f>-81.9539*$F$587</f>
        <v>0</v>
      </c>
      <c r="G642">
        <f>2.2658*$G$587</f>
        <v>0</v>
      </c>
      <c r="H642">
        <f>0*$H$587</f>
        <v>0</v>
      </c>
      <c r="I642">
        <f>0.6991*$I$587</f>
        <v>0</v>
      </c>
      <c r="J642">
        <f>-41.5221*$J$587</f>
        <v>0</v>
      </c>
      <c r="K642">
        <f>55.3628*$K$587</f>
        <v>0</v>
      </c>
      <c r="L642">
        <f>-1.211*$L$587</f>
        <v>0</v>
      </c>
      <c r="M642">
        <f>0+D642+E642+G642+H642+I642+J642+K642+L642</f>
        <v>0</v>
      </c>
      <c r="N642">
        <f>0+D642+F642+G642+H642+I642+J642+K642+L642</f>
        <v>0</v>
      </c>
    </row>
    <row r="643" spans="3:14">
      <c r="C643" t="s">
        <v>42</v>
      </c>
      <c r="D643">
        <f>2.6058*$D$587</f>
        <v>0</v>
      </c>
      <c r="E643">
        <f>90.7916*$E$587</f>
        <v>0</v>
      </c>
      <c r="F643">
        <f>-70.8136*$F$587</f>
        <v>0</v>
      </c>
      <c r="G643">
        <f>-7.4496*$G$587</f>
        <v>0</v>
      </c>
      <c r="H643">
        <f>0*$H$587</f>
        <v>0</v>
      </c>
      <c r="I643">
        <f>0.7299*$I$587</f>
        <v>0</v>
      </c>
      <c r="J643">
        <f>3.2624*$J$587</f>
        <v>0</v>
      </c>
      <c r="K643">
        <f>-4.3498*$K$587</f>
        <v>0</v>
      </c>
      <c r="L643">
        <f>-1.1963*$L$587</f>
        <v>0</v>
      </c>
      <c r="M643">
        <f>0+D643+E643+G643+H643+I643+J643+K643+L643</f>
        <v>0</v>
      </c>
      <c r="N643">
        <f>0+D643+F643+G643+H643+I643+J643+K643+L643</f>
        <v>0</v>
      </c>
    </row>
    <row r="644" spans="3:14">
      <c r="C644" t="s">
        <v>43</v>
      </c>
      <c r="D644">
        <f>-0.543*$D$587</f>
        <v>0</v>
      </c>
      <c r="E644">
        <f>84.98*$E$587</f>
        <v>0</v>
      </c>
      <c r="F644">
        <f>-67.2682*$F$587</f>
        <v>0</v>
      </c>
      <c r="G644">
        <f>-5.6186*$G$587</f>
        <v>0</v>
      </c>
      <c r="H644">
        <f>0*$H$587</f>
        <v>0</v>
      </c>
      <c r="I644">
        <f>0.5802*$I$587</f>
        <v>0</v>
      </c>
      <c r="J644">
        <f>-0.6608*$J$587</f>
        <v>0</v>
      </c>
      <c r="K644">
        <f>0.8811*$K$587</f>
        <v>0</v>
      </c>
      <c r="L644">
        <f>-1.2176*$L$587</f>
        <v>0</v>
      </c>
      <c r="M644">
        <f>0+D644+E644+G644+H644+I644+J644+K644+L644</f>
        <v>0</v>
      </c>
      <c r="N644">
        <f>0+D644+F644+G644+H644+I644+J644+K644+L644</f>
        <v>0</v>
      </c>
    </row>
    <row r="645" spans="3:14">
      <c r="C645" t="s">
        <v>43</v>
      </c>
      <c r="D645">
        <f>2.5657*$D$587</f>
        <v>0</v>
      </c>
      <c r="E645">
        <f>79.5095*$E$587</f>
        <v>0</v>
      </c>
      <c r="F645">
        <f>-66.0239*$F$587</f>
        <v>0</v>
      </c>
      <c r="G645">
        <f>-4.4808*$G$587</f>
        <v>0</v>
      </c>
      <c r="H645">
        <f>0*$H$587</f>
        <v>0</v>
      </c>
      <c r="I645">
        <f>0.4856*$I$587</f>
        <v>0</v>
      </c>
      <c r="J645">
        <f>-1.8492*$J$587</f>
        <v>0</v>
      </c>
      <c r="K645">
        <f>2.4656*$K$587</f>
        <v>0</v>
      </c>
      <c r="L645">
        <f>-1.2681*$L$587</f>
        <v>0</v>
      </c>
      <c r="M645">
        <f>0+D645+E645+G645+H645+I645+J645+K645+L645</f>
        <v>0</v>
      </c>
      <c r="N645">
        <f>0+D645+F645+G645+H645+I645+J645+K645+L645</f>
        <v>0</v>
      </c>
    </row>
    <row r="646" spans="3:14">
      <c r="C646" t="s">
        <v>44</v>
      </c>
      <c r="D646">
        <f>-0.5554*$D$587</f>
        <v>0</v>
      </c>
      <c r="E646">
        <f>74.7075*$E$587</f>
        <v>0</v>
      </c>
      <c r="F646">
        <f>-62.9695*$F$587</f>
        <v>0</v>
      </c>
      <c r="G646">
        <f>-2.9141*$G$587</f>
        <v>0</v>
      </c>
      <c r="H646">
        <f>0*$H$587</f>
        <v>0</v>
      </c>
      <c r="I646">
        <f>0.3433*$I$587</f>
        <v>0</v>
      </c>
      <c r="J646">
        <f>-4.9784*$J$587</f>
        <v>0</v>
      </c>
      <c r="K646">
        <f>6.6379*$K$587</f>
        <v>0</v>
      </c>
      <c r="L646">
        <f>-1.3063*$L$587</f>
        <v>0</v>
      </c>
      <c r="M646">
        <f>0+D646+E646+G646+H646+I646+J646+K646+L646</f>
        <v>0</v>
      </c>
      <c r="N646">
        <f>0+D646+F646+G646+H646+I646+J646+K646+L646</f>
        <v>0</v>
      </c>
    </row>
    <row r="647" spans="3:14">
      <c r="C647" t="s">
        <v>44</v>
      </c>
      <c r="D647">
        <f>2.6169*$D$587</f>
        <v>0</v>
      </c>
      <c r="E647">
        <f>70.7559*$E$587</f>
        <v>0</v>
      </c>
      <c r="F647">
        <f>-72.8645*$F$587</f>
        <v>0</v>
      </c>
      <c r="G647">
        <f>-1.8315*$G$587</f>
        <v>0</v>
      </c>
      <c r="H647">
        <f>0*$H$587</f>
        <v>0</v>
      </c>
      <c r="I647">
        <f>0.2592*$I$587</f>
        <v>0</v>
      </c>
      <c r="J647">
        <f>-6.666*$J$587</f>
        <v>0</v>
      </c>
      <c r="K647">
        <f>8.888*$K$587</f>
        <v>0</v>
      </c>
      <c r="L647">
        <f>-1.3797*$L$587</f>
        <v>0</v>
      </c>
      <c r="M647">
        <f>0+D647+E647+G647+H647+I647+J647+K647+L647</f>
        <v>0</v>
      </c>
      <c r="N647">
        <f>0+D647+F647+G647+H647+I647+J647+K647+L647</f>
        <v>0</v>
      </c>
    </row>
    <row r="648" spans="3:14">
      <c r="C648" t="s">
        <v>45</v>
      </c>
      <c r="D648">
        <f>-0.3708*$D$587</f>
        <v>0</v>
      </c>
      <c r="E648">
        <f>68.4728*$E$587</f>
        <v>0</v>
      </c>
      <c r="F648">
        <f>-58.9036*$F$587</f>
        <v>0</v>
      </c>
      <c r="G648">
        <f>-0.4282*$G$587</f>
        <v>0</v>
      </c>
      <c r="H648">
        <f>0*$H$587</f>
        <v>0</v>
      </c>
      <c r="I648">
        <f>0.1497*$I$587</f>
        <v>0</v>
      </c>
      <c r="J648">
        <f>-9.4121*$J$587</f>
        <v>0</v>
      </c>
      <c r="K648">
        <f>12.5495*$K$587</f>
        <v>0</v>
      </c>
      <c r="L648">
        <f>-1.4605*$L$587</f>
        <v>0</v>
      </c>
      <c r="M648">
        <f>0+D648+E648+G648+H648+I648+J648+K648+L648</f>
        <v>0</v>
      </c>
      <c r="N648">
        <f>0+D648+F648+G648+H648+I648+J648+K648+L648</f>
        <v>0</v>
      </c>
    </row>
    <row r="649" spans="3:14">
      <c r="C649" t="s">
        <v>45</v>
      </c>
      <c r="D649">
        <f>2.9842*$D$587</f>
        <v>0</v>
      </c>
      <c r="E649">
        <f>65.2758*$E$587</f>
        <v>0</v>
      </c>
      <c r="F649">
        <f>-57.6034*$F$587</f>
        <v>0</v>
      </c>
      <c r="G649">
        <f>0.6541*$G$587</f>
        <v>0</v>
      </c>
      <c r="H649">
        <f>0*$H$587</f>
        <v>0</v>
      </c>
      <c r="I649">
        <f>0.0925*$I$587</f>
        <v>0</v>
      </c>
      <c r="J649">
        <f>-11.1598*$J$587</f>
        <v>0</v>
      </c>
      <c r="K649">
        <f>14.8797*$K$587</f>
        <v>0</v>
      </c>
      <c r="L649">
        <f>-1.5681*$L$587</f>
        <v>0</v>
      </c>
      <c r="M649">
        <f>0+D649+E649+G649+H649+I649+J649+K649+L649</f>
        <v>0</v>
      </c>
      <c r="N649">
        <f>0+D649+F649+G649+H649+I649+J649+K649+L649</f>
        <v>0</v>
      </c>
    </row>
    <row r="650" spans="3:14">
      <c r="C650" t="s">
        <v>46</v>
      </c>
      <c r="D650">
        <f>0.2062*$D$587</f>
        <v>0</v>
      </c>
      <c r="E650">
        <f>60.5414*$E$587</f>
        <v>0</v>
      </c>
      <c r="F650">
        <f>-75.2897*$F$587</f>
        <v>0</v>
      </c>
      <c r="G650">
        <f>2.2286*$G$587</f>
        <v>0</v>
      </c>
      <c r="H650">
        <f>0*$H$587</f>
        <v>0</v>
      </c>
      <c r="I650">
        <f>0.0005069*$I$587</f>
        <v>0</v>
      </c>
      <c r="J650">
        <f>-14.3464*$J$587</f>
        <v>0</v>
      </c>
      <c r="K650">
        <f>19.1286*$K$587</f>
        <v>0</v>
      </c>
      <c r="L650">
        <f>-1.6969*$L$587</f>
        <v>0</v>
      </c>
      <c r="M650">
        <f>0+D650+E650+G650+H650+I650+J650+K650+L650</f>
        <v>0</v>
      </c>
      <c r="N650">
        <f>0+D650+F650+G650+H650+I650+J650+K650+L650</f>
        <v>0</v>
      </c>
    </row>
    <row r="651" spans="3:14">
      <c r="C651" t="s">
        <v>46</v>
      </c>
      <c r="D651">
        <f>3.8516*$D$587</f>
        <v>0</v>
      </c>
      <c r="E651">
        <f>58.5456*$E$587</f>
        <v>0</v>
      </c>
      <c r="F651">
        <f>-53.0726*$F$587</f>
        <v>0</v>
      </c>
      <c r="G651">
        <f>3.3651*$G$587</f>
        <v>0</v>
      </c>
      <c r="H651">
        <f>0*$H$587</f>
        <v>0</v>
      </c>
      <c r="I651">
        <f>-0.0148*$I$587</f>
        <v>0</v>
      </c>
      <c r="J651">
        <f>-15.7446*$J$587</f>
        <v>0</v>
      </c>
      <c r="K651">
        <f>20.9929*$K$587</f>
        <v>0</v>
      </c>
      <c r="L651">
        <f>-1.8285*$L$587</f>
        <v>0</v>
      </c>
      <c r="M651">
        <f>0+D651+E651+G651+H651+I651+J651+K651+L651</f>
        <v>0</v>
      </c>
      <c r="N651">
        <f>0+D651+F651+G651+H651+I651+J651+K651+L651</f>
        <v>0</v>
      </c>
    </row>
    <row r="652" spans="3:14">
      <c r="C652" t="s">
        <v>47</v>
      </c>
      <c r="D652">
        <f>1.3843*$D$587</f>
        <v>0</v>
      </c>
      <c r="E652">
        <f>53.5999*$E$587</f>
        <v>0</v>
      </c>
      <c r="F652">
        <f>-50.7921*$F$587</f>
        <v>0</v>
      </c>
      <c r="G652">
        <f>5.2202*$G$587</f>
        <v>0</v>
      </c>
      <c r="H652">
        <f>0*$H$587</f>
        <v>0</v>
      </c>
      <c r="I652">
        <f>-0.0646*$I$587</f>
        <v>0</v>
      </c>
      <c r="J652">
        <f>-19.8651*$J$587</f>
        <v>0</v>
      </c>
      <c r="K652">
        <f>26.4868*$K$587</f>
        <v>0</v>
      </c>
      <c r="L652">
        <f>-1.9602*$L$587</f>
        <v>0</v>
      </c>
      <c r="M652">
        <f>0+D652+E652+G652+H652+I652+J652+K652+L652</f>
        <v>0</v>
      </c>
      <c r="N652">
        <f>0+D652+F652+G652+H652+I652+J652+K652+L652</f>
        <v>0</v>
      </c>
    </row>
    <row r="653" spans="3:14">
      <c r="C653" t="s">
        <v>47</v>
      </c>
      <c r="D653">
        <f>0.0854*$D$587</f>
        <v>0</v>
      </c>
      <c r="E653">
        <f>50.4504*$E$587</f>
        <v>0</v>
      </c>
      <c r="F653">
        <f>-52.6373*$F$587</f>
        <v>0</v>
      </c>
      <c r="G653">
        <f>-5.3098*$G$587</f>
        <v>0</v>
      </c>
      <c r="H653">
        <f>0*$H$587</f>
        <v>0</v>
      </c>
      <c r="I653">
        <f>0.2839*$I$587</f>
        <v>0</v>
      </c>
      <c r="J653">
        <f>18.2202*$J$587</f>
        <v>0</v>
      </c>
      <c r="K653">
        <f>-24.2936*$K$587</f>
        <v>0</v>
      </c>
      <c r="L653">
        <f>-2.3301*$L$587</f>
        <v>0</v>
      </c>
      <c r="M653">
        <f>0+D653+E653+G653+H653+I653+J653+K653+L653</f>
        <v>0</v>
      </c>
      <c r="N653">
        <f>0+D653+F653+G653+H653+I653+J653+K653+L653</f>
        <v>0</v>
      </c>
    </row>
    <row r="654" spans="3:14">
      <c r="C654" t="s">
        <v>48</v>
      </c>
      <c r="D654">
        <f>-2.3723*$D$587</f>
        <v>0</v>
      </c>
      <c r="E654">
        <f>52.577*$E$587</f>
        <v>0</v>
      </c>
      <c r="F654">
        <f>-57.264*$F$587</f>
        <v>0</v>
      </c>
      <c r="G654">
        <f>-3.4529*$G$587</f>
        <v>0</v>
      </c>
      <c r="H654">
        <f>0*$H$587</f>
        <v>0</v>
      </c>
      <c r="I654">
        <f>0.2354*$I$587</f>
        <v>0</v>
      </c>
      <c r="J654">
        <f>14.1049*$J$587</f>
        <v>0</v>
      </c>
      <c r="K654">
        <f>-18.8065*$K$587</f>
        <v>0</v>
      </c>
      <c r="L654">
        <f>-2.4658*$L$587</f>
        <v>0</v>
      </c>
      <c r="M654">
        <f>0+D654+E654+G654+H654+I654+J654+K654+L654</f>
        <v>0</v>
      </c>
      <c r="N654">
        <f>0+D654+F654+G654+H654+I654+J654+K654+L654</f>
        <v>0</v>
      </c>
    </row>
    <row r="655" spans="3:14">
      <c r="C655" t="s">
        <v>48</v>
      </c>
      <c r="D655">
        <f>1.3138*$D$587</f>
        <v>0</v>
      </c>
      <c r="E655">
        <f>54.3551*$E$587</f>
        <v>0</v>
      </c>
      <c r="F655">
        <f>-59.2323*$F$587</f>
        <v>0</v>
      </c>
      <c r="G655">
        <f>-2.3127*$G$587</f>
        <v>0</v>
      </c>
      <c r="H655">
        <f>0*$H$587</f>
        <v>0</v>
      </c>
      <c r="I655">
        <f>0.226*$I$587</f>
        <v>0</v>
      </c>
      <c r="J655">
        <f>12.7034*$J$587</f>
        <v>0</v>
      </c>
      <c r="K655">
        <f>-16.9379*$K$587</f>
        <v>0</v>
      </c>
      <c r="L655">
        <f>-2.7177*$L$587</f>
        <v>0</v>
      </c>
      <c r="M655">
        <f>0+D655+E655+G655+H655+I655+J655+K655+L655</f>
        <v>0</v>
      </c>
      <c r="N655">
        <f>0+D655+F655+G655+H655+I655+J655+K655+L655</f>
        <v>0</v>
      </c>
    </row>
    <row r="656" spans="3:14">
      <c r="C656" t="s">
        <v>49</v>
      </c>
      <c r="D656">
        <f>-1.4104*$D$587</f>
        <v>0</v>
      </c>
      <c r="E656">
        <f>57.1098*$E$587</f>
        <v>0</v>
      </c>
      <c r="F656">
        <f>-64.1405*$F$587</f>
        <v>0</v>
      </c>
      <c r="G656">
        <f>-0.7328*$G$587</f>
        <v>0</v>
      </c>
      <c r="H656">
        <f>0*$H$587</f>
        <v>0</v>
      </c>
      <c r="I656">
        <f>0.1417*$I$587</f>
        <v>0</v>
      </c>
      <c r="J656">
        <f>9.5161*$J$587</f>
        <v>0</v>
      </c>
      <c r="K656">
        <f>-12.6881*$K$587</f>
        <v>0</v>
      </c>
      <c r="L656">
        <f>-2.9727*$L$587</f>
        <v>0</v>
      </c>
      <c r="M656">
        <f>0+D656+E656+G656+H656+I656+J656+K656+L656</f>
        <v>0</v>
      </c>
      <c r="N656">
        <f>0+D656+F656+G656+H656+I656+J656+K656+L656</f>
        <v>0</v>
      </c>
    </row>
    <row r="657" spans="3:14">
      <c r="C657" t="s">
        <v>49</v>
      </c>
      <c r="D657">
        <f>2.0206*$D$587</f>
        <v>0</v>
      </c>
      <c r="E657">
        <f>58.4928*$E$587</f>
        <v>0</v>
      </c>
      <c r="F657">
        <f>-67.3296*$F$587</f>
        <v>0</v>
      </c>
      <c r="G657">
        <f>0.3577*$G$587</f>
        <v>0</v>
      </c>
      <c r="H657">
        <f>0*$H$587</f>
        <v>0</v>
      </c>
      <c r="I657">
        <f>0.0953*$I$587</f>
        <v>0</v>
      </c>
      <c r="J657">
        <f>7.7704*$J$587</f>
        <v>0</v>
      </c>
      <c r="K657">
        <f>-10.3605*$K$587</f>
        <v>0</v>
      </c>
      <c r="L657">
        <f>-3.3322*$L$587</f>
        <v>0</v>
      </c>
      <c r="M657">
        <f>0+D657+E657+G657+H657+I657+J657+K657+L657</f>
        <v>0</v>
      </c>
      <c r="N657">
        <f>0+D657+F657+G657+H657+I657+J657+K657+L657</f>
        <v>0</v>
      </c>
    </row>
    <row r="658" spans="3:14">
      <c r="C658" t="s">
        <v>50</v>
      </c>
      <c r="D658">
        <f>-0.8746*$D$587</f>
        <v>0</v>
      </c>
      <c r="E658">
        <f>61.436*$E$587</f>
        <v>0</v>
      </c>
      <c r="F658">
        <f>-69.6004*$F$587</f>
        <v>0</v>
      </c>
      <c r="G658">
        <f>1.7707*$G$587</f>
        <v>0</v>
      </c>
      <c r="H658">
        <f>0*$H$587</f>
        <v>0</v>
      </c>
      <c r="I658">
        <f>-0.001*$I$587</f>
        <v>0</v>
      </c>
      <c r="J658">
        <f>5.026*$J$587</f>
        <v>0</v>
      </c>
      <c r="K658">
        <f>-6.7013*$K$587</f>
        <v>0</v>
      </c>
      <c r="L658">
        <f>-3.718*$L$587</f>
        <v>0</v>
      </c>
      <c r="M658">
        <f>0+D658+E658+G658+H658+I658+J658+K658+L658</f>
        <v>0</v>
      </c>
      <c r="N658">
        <f>0+D658+F658+G658+H658+I658+J658+K658+L658</f>
        <v>0</v>
      </c>
    </row>
    <row r="659" spans="3:14">
      <c r="C659" t="s">
        <v>50</v>
      </c>
      <c r="D659">
        <f>2.3978*$D$587</f>
        <v>0</v>
      </c>
      <c r="E659">
        <f>62.8604*$E$587</f>
        <v>0</v>
      </c>
      <c r="F659">
        <f>-73.4141*$F$587</f>
        <v>0</v>
      </c>
      <c r="G659">
        <f>2.8663*$G$587</f>
        <v>0</v>
      </c>
      <c r="H659">
        <f>0*$H$587</f>
        <v>0</v>
      </c>
      <c r="I659">
        <f>-0.0709*$I$587</f>
        <v>0</v>
      </c>
      <c r="J659">
        <f>3.3558*$J$587</f>
        <v>0</v>
      </c>
      <c r="K659">
        <f>-4.4744*$K$587</f>
        <v>0</v>
      </c>
      <c r="L659">
        <f>-4.1849*$L$587</f>
        <v>0</v>
      </c>
      <c r="M659">
        <f>0+D659+E659+G659+H659+I659+J659+K659+L659</f>
        <v>0</v>
      </c>
      <c r="N659">
        <f>0+D659+F659+G659+H659+I659+J659+K659+L659</f>
        <v>0</v>
      </c>
    </row>
    <row r="660" spans="3:14">
      <c r="C660" t="s">
        <v>51</v>
      </c>
      <c r="D660">
        <f>-0.6371*$D$587</f>
        <v>0</v>
      </c>
      <c r="E660">
        <f>66.3113*$E$587</f>
        <v>0</v>
      </c>
      <c r="F660">
        <f>-78.393*$F$587</f>
        <v>0</v>
      </c>
      <c r="G660">
        <f>4.4478*$G$587</f>
        <v>0</v>
      </c>
      <c r="H660">
        <f>0*$H$587</f>
        <v>0</v>
      </c>
      <c r="I660">
        <f>-0.2011*$I$587</f>
        <v>0</v>
      </c>
      <c r="J660">
        <f>0.2661*$J$587</f>
        <v>0</v>
      </c>
      <c r="K660">
        <f>-0.3548*$K$587</f>
        <v>0</v>
      </c>
      <c r="L660">
        <f>-4.683*$L$587</f>
        <v>0</v>
      </c>
      <c r="M660">
        <f>0+D660+E660+G660+H660+I660+J660+K660+L660</f>
        <v>0</v>
      </c>
      <c r="N660">
        <f>0+D660+F660+G660+H660+I660+J660+K660+L660</f>
        <v>0</v>
      </c>
    </row>
    <row r="661" spans="3:14">
      <c r="C661" t="s">
        <v>51</v>
      </c>
      <c r="D661">
        <f>2.5866*$D$587</f>
        <v>0</v>
      </c>
      <c r="E661">
        <f>67.5061*$E$587</f>
        <v>0</v>
      </c>
      <c r="F661">
        <f>-84.2208*$F$587</f>
        <v>0</v>
      </c>
      <c r="G661">
        <f>5.6037*$G$587</f>
        <v>0</v>
      </c>
      <c r="H661">
        <f>0*$H$587</f>
        <v>0</v>
      </c>
      <c r="I661">
        <f>-0.2795*$I$587</f>
        <v>0</v>
      </c>
      <c r="J661">
        <f>-0.8809*$J$587</f>
        <v>0</v>
      </c>
      <c r="K661">
        <f>1.1745*$K$587</f>
        <v>0</v>
      </c>
      <c r="L661">
        <f>-5.2955*$L$587</f>
        <v>0</v>
      </c>
      <c r="M661">
        <f>0+D661+E661+G661+H661+I661+J661+K661+L661</f>
        <v>0</v>
      </c>
      <c r="N661">
        <f>0+D661+F661+G661+H661+I661+J661+K661+L661</f>
        <v>0</v>
      </c>
    </row>
    <row r="662" spans="3:14">
      <c r="C662" t="s">
        <v>52</v>
      </c>
      <c r="D662">
        <f>-0.4881*$D$587</f>
        <v>0</v>
      </c>
      <c r="E662">
        <f>71.5302*$E$587</f>
        <v>0</v>
      </c>
      <c r="F662">
        <f>-90.3524*$F$587</f>
        <v>0</v>
      </c>
      <c r="G662">
        <f>7.4546*$G$587</f>
        <v>0</v>
      </c>
      <c r="H662">
        <f>0*$H$587</f>
        <v>0</v>
      </c>
      <c r="I662">
        <f>-0.4191*$I$587</f>
        <v>0</v>
      </c>
      <c r="J662">
        <f>-4.7246*$J$587</f>
        <v>0</v>
      </c>
      <c r="K662">
        <f>6.2995*$K$587</f>
        <v>0</v>
      </c>
      <c r="L662">
        <f>-5.9934*$L$587</f>
        <v>0</v>
      </c>
      <c r="M662">
        <f>0+D662+E662+G662+H662+I662+J662+K662+L662</f>
        <v>0</v>
      </c>
      <c r="N662">
        <f>0+D662+F662+G662+H662+I662+J662+K662+L662</f>
        <v>0</v>
      </c>
    </row>
    <row r="663" spans="3:14">
      <c r="C663" t="s">
        <v>52</v>
      </c>
      <c r="D663">
        <f>-2.4187*$D$587</f>
        <v>0</v>
      </c>
      <c r="E663">
        <f>83.9873*$E$587</f>
        <v>0</v>
      </c>
      <c r="F663">
        <f>-80.2916*$F$587</f>
        <v>0</v>
      </c>
      <c r="G663">
        <f>-2.1983*$G$587</f>
        <v>0</v>
      </c>
      <c r="H663">
        <f>0*$H$587</f>
        <v>0</v>
      </c>
      <c r="I663">
        <f>-0.1775*$I$587</f>
        <v>0</v>
      </c>
      <c r="J663">
        <f>39.4564*$J$587</f>
        <v>0</v>
      </c>
      <c r="K663">
        <f>-52.6085*$K$587</f>
        <v>0</v>
      </c>
      <c r="L663">
        <f>-10.0798*$L$587</f>
        <v>0</v>
      </c>
      <c r="M663">
        <f>0+D663+E663+G663+H663+I663+J663+K663+L663</f>
        <v>0</v>
      </c>
      <c r="N663">
        <f>0+D663+F663+G663+H663+I663+J663+K663+L663</f>
        <v>0</v>
      </c>
    </row>
    <row r="664" spans="3:14">
      <c r="C664" t="s">
        <v>53</v>
      </c>
      <c r="D664">
        <f>-5.2608*$D$587</f>
        <v>0</v>
      </c>
      <c r="E664">
        <f>86.2659*$E$587</f>
        <v>0</v>
      </c>
      <c r="F664">
        <f>-91.1886*$F$587</f>
        <v>0</v>
      </c>
      <c r="G664">
        <f>-0.4753*$G$587</f>
        <v>0</v>
      </c>
      <c r="H664">
        <f>0*$H$587</f>
        <v>0</v>
      </c>
      <c r="I664">
        <f>-0.3149*$I$587</f>
        <v>0</v>
      </c>
      <c r="J664">
        <f>35.3109*$J$587</f>
        <v>0</v>
      </c>
      <c r="K664">
        <f>-47.0812*$K$587</f>
        <v>0</v>
      </c>
      <c r="L664">
        <f>-10.6101*$L$587</f>
        <v>0</v>
      </c>
      <c r="M664">
        <f>0+D664+E664+G664+H664+I664+J664+K664+L664</f>
        <v>0</v>
      </c>
      <c r="N664">
        <f>0+D664+F664+G664+H664+I664+J664+K664+L664</f>
        <v>0</v>
      </c>
    </row>
    <row r="665" spans="3:14">
      <c r="C665" t="s">
        <v>53</v>
      </c>
      <c r="D665">
        <f>-2.6735*$D$587</f>
        <v>0</v>
      </c>
      <c r="E665">
        <f>85.6841*$E$587</f>
        <v>0</v>
      </c>
      <c r="F665">
        <f>-93.7998*$F$587</f>
        <v>0</v>
      </c>
      <c r="G665">
        <f>0.5619*$G$587</f>
        <v>0</v>
      </c>
      <c r="H665">
        <f>0*$H$587</f>
        <v>0</v>
      </c>
      <c r="I665">
        <f>-0.4366*$I$587</f>
        <v>0</v>
      </c>
      <c r="J665">
        <f>34.2856*$J$587</f>
        <v>0</v>
      </c>
      <c r="K665">
        <f>-45.7141*$K$587</f>
        <v>0</v>
      </c>
      <c r="L665">
        <f>-11.1818*$L$587</f>
        <v>0</v>
      </c>
      <c r="M665">
        <f>0+D665+E665+G665+H665+I665+J665+K665+L665</f>
        <v>0</v>
      </c>
      <c r="N665">
        <f>0+D665+F665+G665+H665+I665+J665+K665+L665</f>
        <v>0</v>
      </c>
    </row>
    <row r="666" spans="3:14">
      <c r="C666" t="s">
        <v>54</v>
      </c>
      <c r="D666">
        <f>-5.9537*$D$587</f>
        <v>0</v>
      </c>
      <c r="E666">
        <f>95.6218*$E$587</f>
        <v>0</v>
      </c>
      <c r="F666">
        <f>-99.328*$F$587</f>
        <v>0</v>
      </c>
      <c r="G666">
        <f>2.0225*$G$587</f>
        <v>0</v>
      </c>
      <c r="H666">
        <f>0*$H$587</f>
        <v>0</v>
      </c>
      <c r="I666">
        <f>-0.6369*$I$587</f>
        <v>0</v>
      </c>
      <c r="J666">
        <f>31.0503*$J$587</f>
        <v>0</v>
      </c>
      <c r="K666">
        <f>-41.4005*$K$587</f>
        <v>0</v>
      </c>
      <c r="L666">
        <f>-11.5908*$L$587</f>
        <v>0</v>
      </c>
      <c r="M666">
        <f>0+D666+E666+G666+H666+I666+J666+K666+L666</f>
        <v>0</v>
      </c>
      <c r="N666">
        <f>0+D666+F666+G666+H666+I666+J666+K666+L666</f>
        <v>0</v>
      </c>
    </row>
    <row r="667" spans="3:14">
      <c r="C667" t="s">
        <v>54</v>
      </c>
      <c r="D667">
        <f>-3.7817*$D$587</f>
        <v>0</v>
      </c>
      <c r="E667">
        <f>82.7311*$E$587</f>
        <v>0</v>
      </c>
      <c r="F667">
        <f>-104.4675*$F$587</f>
        <v>0</v>
      </c>
      <c r="G667">
        <f>2.9659*$G$587</f>
        <v>0</v>
      </c>
      <c r="H667">
        <f>0*$H$587</f>
        <v>0</v>
      </c>
      <c r="I667">
        <f>-0.8204*$I$587</f>
        <v>0</v>
      </c>
      <c r="J667">
        <f>29.4374*$J$587</f>
        <v>0</v>
      </c>
      <c r="K667">
        <f>-39.2498*$K$587</f>
        <v>0</v>
      </c>
      <c r="L667">
        <f>-11.9314*$L$587</f>
        <v>0</v>
      </c>
      <c r="M667">
        <f>0+D667+E667+G667+H667+I667+J667+K667+L667</f>
        <v>0</v>
      </c>
      <c r="N667">
        <f>0+D667+F667+G667+H667+I667+J667+K667+L667</f>
        <v>0</v>
      </c>
    </row>
    <row r="668" spans="3:14">
      <c r="C668" t="s">
        <v>55</v>
      </c>
      <c r="D668">
        <f>-7.6123*$D$587</f>
        <v>0</v>
      </c>
      <c r="E668">
        <f>81.5327*$E$587</f>
        <v>0</v>
      </c>
      <c r="F668">
        <f>-109.7551*$F$587</f>
        <v>0</v>
      </c>
      <c r="G668">
        <f>4.1978*$G$587</f>
        <v>0</v>
      </c>
      <c r="H668">
        <f>0*$H$587</f>
        <v>0</v>
      </c>
      <c r="I668">
        <f>-1.0875*$I$587</f>
        <v>0</v>
      </c>
      <c r="J668">
        <f>26.7748*$J$587</f>
        <v>0</v>
      </c>
      <c r="K668">
        <f>-35.6997*$K$587</f>
        <v>0</v>
      </c>
      <c r="L668">
        <f>-12.2563*$L$587</f>
        <v>0</v>
      </c>
      <c r="M668">
        <f>0+D668+E668+G668+H668+I668+J668+K668+L668</f>
        <v>0</v>
      </c>
      <c r="N668">
        <f>0+D668+F668+G668+H668+I668+J668+K668+L668</f>
        <v>0</v>
      </c>
    </row>
    <row r="669" spans="3:14">
      <c r="C669" t="s">
        <v>55</v>
      </c>
      <c r="D669">
        <f>-5.8902*$D$587</f>
        <v>0</v>
      </c>
      <c r="E669">
        <f>79.3838*$E$587</f>
        <v>0</v>
      </c>
      <c r="F669">
        <f>-115.4001*$F$587</f>
        <v>0</v>
      </c>
      <c r="G669">
        <f>5.0221*$G$587</f>
        <v>0</v>
      </c>
      <c r="H669">
        <f>0*$H$587</f>
        <v>0</v>
      </c>
      <c r="I669">
        <f>-1.3342*$I$587</f>
        <v>0</v>
      </c>
      <c r="J669">
        <f>25.0914*$J$587</f>
        <v>0</v>
      </c>
      <c r="K669">
        <f>-33.4553*$K$587</f>
        <v>0</v>
      </c>
      <c r="L669">
        <f>-12.2952*$L$587</f>
        <v>0</v>
      </c>
      <c r="M669">
        <f>0+D669+E669+G669+H669+I669+J669+K669+L669</f>
        <v>0</v>
      </c>
      <c r="N669">
        <f>0+D669+F669+G669+H669+I669+J669+K669+L669</f>
        <v>0</v>
      </c>
    </row>
    <row r="670" spans="3:14">
      <c r="C670" t="s">
        <v>56</v>
      </c>
      <c r="D670">
        <f>-9.9691*$D$587</f>
        <v>0</v>
      </c>
      <c r="E670">
        <f>80.4239*$E$587</f>
        <v>0</v>
      </c>
      <c r="F670">
        <f>-122.4303*$F$587</f>
        <v>0</v>
      </c>
      <c r="G670">
        <f>6.1998*$G$587</f>
        <v>0</v>
      </c>
      <c r="H670">
        <f>0*$H$587</f>
        <v>0</v>
      </c>
      <c r="I670">
        <f>-1.6454*$I$587</f>
        <v>0</v>
      </c>
      <c r="J670">
        <f>21.4548*$J$587</f>
        <v>0</v>
      </c>
      <c r="K670">
        <f>-28.6064*$K$587</f>
        <v>0</v>
      </c>
      <c r="L670">
        <f>-12.1942*$L$587</f>
        <v>0</v>
      </c>
      <c r="M670">
        <f>0+D670+E670+G670+H670+I670+J670+K670+L670</f>
        <v>0</v>
      </c>
      <c r="N670">
        <f>0+D670+F670+G670+H670+I670+J670+K670+L670</f>
        <v>0</v>
      </c>
    </row>
    <row r="671" spans="3:14">
      <c r="C671" t="s">
        <v>56</v>
      </c>
      <c r="D671">
        <f>-7.9067*$D$587</f>
        <v>0</v>
      </c>
      <c r="E671">
        <f>78.7835*$E$587</f>
        <v>0</v>
      </c>
      <c r="F671">
        <f>-126.8834*$F$587</f>
        <v>0</v>
      </c>
      <c r="G671">
        <f>6.8634*$G$587</f>
        <v>0</v>
      </c>
      <c r="H671">
        <f>0*$H$587</f>
        <v>0</v>
      </c>
      <c r="I671">
        <f>-1.8433*$I$587</f>
        <v>0</v>
      </c>
      <c r="J671">
        <f>19.0905*$J$587</f>
        <v>0</v>
      </c>
      <c r="K671">
        <f>-25.4541*$K$587</f>
        <v>0</v>
      </c>
      <c r="L671">
        <f>-11.5123*$L$587</f>
        <v>0</v>
      </c>
      <c r="M671">
        <f>0+D671+E671+G671+H671+I671+J671+K671+L671</f>
        <v>0</v>
      </c>
      <c r="N671">
        <f>0+D671+F671+G671+H671+I671+J671+K671+L671</f>
        <v>0</v>
      </c>
    </row>
    <row r="672" spans="3:14">
      <c r="C672" t="s">
        <v>57</v>
      </c>
      <c r="D672">
        <f>-10.9414*$D$587</f>
        <v>0</v>
      </c>
      <c r="E672">
        <f>77.3576*$E$587</f>
        <v>0</v>
      </c>
      <c r="F672">
        <f>-129.3459*$F$587</f>
        <v>0</v>
      </c>
      <c r="G672">
        <f>7.8923*$G$587</f>
        <v>0</v>
      </c>
      <c r="H672">
        <f>0*$H$587</f>
        <v>0</v>
      </c>
      <c r="I672">
        <f>-2.0123*$I$587</f>
        <v>0</v>
      </c>
      <c r="J672">
        <f>10.7498*$J$587</f>
        <v>0</v>
      </c>
      <c r="K672">
        <f>-14.3331*$K$587</f>
        <v>0</v>
      </c>
      <c r="L672">
        <f>-9.8849*$L$587</f>
        <v>0</v>
      </c>
      <c r="M672">
        <f>0+D672+E672+G672+H672+I672+J672+K672+L672</f>
        <v>0</v>
      </c>
      <c r="N672">
        <f>0+D672+F672+G672+H672+I672+J672+K672+L672</f>
        <v>0</v>
      </c>
    </row>
    <row r="673" spans="3:14">
      <c r="C673" t="s">
        <v>57</v>
      </c>
      <c r="D673">
        <f>-7.8006*$D$587</f>
        <v>0</v>
      </c>
      <c r="E673">
        <f>101.2748*$E$587</f>
        <v>0</v>
      </c>
      <c r="F673">
        <f>-75.275*$F$587</f>
        <v>0</v>
      </c>
      <c r="G673">
        <f>1.442*$G$587</f>
        <v>0</v>
      </c>
      <c r="H673">
        <f>0*$H$587</f>
        <v>0</v>
      </c>
      <c r="I673">
        <f>-1.3171*$I$587</f>
        <v>0</v>
      </c>
      <c r="J673">
        <f>31.8459*$J$587</f>
        <v>0</v>
      </c>
      <c r="K673">
        <f>-42.4611*$K$587</f>
        <v>0</v>
      </c>
      <c r="L673">
        <f>-12.0416*$L$587</f>
        <v>0</v>
      </c>
      <c r="M673">
        <f>0+D673+E673+G673+H673+I673+J673+K673+L673</f>
        <v>0</v>
      </c>
      <c r="N673">
        <f>0+D673+F673+G673+H673+I673+J673+K673+L673</f>
        <v>0</v>
      </c>
    </row>
    <row r="674" spans="3:14">
      <c r="C674" t="s">
        <v>58</v>
      </c>
      <c r="D674">
        <f>-10.5839*$D$587</f>
        <v>0</v>
      </c>
      <c r="E674">
        <f>101.2748*$E$587</f>
        <v>0</v>
      </c>
      <c r="F674">
        <f>-75.275*$F$587</f>
        <v>0</v>
      </c>
      <c r="G674">
        <f>1.442*$G$587</f>
        <v>0</v>
      </c>
      <c r="H674">
        <f>0*$H$587</f>
        <v>0</v>
      </c>
      <c r="I674">
        <f>-1.3171*$I$587</f>
        <v>0</v>
      </c>
      <c r="J674">
        <f>31.8459*$J$587</f>
        <v>0</v>
      </c>
      <c r="K674">
        <f>-42.4611*$K$587</f>
        <v>0</v>
      </c>
      <c r="L674">
        <f>-12.0416*$L$587</f>
        <v>0</v>
      </c>
      <c r="M674">
        <f>0+D674+E674+G674+H674+I674+J674+K674+L674</f>
        <v>0</v>
      </c>
      <c r="N674">
        <f>0+D674+F674+G674+H674+I674+J674+K674+L674</f>
        <v>0</v>
      </c>
    </row>
    <row r="675" spans="3:14">
      <c r="C675" t="s">
        <v>58</v>
      </c>
      <c r="D675">
        <f>11.1642*$D$587</f>
        <v>0</v>
      </c>
      <c r="E675">
        <f>31.4492*$E$587</f>
        <v>0</v>
      </c>
      <c r="F675">
        <f>-14.0963*$F$587</f>
        <v>0</v>
      </c>
      <c r="G675">
        <f>-0.5331*$G$587</f>
        <v>0</v>
      </c>
      <c r="H675">
        <f>0*$H$587</f>
        <v>0</v>
      </c>
      <c r="I675">
        <f>1.358*$I$587</f>
        <v>0</v>
      </c>
      <c r="J675">
        <f>-24.0813*$J$587</f>
        <v>0</v>
      </c>
      <c r="K675">
        <f>32.1084*$K$587</f>
        <v>0</v>
      </c>
      <c r="L675">
        <f>-36.3925*$L$587</f>
        <v>0</v>
      </c>
      <c r="M675">
        <f>0+D675+E675+G675+H675+I675+J675+K675+L675</f>
        <v>0</v>
      </c>
      <c r="N675">
        <f>0+D675+F675+G675+H675+I675+J675+K675+L675</f>
        <v>0</v>
      </c>
    </row>
    <row r="676" spans="3:14">
      <c r="C676" t="s">
        <v>59</v>
      </c>
      <c r="D676">
        <f>8.3809*$D$587</f>
        <v>0</v>
      </c>
      <c r="E676">
        <f>31.4492*$E$587</f>
        <v>0</v>
      </c>
      <c r="F676">
        <f>-14.0961*$F$587</f>
        <v>0</v>
      </c>
      <c r="G676">
        <f>-0.5331*$G$587</f>
        <v>0</v>
      </c>
      <c r="H676">
        <f>0*$H$587</f>
        <v>0</v>
      </c>
      <c r="I676">
        <f>1.358*$I$587</f>
        <v>0</v>
      </c>
      <c r="J676">
        <f>-24.0813*$J$587</f>
        <v>0</v>
      </c>
      <c r="K676">
        <f>32.1084*$K$587</f>
        <v>0</v>
      </c>
      <c r="L676">
        <f>-36.3925*$L$587</f>
        <v>0</v>
      </c>
      <c r="M676">
        <f>0+D676+E676+G676+H676+I676+J676+K676+L676</f>
        <v>0</v>
      </c>
      <c r="N676">
        <f>0+D676+F676+G676+H676+I676+J676+K676+L676</f>
        <v>0</v>
      </c>
    </row>
    <row r="677" spans="3:14">
      <c r="C677" t="s">
        <v>59</v>
      </c>
      <c r="D677">
        <f>12.3822*$D$587</f>
        <v>0</v>
      </c>
      <c r="E677">
        <f>73.8661*$E$587</f>
        <v>0</v>
      </c>
      <c r="F677">
        <f>-29.7202*$F$587</f>
        <v>0</v>
      </c>
      <c r="G677">
        <f>-6.4635*$G$587</f>
        <v>0</v>
      </c>
      <c r="H677">
        <f>0*$H$587</f>
        <v>0</v>
      </c>
      <c r="I677">
        <f>2.1533*$I$587</f>
        <v>0</v>
      </c>
      <c r="J677">
        <f>1.1172*$J$587</f>
        <v>0</v>
      </c>
      <c r="K677">
        <f>-1.4896*$K$587</f>
        <v>0</v>
      </c>
      <c r="L677">
        <f>-54.7634*$L$587</f>
        <v>0</v>
      </c>
      <c r="M677">
        <f>0+D677+E677+G677+H677+I677+J677+K677+L677</f>
        <v>0</v>
      </c>
      <c r="N677">
        <f>0+D677+F677+G677+H677+I677+J677+K677+L677</f>
        <v>0</v>
      </c>
    </row>
    <row r="678" spans="3:14">
      <c r="C678" t="s">
        <v>60</v>
      </c>
      <c r="D678">
        <f>10.7061*$D$587</f>
        <v>0</v>
      </c>
      <c r="E678">
        <f>74.0921*$E$587</f>
        <v>0</v>
      </c>
      <c r="F678">
        <f>-30.6978*$F$587</f>
        <v>0</v>
      </c>
      <c r="G678">
        <f>-5.4097*$G$587</f>
        <v>0</v>
      </c>
      <c r="H678">
        <f>0*$H$587</f>
        <v>0</v>
      </c>
      <c r="I678">
        <f>2.1847*$I$587</f>
        <v>0</v>
      </c>
      <c r="J678">
        <f>-8.5205*$J$587</f>
        <v>0</v>
      </c>
      <c r="K678">
        <f>11.3606*$K$587</f>
        <v>0</v>
      </c>
      <c r="L678">
        <f>-57.6697*$L$587</f>
        <v>0</v>
      </c>
      <c r="M678">
        <f>0+D678+E678+G678+H678+I678+J678+K678+L678</f>
        <v>0</v>
      </c>
      <c r="N678">
        <f>0+D678+F678+G678+H678+I678+J678+K678+L678</f>
        <v>0</v>
      </c>
    </row>
    <row r="679" spans="3:14">
      <c r="C679" t="s">
        <v>60</v>
      </c>
      <c r="D679">
        <f>13.7561*$D$587</f>
        <v>0</v>
      </c>
      <c r="E679">
        <f>71.7762*$E$587</f>
        <v>0</v>
      </c>
      <c r="F679">
        <f>-31.5786*$F$587</f>
        <v>0</v>
      </c>
      <c r="G679">
        <f>-4.6815*$G$587</f>
        <v>0</v>
      </c>
      <c r="H679">
        <f>0*$H$587</f>
        <v>0</v>
      </c>
      <c r="I679">
        <f>2.1284*$I$587</f>
        <v>0</v>
      </c>
      <c r="J679">
        <f>-11.3132*$J$587</f>
        <v>0</v>
      </c>
      <c r="K679">
        <f>15.0842*$K$587</f>
        <v>0</v>
      </c>
      <c r="L679">
        <f>-57.6801*$L$587</f>
        <v>0</v>
      </c>
      <c r="M679">
        <f>0+D679+E679+G679+H679+I679+J679+K679+L679</f>
        <v>0</v>
      </c>
      <c r="N679">
        <f>0+D679+F679+G679+H679+I679+J679+K679+L679</f>
        <v>0</v>
      </c>
    </row>
    <row r="680" spans="3:14">
      <c r="C680" t="s">
        <v>61</v>
      </c>
      <c r="D680">
        <f>10.4972*$D$587</f>
        <v>0</v>
      </c>
      <c r="E680">
        <f>67.353*$E$587</f>
        <v>0</v>
      </c>
      <c r="F680">
        <f>-31.3582*$F$587</f>
        <v>0</v>
      </c>
      <c r="G680">
        <f>-3.4321*$G$587</f>
        <v>0</v>
      </c>
      <c r="H680">
        <f>0*$H$587</f>
        <v>0</v>
      </c>
      <c r="I680">
        <f>1.9332*$I$587</f>
        <v>0</v>
      </c>
      <c r="J680">
        <f>-15.1734*$J$587</f>
        <v>0</v>
      </c>
      <c r="K680">
        <f>20.2311*$K$587</f>
        <v>0</v>
      </c>
      <c r="L680">
        <f>-50.685*$L$587</f>
        <v>0</v>
      </c>
      <c r="M680">
        <f>0+D680+E680+G680+H680+I680+J680+K680+L680</f>
        <v>0</v>
      </c>
      <c r="N680">
        <f>0+D680+F680+G680+H680+I680+J680+K680+L680</f>
        <v>0</v>
      </c>
    </row>
    <row r="681" spans="3:14">
      <c r="C681" t="s">
        <v>61</v>
      </c>
      <c r="D681">
        <f>12.7816*$D$587</f>
        <v>0</v>
      </c>
      <c r="E681">
        <f>64.2359*$E$587</f>
        <v>0</v>
      </c>
      <c r="F681">
        <f>-32.7845*$F$587</f>
        <v>0</v>
      </c>
      <c r="G681">
        <f>-2.5004*$G$587</f>
        <v>0</v>
      </c>
      <c r="H681">
        <f>0*$H$587</f>
        <v>0</v>
      </c>
      <c r="I681">
        <f>1.7617*$I$587</f>
        <v>0</v>
      </c>
      <c r="J681">
        <f>-16.5076*$J$587</f>
        <v>0</v>
      </c>
      <c r="K681">
        <f>22.0102*$K$587</f>
        <v>0</v>
      </c>
      <c r="L681">
        <f>-45.2421*$L$587</f>
        <v>0</v>
      </c>
      <c r="M681">
        <f>0+D681+E681+G681+H681+I681+J681+K681+L681</f>
        <v>0</v>
      </c>
      <c r="N681">
        <f>0+D681+F681+G681+H681+I681+J681+K681+L681</f>
        <v>0</v>
      </c>
    </row>
    <row r="682" spans="3:14">
      <c r="C682" t="s">
        <v>62</v>
      </c>
      <c r="D682">
        <f>9.1722*$D$587</f>
        <v>0</v>
      </c>
      <c r="E682">
        <f>59.9753*$E$587</f>
        <v>0</v>
      </c>
      <c r="F682">
        <f>-32.4776*$F$587</f>
        <v>0</v>
      </c>
      <c r="G682">
        <f>-1.1571*$G$587</f>
        <v>0</v>
      </c>
      <c r="H682">
        <f>0*$H$587</f>
        <v>0</v>
      </c>
      <c r="I682">
        <f>1.5189*$I$587</f>
        <v>0</v>
      </c>
      <c r="J682">
        <f>-18.5494*$J$587</f>
        <v>0</v>
      </c>
      <c r="K682">
        <f>24.7325*$K$587</f>
        <v>0</v>
      </c>
      <c r="L682">
        <f>-35.1878*$L$587</f>
        <v>0</v>
      </c>
      <c r="M682">
        <f>0+D682+E682+G682+H682+I682+J682+K682+L682</f>
        <v>0</v>
      </c>
      <c r="N682">
        <f>0+D682+F682+G682+H682+I682+J682+K682+L682</f>
        <v>0</v>
      </c>
    </row>
    <row r="683" spans="3:14">
      <c r="C683" t="s">
        <v>62</v>
      </c>
      <c r="D683">
        <f>11.3864*$D$587</f>
        <v>0</v>
      </c>
      <c r="E683">
        <f>57.2077*$E$587</f>
        <v>0</v>
      </c>
      <c r="F683">
        <f>-33.8988*$F$587</f>
        <v>0</v>
      </c>
      <c r="G683">
        <f>-0.0747*$G$587</f>
        <v>0</v>
      </c>
      <c r="H683">
        <f>0*$H$587</f>
        <v>0</v>
      </c>
      <c r="I683">
        <f>1.3313*$I$587</f>
        <v>0</v>
      </c>
      <c r="J683">
        <f>-19.1757*$J$587</f>
        <v>0</v>
      </c>
      <c r="K683">
        <f>25.5676*$K$587</f>
        <v>0</v>
      </c>
      <c r="L683">
        <f>-27.4822*$L$587</f>
        <v>0</v>
      </c>
      <c r="M683">
        <f>0+D683+E683+G683+H683+I683+J683+K683+L683</f>
        <v>0</v>
      </c>
      <c r="N683">
        <f>0+D683+F683+G683+H683+I683+J683+K683+L683</f>
        <v>0</v>
      </c>
    </row>
    <row r="684" spans="3:14">
      <c r="C684" t="s">
        <v>63</v>
      </c>
      <c r="D684">
        <f>7.819*$D$587</f>
        <v>0</v>
      </c>
      <c r="E684">
        <f>50.631*$E$587</f>
        <v>0</v>
      </c>
      <c r="F684">
        <f>-33.4408*$F$587</f>
        <v>0</v>
      </c>
      <c r="G684">
        <f>1.5101*$G$587</f>
        <v>0</v>
      </c>
      <c r="H684">
        <f>0*$H$587</f>
        <v>0</v>
      </c>
      <c r="I684">
        <f>1.079*$I$587</f>
        <v>0</v>
      </c>
      <c r="J684">
        <f>-21.331*$J$587</f>
        <v>0</v>
      </c>
      <c r="K684">
        <f>28.4413*$K$587</f>
        <v>0</v>
      </c>
      <c r="L684">
        <f>-15.7265*$L$587</f>
        <v>0</v>
      </c>
      <c r="M684">
        <f>0+D684+E684+G684+H684+I684+J684+K684+L684</f>
        <v>0</v>
      </c>
      <c r="N684">
        <f>0+D684+F684+G684+H684+I684+J684+K684+L684</f>
        <v>0</v>
      </c>
    </row>
    <row r="685" spans="3:14">
      <c r="C685" t="s">
        <v>63</v>
      </c>
      <c r="D685">
        <f>9.9849*$D$587</f>
        <v>0</v>
      </c>
      <c r="E685">
        <f>47.0322*$E$587</f>
        <v>0</v>
      </c>
      <c r="F685">
        <f>-35.8424*$F$587</f>
        <v>0</v>
      </c>
      <c r="G685">
        <f>2.7154*$G$587</f>
        <v>0</v>
      </c>
      <c r="H685">
        <f>0*$H$587</f>
        <v>0</v>
      </c>
      <c r="I685">
        <f>0.8826*$I$587</f>
        <v>0</v>
      </c>
      <c r="J685">
        <f>-20.8042*$J$587</f>
        <v>0</v>
      </c>
      <c r="K685">
        <f>27.7389*$K$587</f>
        <v>0</v>
      </c>
      <c r="L685">
        <f>-7.6297*$L$587</f>
        <v>0</v>
      </c>
      <c r="M685">
        <f>0+D685+E685+G685+H685+I685+J685+K685+L685</f>
        <v>0</v>
      </c>
      <c r="N685">
        <f>0+D685+F685+G685+H685+I685+J685+K685+L685</f>
        <v>0</v>
      </c>
    </row>
    <row r="686" spans="3:14">
      <c r="C686" t="s">
        <v>64</v>
      </c>
      <c r="D686">
        <f>6.3376*$D$587</f>
        <v>0</v>
      </c>
      <c r="E686">
        <f>39.7849*$E$587</f>
        <v>0</v>
      </c>
      <c r="F686">
        <f>-37.1732*$F$587</f>
        <v>0</v>
      </c>
      <c r="G686">
        <f>4.564*$G$587</f>
        <v>0</v>
      </c>
      <c r="H686">
        <f>0*$H$587</f>
        <v>0</v>
      </c>
      <c r="I686">
        <f>0.6161*$I$587</f>
        <v>0</v>
      </c>
      <c r="J686">
        <f>-23.5032*$J$587</f>
        <v>0</v>
      </c>
      <c r="K686">
        <f>31.3376*$K$587</f>
        <v>0</v>
      </c>
      <c r="L686">
        <f>3.4987*$L$587</f>
        <v>0</v>
      </c>
      <c r="M686">
        <f>0+D686+E686+G686+H686+I686+J686+K686+L686</f>
        <v>0</v>
      </c>
      <c r="N686">
        <f>0+D686+F686+G686+H686+I686+J686+K686+L686</f>
        <v>0</v>
      </c>
    </row>
    <row r="687" spans="3:14">
      <c r="C687" t="s">
        <v>64</v>
      </c>
      <c r="D687">
        <f>7.305*$D$587</f>
        <v>0</v>
      </c>
      <c r="E687">
        <f>42.9827*$E$587</f>
        <v>0</v>
      </c>
      <c r="F687">
        <f>-32.5235*$F$587</f>
        <v>0</v>
      </c>
      <c r="G687">
        <f>-3.1933*$G$587</f>
        <v>0</v>
      </c>
      <c r="H687">
        <f>0*$H$587</f>
        <v>0</v>
      </c>
      <c r="I687">
        <f>1.1711*$I$587</f>
        <v>0</v>
      </c>
      <c r="J687">
        <f>35.9035*$J$587</f>
        <v>0</v>
      </c>
      <c r="K687">
        <f>-47.8713*$K$587</f>
        <v>0</v>
      </c>
      <c r="L687">
        <f>3.2864*$L$587</f>
        <v>0</v>
      </c>
      <c r="M687">
        <f>0+D687+E687+G687+H687+I687+J687+K687+L687</f>
        <v>0</v>
      </c>
      <c r="N687">
        <f>0+D687+F687+G687+H687+I687+J687+K687+L687</f>
        <v>0</v>
      </c>
    </row>
    <row r="688" spans="3:14">
      <c r="C688" t="s">
        <v>65</v>
      </c>
      <c r="D688">
        <f>3.1944*$D$587</f>
        <v>0</v>
      </c>
      <c r="E688">
        <f>41.2821*$E$587</f>
        <v>0</v>
      </c>
      <c r="F688">
        <f>-39.3059*$F$587</f>
        <v>0</v>
      </c>
      <c r="G688">
        <f>-1.2254*$G$587</f>
        <v>0</v>
      </c>
      <c r="H688">
        <f>0*$H$587</f>
        <v>0</v>
      </c>
      <c r="I688">
        <f>0.8685*$I$587</f>
        <v>0</v>
      </c>
      <c r="J688">
        <f>33.4617*$J$587</f>
        <v>0</v>
      </c>
      <c r="K688">
        <f>-44.6157*$K$587</f>
        <v>0</v>
      </c>
      <c r="L688">
        <f>15.6484*$L$587</f>
        <v>0</v>
      </c>
      <c r="M688">
        <f>0+D688+E688+G688+H688+I688+J688+K688+L688</f>
        <v>0</v>
      </c>
      <c r="N688">
        <f>0+D688+F688+G688+H688+I688+J688+K688+L688</f>
        <v>0</v>
      </c>
    </row>
    <row r="689" spans="3:14">
      <c r="C689" t="s">
        <v>65</v>
      </c>
      <c r="D689">
        <f>5.5747*$D$587</f>
        <v>0</v>
      </c>
      <c r="E689">
        <f>39.4253*$E$587</f>
        <v>0</v>
      </c>
      <c r="F689">
        <f>-42.6546*$F$587</f>
        <v>0</v>
      </c>
      <c r="G689">
        <f>0.1391*$G$587</f>
        <v>0</v>
      </c>
      <c r="H689">
        <f>0*$H$587</f>
        <v>0</v>
      </c>
      <c r="I689">
        <f>0.6494*$I$587</f>
        <v>0</v>
      </c>
      <c r="J689">
        <f>34.3611*$J$587</f>
        <v>0</v>
      </c>
      <c r="K689">
        <f>-45.8149*$K$587</f>
        <v>0</v>
      </c>
      <c r="L689">
        <f>25.5631*$L$587</f>
        <v>0</v>
      </c>
      <c r="M689">
        <f>0+D689+E689+G689+H689+I689+J689+K689+L689</f>
        <v>0</v>
      </c>
      <c r="N689">
        <f>0+D689+F689+G689+H689+I689+J689+K689+L689</f>
        <v>0</v>
      </c>
    </row>
    <row r="690" spans="3:14">
      <c r="C690" t="s">
        <v>66</v>
      </c>
      <c r="D690">
        <f>1.5727*$D$587</f>
        <v>0</v>
      </c>
      <c r="E690">
        <f>40.1551*$E$587</f>
        <v>0</v>
      </c>
      <c r="F690">
        <f>-47.878*$F$587</f>
        <v>0</v>
      </c>
      <c r="G690">
        <f>1.8516*$G$587</f>
        <v>0</v>
      </c>
      <c r="H690">
        <f>0*$H$587</f>
        <v>0</v>
      </c>
      <c r="I690">
        <f>0.365*$I$587</f>
        <v>0</v>
      </c>
      <c r="J690">
        <f>32.7449*$J$587</f>
        <v>0</v>
      </c>
      <c r="K690">
        <f>-43.6598*$K$587</f>
        <v>0</v>
      </c>
      <c r="L690">
        <f>39.2651*$L$587</f>
        <v>0</v>
      </c>
      <c r="M690">
        <f>0+D690+E690+G690+H690+I690+J690+K690+L690</f>
        <v>0</v>
      </c>
      <c r="N690">
        <f>0+D690+F690+G690+H690+I690+J690+K690+L690</f>
        <v>0</v>
      </c>
    </row>
    <row r="691" spans="3:14">
      <c r="C691" t="s">
        <v>66</v>
      </c>
      <c r="D691">
        <f>3.9648*$D$587</f>
        <v>0</v>
      </c>
      <c r="E691">
        <f>42.9777*$E$587</f>
        <v>0</v>
      </c>
      <c r="F691">
        <f>-51.1197*$F$587</f>
        <v>0</v>
      </c>
      <c r="G691">
        <f>3.0861*$G$587</f>
        <v>0</v>
      </c>
      <c r="H691">
        <f>0*$H$587</f>
        <v>0</v>
      </c>
      <c r="I691">
        <f>0.1528*$I$587</f>
        <v>0</v>
      </c>
      <c r="J691">
        <f>32.776*$J$587</f>
        <v>0</v>
      </c>
      <c r="K691">
        <f>-43.7014*$K$587</f>
        <v>0</v>
      </c>
      <c r="L691">
        <f>49.0269*$L$587</f>
        <v>0</v>
      </c>
      <c r="M691">
        <f>0+D691+E691+G691+H691+I691+J691+K691+L691</f>
        <v>0</v>
      </c>
      <c r="N691">
        <f>0+D691+F691+G691+H691+I691+J691+K691+L691</f>
        <v>0</v>
      </c>
    </row>
    <row r="692" spans="3:14">
      <c r="C692" t="s">
        <v>67</v>
      </c>
      <c r="D692">
        <f>-0.0403*$D$587</f>
        <v>0</v>
      </c>
      <c r="E692">
        <f>39.7809*$E$587</f>
        <v>0</v>
      </c>
      <c r="F692">
        <f>-55.0396*$F$587</f>
        <v>0</v>
      </c>
      <c r="G692">
        <f>4.551*$G$587</f>
        <v>0</v>
      </c>
      <c r="H692">
        <f>0*$H$587</f>
        <v>0</v>
      </c>
      <c r="I692">
        <f>-0.1145*$I$587</f>
        <v>0</v>
      </c>
      <c r="J692">
        <f>31.485*$J$587</f>
        <v>0</v>
      </c>
      <c r="K692">
        <f>-41.9801*$K$587</f>
        <v>0</v>
      </c>
      <c r="L692">
        <f>61.0847*$L$587</f>
        <v>0</v>
      </c>
      <c r="M692">
        <f>0+D692+E692+G692+H692+I692+J692+K692+L692</f>
        <v>0</v>
      </c>
      <c r="N692">
        <f>0+D692+F692+G692+H692+I692+J692+K692+L692</f>
        <v>0</v>
      </c>
    </row>
    <row r="693" spans="3:14">
      <c r="C693" t="s">
        <v>67</v>
      </c>
      <c r="D693">
        <f>2.3599*$D$587</f>
        <v>0</v>
      </c>
      <c r="E693">
        <f>38.9041*$E$587</f>
        <v>0</v>
      </c>
      <c r="F693">
        <f>-57.9878*$F$587</f>
        <v>0</v>
      </c>
      <c r="G693">
        <f>5.6027*$G$587</f>
        <v>0</v>
      </c>
      <c r="H693">
        <f>0*$H$587</f>
        <v>0</v>
      </c>
      <c r="I693">
        <f>-0.3153*$I$587</f>
        <v>0</v>
      </c>
      <c r="J693">
        <f>31.2502*$J$587</f>
        <v>0</v>
      </c>
      <c r="K693">
        <f>-41.6669*$K$587</f>
        <v>0</v>
      </c>
      <c r="L693">
        <f>68.3201*$L$587</f>
        <v>0</v>
      </c>
      <c r="M693">
        <f>0+D693+E693+G693+H693+I693+J693+K693+L693</f>
        <v>0</v>
      </c>
      <c r="N693">
        <f>0+D693+F693+G693+H693+I693+J693+K693+L693</f>
        <v>0</v>
      </c>
    </row>
    <row r="694" spans="3:14">
      <c r="C694" t="s">
        <v>68</v>
      </c>
      <c r="D694">
        <f>-1.5721*$D$587</f>
        <v>0</v>
      </c>
      <c r="E694">
        <f>40.0391*$E$587</f>
        <v>0</v>
      </c>
      <c r="F694">
        <f>-62.6214*$F$587</f>
        <v>0</v>
      </c>
      <c r="G694">
        <f>6.902*$G$587</f>
        <v>0</v>
      </c>
      <c r="H694">
        <f>0*$H$587</f>
        <v>0</v>
      </c>
      <c r="I694">
        <f>-0.5688*$I$587</f>
        <v>0</v>
      </c>
      <c r="J694">
        <f>28.0742*$J$587</f>
        <v>0</v>
      </c>
      <c r="K694">
        <f>-37.4323*$K$587</f>
        <v>0</v>
      </c>
      <c r="L694">
        <f>76.9632*$L$587</f>
        <v>0</v>
      </c>
      <c r="M694">
        <f>0+D694+E694+G694+H694+I694+J694+K694+L694</f>
        <v>0</v>
      </c>
      <c r="N694">
        <f>0+D694+F694+G694+H694+I694+J694+K694+L694</f>
        <v>0</v>
      </c>
    </row>
    <row r="695" spans="3:14">
      <c r="C695" t="s">
        <v>68</v>
      </c>
      <c r="D695">
        <f>1.0454*$D$587</f>
        <v>0</v>
      </c>
      <c r="E695">
        <f>38.9098*$E$587</f>
        <v>0</v>
      </c>
      <c r="F695">
        <f>-63.2534*$F$587</f>
        <v>0</v>
      </c>
      <c r="G695">
        <f>7.6036*$G$587</f>
        <v>0</v>
      </c>
      <c r="H695">
        <f>0*$H$587</f>
        <v>0</v>
      </c>
      <c r="I695">
        <f>-0.7237*$I$587</f>
        <v>0</v>
      </c>
      <c r="J695">
        <f>29.6383*$J$587</f>
        <v>0</v>
      </c>
      <c r="K695">
        <f>-39.5178*$K$587</f>
        <v>0</v>
      </c>
      <c r="L695">
        <f>77.9058*$L$587</f>
        <v>0</v>
      </c>
      <c r="M695">
        <f>0+D695+E695+G695+H695+I695+J695+K695+L695</f>
        <v>0</v>
      </c>
      <c r="N695">
        <f>0+D695+F695+G695+H695+I695+J695+K695+L695</f>
        <v>0</v>
      </c>
    </row>
    <row r="696" spans="3:14">
      <c r="C696" t="s">
        <v>69</v>
      </c>
      <c r="D696">
        <f>-3.7422*$D$587</f>
        <v>0</v>
      </c>
      <c r="E696">
        <f>44.0337*$E$587</f>
        <v>0</v>
      </c>
      <c r="F696">
        <f>-63.6556*$F$587</f>
        <v>0</v>
      </c>
      <c r="G696">
        <f>8.6341*$G$587</f>
        <v>0</v>
      </c>
      <c r="H696">
        <f>0*$H$587</f>
        <v>0</v>
      </c>
      <c r="I696">
        <f>-1.1017*$I$587</f>
        <v>0</v>
      </c>
      <c r="J696">
        <f>31.1364*$J$587</f>
        <v>0</v>
      </c>
      <c r="K696">
        <f>-41.5152*$K$587</f>
        <v>0</v>
      </c>
      <c r="L696">
        <f>78.0131*$L$587</f>
        <v>0</v>
      </c>
      <c r="M696">
        <f>0+D696+E696+G696+H696+I696+J696+K696+L696</f>
        <v>0</v>
      </c>
      <c r="N696">
        <f>0+D696+F696+G696+H696+I696+J696+K696+L696</f>
        <v>0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C3:N696"/>
  <sheetViews>
    <sheetView workbookViewId="0"/>
  </sheetViews>
  <sheetFormatPr defaultRowHeight="15"/>
  <sheetData>
    <row r="3" spans="3:14">
      <c r="C3" t="s">
        <v>75</v>
      </c>
    </row>
    <row r="5" spans="3:14">
      <c r="C5" t="s">
        <v>1</v>
      </c>
    </row>
    <row r="7" spans="3:14">
      <c r="C7" t="s">
        <v>2</v>
      </c>
    </row>
    <row r="8" spans="3:14"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13</v>
      </c>
      <c r="N8" t="s">
        <v>14</v>
      </c>
    </row>
    <row r="9" spans="3:14">
      <c r="C9" t="s">
        <v>76</v>
      </c>
      <c r="D9">
        <f>-37.2308*$D$7</f>
        <v>0</v>
      </c>
      <c r="E9">
        <f>174.7993*$E$7</f>
        <v>0</v>
      </c>
      <c r="F9">
        <f>-247.0091*$F$7</f>
        <v>0</v>
      </c>
      <c r="G9">
        <f>22.5127*$G$7</f>
        <v>0</v>
      </c>
      <c r="H9">
        <f>0*$H$7</f>
        <v>0</v>
      </c>
      <c r="I9">
        <f>-7.4928*$I$7</f>
        <v>0</v>
      </c>
      <c r="J9">
        <f>149.2803*$J$7</f>
        <v>0</v>
      </c>
      <c r="K9">
        <f>-199.0404*$K$7</f>
        <v>0</v>
      </c>
      <c r="L9">
        <f>-0.0594*$L$7</f>
        <v>0</v>
      </c>
      <c r="M9">
        <f>0+D9+E9+G9+H9+I9+J9+K9+L9</f>
        <v>0</v>
      </c>
      <c r="N9">
        <f>0+D9+F9+G9+H9+I9+J9+K9+L9</f>
        <v>0</v>
      </c>
    </row>
    <row r="10" spans="3:14">
      <c r="C10" t="s">
        <v>16</v>
      </c>
      <c r="D10">
        <f>208.9494*$D$7</f>
        <v>0</v>
      </c>
      <c r="E10">
        <f>372.0947*$E$7</f>
        <v>0</v>
      </c>
      <c r="F10">
        <f>-31.7546*$F$7</f>
        <v>0</v>
      </c>
      <c r="G10">
        <f>33.3869*$G$7</f>
        <v>0</v>
      </c>
      <c r="H10">
        <f>0*$H$7</f>
        <v>0</v>
      </c>
      <c r="I10">
        <f>29.4011*$I$7</f>
        <v>0</v>
      </c>
      <c r="J10">
        <f>53.8811*$J$7</f>
        <v>0</v>
      </c>
      <c r="K10">
        <f>-71.8415*$K$7</f>
        <v>0</v>
      </c>
      <c r="L10">
        <f>-0.0536*$L$7</f>
        <v>0</v>
      </c>
      <c r="M10">
        <f>0+D10+E10+G10+H10+I10+J10+K10+L10</f>
        <v>0</v>
      </c>
      <c r="N10">
        <f>0+D10+F10+G10+H10+I10+J10+K10+L10</f>
        <v>0</v>
      </c>
    </row>
    <row r="11" spans="3:14">
      <c r="C11" t="s">
        <v>16</v>
      </c>
      <c r="D11">
        <f>192.7801*$D$7</f>
        <v>0</v>
      </c>
      <c r="E11">
        <f>358.0675*$E$7</f>
        <v>0</v>
      </c>
      <c r="F11">
        <f>-38.8762*$F$7</f>
        <v>0</v>
      </c>
      <c r="G11">
        <f>32.5409*$G$7</f>
        <v>0</v>
      </c>
      <c r="H11">
        <f>0*$H$7</f>
        <v>0</v>
      </c>
      <c r="I11">
        <f>27.0133*$I$7</f>
        <v>0</v>
      </c>
      <c r="J11">
        <f>68.2326*$J$7</f>
        <v>0</v>
      </c>
      <c r="K11">
        <f>-90.9767*$K$7</f>
        <v>0</v>
      </c>
      <c r="L11">
        <f>-0.054*$L$7</f>
        <v>0</v>
      </c>
      <c r="M11">
        <f>0+D11+E11+G11+H11+I11+J11+K11+L11</f>
        <v>0</v>
      </c>
      <c r="N11">
        <f>0+D11+F11+G11+H11+I11+J11+K11+L11</f>
        <v>0</v>
      </c>
    </row>
    <row r="12" spans="3:14">
      <c r="C12" t="s">
        <v>17</v>
      </c>
      <c r="D12">
        <f>411.2355*$D$7</f>
        <v>0</v>
      </c>
      <c r="E12">
        <f>623.4696*$E$7</f>
        <v>0</v>
      </c>
      <c r="F12">
        <f>-13.6907*$F$7</f>
        <v>0</v>
      </c>
      <c r="G12">
        <f>44.5054*$G$7</f>
        <v>0</v>
      </c>
      <c r="H12">
        <f>0*$H$7</f>
        <v>0</v>
      </c>
      <c r="I12">
        <f>59.2292*$I$7</f>
        <v>0</v>
      </c>
      <c r="J12">
        <f>-9.179*$J$7</f>
        <v>0</v>
      </c>
      <c r="K12">
        <f>12.2386*$K$7</f>
        <v>0</v>
      </c>
      <c r="L12">
        <f>-0.0477*$L$7</f>
        <v>0</v>
      </c>
      <c r="M12">
        <f>0+D12+E12+G12+H12+I12+J12+K12+L12</f>
        <v>0</v>
      </c>
      <c r="N12">
        <f>0+D12+F12+G12+H12+I12+J12+K12+L12</f>
        <v>0</v>
      </c>
    </row>
    <row r="13" spans="3:14">
      <c r="C13" t="s">
        <v>17</v>
      </c>
      <c r="D13">
        <f>392.8994*$D$7</f>
        <v>0</v>
      </c>
      <c r="E13">
        <f>601.1195*$E$7</f>
        <v>0</v>
      </c>
      <c r="F13">
        <f>-13.3586*$F$7</f>
        <v>0</v>
      </c>
      <c r="G13">
        <f>43.5574*$G$7</f>
        <v>0</v>
      </c>
      <c r="H13">
        <f>0*$H$7</f>
        <v>0</v>
      </c>
      <c r="I13">
        <f>56.5381*$I$7</f>
        <v>0</v>
      </c>
      <c r="J13">
        <f>2.1385*$J$7</f>
        <v>0</v>
      </c>
      <c r="K13">
        <f>-2.8513*$K$7</f>
        <v>0</v>
      </c>
      <c r="L13">
        <f>-0.0481*$L$7</f>
        <v>0</v>
      </c>
      <c r="M13">
        <f>0+D13+E13+G13+H13+I13+J13+K13+L13</f>
        <v>0</v>
      </c>
      <c r="N13">
        <f>0+D13+F13+G13+H13+I13+J13+K13+L13</f>
        <v>0</v>
      </c>
    </row>
    <row r="14" spans="3:14">
      <c r="C14" t="s">
        <v>18</v>
      </c>
      <c r="D14">
        <f>583.2861*$D$7</f>
        <v>0</v>
      </c>
      <c r="E14">
        <f>841.75*$E$7</f>
        <v>0</v>
      </c>
      <c r="F14">
        <f>-15.256*$F$7</f>
        <v>0</v>
      </c>
      <c r="G14">
        <f>56.4693*$G$7</f>
        <v>0</v>
      </c>
      <c r="H14">
        <f>0*$H$7</f>
        <v>0</v>
      </c>
      <c r="I14">
        <f>84.036*$I$7</f>
        <v>0</v>
      </c>
      <c r="J14">
        <f>-68.7873*$J$7</f>
        <v>0</v>
      </c>
      <c r="K14">
        <f>91.7165*$K$7</f>
        <v>0</v>
      </c>
      <c r="L14">
        <f>-0.0417*$L$7</f>
        <v>0</v>
      </c>
      <c r="M14">
        <f>0+D14+E14+G14+H14+I14+J14+K14+L14</f>
        <v>0</v>
      </c>
      <c r="N14">
        <f>0+D14+F14+G14+H14+I14+J14+K14+L14</f>
        <v>0</v>
      </c>
    </row>
    <row r="15" spans="3:14">
      <c r="C15" t="s">
        <v>18</v>
      </c>
      <c r="D15">
        <f>556.9037*$D$7</f>
        <v>0</v>
      </c>
      <c r="E15">
        <f>810.3859*$E$7</f>
        <v>0</v>
      </c>
      <c r="F15">
        <f>-14.8005*$F$7</f>
        <v>0</v>
      </c>
      <c r="G15">
        <f>54.864*$G$7</f>
        <v>0</v>
      </c>
      <c r="H15">
        <f>0*$H$7</f>
        <v>0</v>
      </c>
      <c r="I15">
        <f>80.23*$I$7</f>
        <v>0</v>
      </c>
      <c r="J15">
        <f>-58.4069*$J$7</f>
        <v>0</v>
      </c>
      <c r="K15">
        <f>77.8758*$K$7</f>
        <v>0</v>
      </c>
      <c r="L15">
        <f>-0.0423*$L$7</f>
        <v>0</v>
      </c>
      <c r="M15">
        <f>0+D15+E15+G15+H15+I15+J15+K15+L15</f>
        <v>0</v>
      </c>
      <c r="N15">
        <f>0+D15+F15+G15+H15+I15+J15+K15+L15</f>
        <v>0</v>
      </c>
    </row>
    <row r="16" spans="3:14">
      <c r="C16" t="s">
        <v>19</v>
      </c>
      <c r="D16">
        <f>719.1837*$D$7</f>
        <v>0</v>
      </c>
      <c r="E16">
        <f>1005.8245*$E$7</f>
        <v>0</v>
      </c>
      <c r="F16">
        <f>-17.0158*$F$7</f>
        <v>0</v>
      </c>
      <c r="G16">
        <f>68.1612*$G$7</f>
        <v>0</v>
      </c>
      <c r="H16">
        <f>0*$H$7</f>
        <v>0</v>
      </c>
      <c r="I16">
        <f>103.0469*$I$7</f>
        <v>0</v>
      </c>
      <c r="J16">
        <f>-127.2594*$J$7</f>
        <v>0</v>
      </c>
      <c r="K16">
        <f>169.6792*$K$7</f>
        <v>0</v>
      </c>
      <c r="L16">
        <f>-0.0362*$L$7</f>
        <v>0</v>
      </c>
      <c r="M16">
        <f>0+D16+E16+G16+H16+I16+J16+K16+L16</f>
        <v>0</v>
      </c>
      <c r="N16">
        <f>0+D16+F16+G16+H16+I16+J16+K16+L16</f>
        <v>0</v>
      </c>
    </row>
    <row r="17" spans="3:14">
      <c r="C17" t="s">
        <v>19</v>
      </c>
      <c r="D17">
        <f>690.9021*$D$7</f>
        <v>0</v>
      </c>
      <c r="E17">
        <f>969.1946*$E$7</f>
        <v>0</v>
      </c>
      <c r="F17">
        <f>-16.6202*$F$7</f>
        <v>0</v>
      </c>
      <c r="G17">
        <f>66.0781*$G$7</f>
        <v>0</v>
      </c>
      <c r="H17">
        <f>0*$H$7</f>
        <v>0</v>
      </c>
      <c r="I17">
        <f>99.0356*$I$7</f>
        <v>0</v>
      </c>
      <c r="J17">
        <f>-121.9411*$J$7</f>
        <v>0</v>
      </c>
      <c r="K17">
        <f>162.5881*$K$7</f>
        <v>0</v>
      </c>
      <c r="L17">
        <f>-0.0367*$L$7</f>
        <v>0</v>
      </c>
      <c r="M17">
        <f>0+D17+E17+G17+H17+I17+J17+K17+L17</f>
        <v>0</v>
      </c>
      <c r="N17">
        <f>0+D17+F17+G17+H17+I17+J17+K17+L17</f>
        <v>0</v>
      </c>
    </row>
    <row r="18" spans="3:14">
      <c r="C18" t="s">
        <v>20</v>
      </c>
      <c r="D18">
        <f>835.7625*$D$7</f>
        <v>0</v>
      </c>
      <c r="E18">
        <f>1140.4877*$E$7</f>
        <v>0</v>
      </c>
      <c r="F18">
        <f>-19.0466*$F$7</f>
        <v>0</v>
      </c>
      <c r="G18">
        <f>79.9011*$G$7</f>
        <v>0</v>
      </c>
      <c r="H18">
        <f>0*$H$7</f>
        <v>0</v>
      </c>
      <c r="I18">
        <f>118.7557*$I$7</f>
        <v>0</v>
      </c>
      <c r="J18">
        <f>-177.7463*$J$7</f>
        <v>0</v>
      </c>
      <c r="K18">
        <f>236.995*$K$7</f>
        <v>0</v>
      </c>
      <c r="L18">
        <f>-0.0316*$L$7</f>
        <v>0</v>
      </c>
      <c r="M18">
        <f>0+D18+E18+G18+H18+I18+J18+K18+L18</f>
        <v>0</v>
      </c>
      <c r="N18">
        <f>0+D18+F18+G18+H18+I18+J18+K18+L18</f>
        <v>0</v>
      </c>
    </row>
    <row r="19" spans="3:14">
      <c r="C19" t="s">
        <v>20</v>
      </c>
      <c r="D19">
        <f>823.7108*$D$7</f>
        <v>0</v>
      </c>
      <c r="E19">
        <f>1122.3393*$E$7</f>
        <v>0</v>
      </c>
      <c r="F19">
        <f>-18.9035*$F$7</f>
        <v>0</v>
      </c>
      <c r="G19">
        <f>80.2294*$G$7</f>
        <v>0</v>
      </c>
      <c r="H19">
        <f>0*$H$7</f>
        <v>0</v>
      </c>
      <c r="I19">
        <f>116.9274*$I$7</f>
        <v>0</v>
      </c>
      <c r="J19">
        <f>-164.8415*$J$7</f>
        <v>0</v>
      </c>
      <c r="K19">
        <f>219.7887*$K$7</f>
        <v>0</v>
      </c>
      <c r="L19">
        <f>-0.032*$L$7</f>
        <v>0</v>
      </c>
      <c r="M19">
        <f>0+D19+E19+G19+H19+I19+J19+K19+L19</f>
        <v>0</v>
      </c>
      <c r="N19">
        <f>0+D19+F19+G19+H19+I19+J19+K19+L19</f>
        <v>0</v>
      </c>
    </row>
    <row r="20" spans="3:14">
      <c r="C20" t="s">
        <v>21</v>
      </c>
      <c r="D20">
        <f>934.2078*$D$7</f>
        <v>0</v>
      </c>
      <c r="E20">
        <f>1276.0762*$E$7</f>
        <v>0</v>
      </c>
      <c r="F20">
        <f>-21.266*$F$7</f>
        <v>0</v>
      </c>
      <c r="G20">
        <f>86.9761*$G$7</f>
        <v>0</v>
      </c>
      <c r="H20">
        <f>0*$H$7</f>
        <v>0</v>
      </c>
      <c r="I20">
        <f>133.879*$I$7</f>
        <v>0</v>
      </c>
      <c r="J20">
        <f>-158.7185*$J$7</f>
        <v>0</v>
      </c>
      <c r="K20">
        <f>211.6246*$K$7</f>
        <v>0</v>
      </c>
      <c r="L20">
        <f>-0.0286*$L$7</f>
        <v>0</v>
      </c>
      <c r="M20">
        <f>0+D20+E20+G20+H20+I20+J20+K20+L20</f>
        <v>0</v>
      </c>
      <c r="N20">
        <f>0+D20+F20+G20+H20+I20+J20+K20+L20</f>
        <v>0</v>
      </c>
    </row>
    <row r="21" spans="3:14">
      <c r="C21" t="s">
        <v>21</v>
      </c>
      <c r="D21">
        <f>921.9022*$D$7</f>
        <v>0</v>
      </c>
      <c r="E21">
        <f>1255.4123*$E$7</f>
        <v>0</v>
      </c>
      <c r="F21">
        <f>-21.0894*$F$7</f>
        <v>0</v>
      </c>
      <c r="G21">
        <f>85.9976*$G$7</f>
        <v>0</v>
      </c>
      <c r="H21">
        <f>0*$H$7</f>
        <v>0</v>
      </c>
      <c r="I21">
        <f>132.0684*$I$7</f>
        <v>0</v>
      </c>
      <c r="J21">
        <f>-155.5518*$J$7</f>
        <v>0</v>
      </c>
      <c r="K21">
        <f>207.4024*$K$7</f>
        <v>0</v>
      </c>
      <c r="L21">
        <f>-0.0293*$L$7</f>
        <v>0</v>
      </c>
      <c r="M21">
        <f>0+D21+E21+G21+H21+I21+J21+K21+L21</f>
        <v>0</v>
      </c>
      <c r="N21">
        <f>0+D21+F21+G21+H21+I21+J21+K21+L21</f>
        <v>0</v>
      </c>
    </row>
    <row r="22" spans="3:14">
      <c r="C22" t="s">
        <v>22</v>
      </c>
      <c r="D22">
        <f>1007.7985*$D$7</f>
        <v>0</v>
      </c>
      <c r="E22">
        <f>1373.3847*$E$7</f>
        <v>0</v>
      </c>
      <c r="F22">
        <f>-23.4292*$F$7</f>
        <v>0</v>
      </c>
      <c r="G22">
        <f>92.1139*$G$7</f>
        <v>0</v>
      </c>
      <c r="H22">
        <f>0*$H$7</f>
        <v>0</v>
      </c>
      <c r="I22">
        <f>144.912*$I$7</f>
        <v>0</v>
      </c>
      <c r="J22">
        <f>-149.7746*$J$7</f>
        <v>0</v>
      </c>
      <c r="K22">
        <f>199.6995*$K$7</f>
        <v>0</v>
      </c>
      <c r="L22">
        <f>-0.0262*$L$7</f>
        <v>0</v>
      </c>
      <c r="M22">
        <f>0+D22+E22+G22+H22+I22+J22+K22+L22</f>
        <v>0</v>
      </c>
      <c r="N22">
        <f>0+D22+F22+G22+H22+I22+J22+K22+L22</f>
        <v>0</v>
      </c>
    </row>
    <row r="23" spans="3:14">
      <c r="C23" t="s">
        <v>22</v>
      </c>
      <c r="D23">
        <f>994.1317*$D$7</f>
        <v>0</v>
      </c>
      <c r="E23">
        <f>1353.3065*$E$7</f>
        <v>0</v>
      </c>
      <c r="F23">
        <f>-23.0994*$F$7</f>
        <v>0</v>
      </c>
      <c r="G23">
        <f>91.0162*$G$7</f>
        <v>0</v>
      </c>
      <c r="H23">
        <f>0*$H$7</f>
        <v>0</v>
      </c>
      <c r="I23">
        <f>142.9141*$I$7</f>
        <v>0</v>
      </c>
      <c r="J23">
        <f>-148.5198*$J$7</f>
        <v>0</v>
      </c>
      <c r="K23">
        <f>198.0263*$K$7</f>
        <v>0</v>
      </c>
      <c r="L23">
        <f>-0.0268*$L$7</f>
        <v>0</v>
      </c>
      <c r="M23">
        <f>0+D23+E23+G23+H23+I23+J23+K23+L23</f>
        <v>0</v>
      </c>
      <c r="N23">
        <f>0+D23+F23+G23+H23+I23+J23+K23+L23</f>
        <v>0</v>
      </c>
    </row>
    <row r="24" spans="3:14">
      <c r="C24" t="s">
        <v>23</v>
      </c>
      <c r="D24">
        <f>1055.3254*$D$7</f>
        <v>0</v>
      </c>
      <c r="E24">
        <f>1428.6787*$E$7</f>
        <v>0</v>
      </c>
      <c r="F24">
        <f>-25.4096*$F$7</f>
        <v>0</v>
      </c>
      <c r="G24">
        <f>96.9956*$G$7</f>
        <v>0</v>
      </c>
      <c r="H24">
        <f>0*$H$7</f>
        <v>0</v>
      </c>
      <c r="I24">
        <f>151.6249*$I$7</f>
        <v>0</v>
      </c>
      <c r="J24">
        <f>-149.0005*$J$7</f>
        <v>0</v>
      </c>
      <c r="K24">
        <f>198.6673*$K$7</f>
        <v>0</v>
      </c>
      <c r="L24">
        <f>-0.0242*$L$7</f>
        <v>0</v>
      </c>
      <c r="M24">
        <f>0+D24+E24+G24+H24+I24+J24+K24+L24</f>
        <v>0</v>
      </c>
      <c r="N24">
        <f>0+D24+F24+G24+H24+I24+J24+K24+L24</f>
        <v>0</v>
      </c>
    </row>
    <row r="25" spans="3:14">
      <c r="C25" t="s">
        <v>23</v>
      </c>
      <c r="D25">
        <f>1051.1718*$D$7</f>
        <v>0</v>
      </c>
      <c r="E25">
        <f>1423.3878*$E$7</f>
        <v>0</v>
      </c>
      <c r="F25">
        <f>-25.2958*$F$7</f>
        <v>0</v>
      </c>
      <c r="G25">
        <f>96.6749*$G$7</f>
        <v>0</v>
      </c>
      <c r="H25">
        <f>0*$H$7</f>
        <v>0</v>
      </c>
      <c r="I25">
        <f>151.0677*$I$7</f>
        <v>0</v>
      </c>
      <c r="J25">
        <f>-148.784*$J$7</f>
        <v>0</v>
      </c>
      <c r="K25">
        <f>198.3787*$K$7</f>
        <v>0</v>
      </c>
      <c r="L25">
        <f>-0.0244*$L$7</f>
        <v>0</v>
      </c>
      <c r="M25">
        <f>0+D25+E25+G25+H25+I25+J25+K25+L25</f>
        <v>0</v>
      </c>
      <c r="N25">
        <f>0+D25+F25+G25+H25+I25+J25+K25+L25</f>
        <v>0</v>
      </c>
    </row>
    <row r="26" spans="3:14">
      <c r="C26" t="s">
        <v>24</v>
      </c>
      <c r="D26">
        <f>1087.9167*$D$7</f>
        <v>0</v>
      </c>
      <c r="E26">
        <f>1457.9077*$E$7</f>
        <v>0</v>
      </c>
      <c r="F26">
        <f>-27.5633*$F$7</f>
        <v>0</v>
      </c>
      <c r="G26">
        <f>102.4648*$G$7</f>
        <v>0</v>
      </c>
      <c r="H26">
        <f>0*$H$7</f>
        <v>0</v>
      </c>
      <c r="I26">
        <f>155.6693*$I$7</f>
        <v>0</v>
      </c>
      <c r="J26">
        <f>-156.2359*$J$7</f>
        <v>0</v>
      </c>
      <c r="K26">
        <f>208.3145*$K$7</f>
        <v>0</v>
      </c>
      <c r="L26">
        <f>-0.0224*$L$7</f>
        <v>0</v>
      </c>
      <c r="M26">
        <f>0+D26+E26+G26+H26+I26+J26+K26+L26</f>
        <v>0</v>
      </c>
      <c r="N26">
        <f>0+D26+F26+G26+H26+I26+J26+K26+L26</f>
        <v>0</v>
      </c>
    </row>
    <row r="27" spans="3:14">
      <c r="C27" t="s">
        <v>24</v>
      </c>
      <c r="D27">
        <f>1083.9428*$D$7</f>
        <v>0</v>
      </c>
      <c r="E27">
        <f>1448.0497*$E$7</f>
        <v>0</v>
      </c>
      <c r="F27">
        <f>-27.4446*$F$7</f>
        <v>0</v>
      </c>
      <c r="G27">
        <f>102.2339*$G$7</f>
        <v>0</v>
      </c>
      <c r="H27">
        <f>0*$H$7</f>
        <v>0</v>
      </c>
      <c r="I27">
        <f>155.142*$I$7</f>
        <v>0</v>
      </c>
      <c r="J27">
        <f>-156.9808*$J$7</f>
        <v>0</v>
      </c>
      <c r="K27">
        <f>209.3077*$K$7</f>
        <v>0</v>
      </c>
      <c r="L27">
        <f>-0.0226*$L$7</f>
        <v>0</v>
      </c>
      <c r="M27">
        <f>0+D27+E27+G27+H27+I27+J27+K27+L27</f>
        <v>0</v>
      </c>
      <c r="N27">
        <f>0+D27+F27+G27+H27+I27+J27+K27+L27</f>
        <v>0</v>
      </c>
    </row>
    <row r="28" spans="3:14">
      <c r="C28" t="s">
        <v>25</v>
      </c>
      <c r="D28">
        <f>1096.5286*$D$7</f>
        <v>0</v>
      </c>
      <c r="E28">
        <f>1444.5103*$E$7</f>
        <v>0</v>
      </c>
      <c r="F28">
        <f>-29.9357*$F$7</f>
        <v>0</v>
      </c>
      <c r="G28">
        <f>107.1512*$G$7</f>
        <v>0</v>
      </c>
      <c r="H28">
        <f>0*$H$7</f>
        <v>0</v>
      </c>
      <c r="I28">
        <f>155.7131*$I$7</f>
        <v>0</v>
      </c>
      <c r="J28">
        <f>-167.7441*$J$7</f>
        <v>0</v>
      </c>
      <c r="K28">
        <f>223.6588*$K$7</f>
        <v>0</v>
      </c>
      <c r="L28">
        <f>-0.0215*$L$7</f>
        <v>0</v>
      </c>
      <c r="M28">
        <f>0+D28+E28+G28+H28+I28+J28+K28+L28</f>
        <v>0</v>
      </c>
      <c r="N28">
        <f>0+D28+F28+G28+H28+I28+J28+K28+L28</f>
        <v>0</v>
      </c>
    </row>
    <row r="29" spans="3:14">
      <c r="C29" t="s">
        <v>25</v>
      </c>
      <c r="D29">
        <f>1097.4265*$D$7</f>
        <v>0</v>
      </c>
      <c r="E29">
        <f>1448.5*$E$7</f>
        <v>0</v>
      </c>
      <c r="F29">
        <f>-29.2005*$F$7</f>
        <v>0</v>
      </c>
      <c r="G29">
        <f>107.4437*$G$7</f>
        <v>0</v>
      </c>
      <c r="H29">
        <f>0*$H$7</f>
        <v>0</v>
      </c>
      <c r="I29">
        <f>155.8299*$I$7</f>
        <v>0</v>
      </c>
      <c r="J29">
        <f>-165.9525*$J$7</f>
        <v>0</v>
      </c>
      <c r="K29">
        <f>221.27*$K$7</f>
        <v>0</v>
      </c>
      <c r="L29">
        <f>-0.0217*$L$7</f>
        <v>0</v>
      </c>
      <c r="M29">
        <f>0+D29+E29+G29+H29+I29+J29+K29+L29</f>
        <v>0</v>
      </c>
      <c r="N29">
        <f>0+D29+F29+G29+H29+I29+J29+K29+L29</f>
        <v>0</v>
      </c>
    </row>
    <row r="30" spans="3:14">
      <c r="C30" t="s">
        <v>26</v>
      </c>
      <c r="D30">
        <f>1078.1752*$D$7</f>
        <v>0</v>
      </c>
      <c r="E30">
        <f>1445.9738*$E$7</f>
        <v>0</v>
      </c>
      <c r="F30">
        <f>-32.5027*$F$7</f>
        <v>0</v>
      </c>
      <c r="G30">
        <f>101.5224*$G$7</f>
        <v>0</v>
      </c>
      <c r="H30">
        <f>0*$H$7</f>
        <v>0</v>
      </c>
      <c r="I30">
        <f>154.2802*$I$7</f>
        <v>0</v>
      </c>
      <c r="J30">
        <f>-155.1999*$J$7</f>
        <v>0</v>
      </c>
      <c r="K30">
        <f>206.9333*$K$7</f>
        <v>0</v>
      </c>
      <c r="L30">
        <f>-0.0232*$L$7</f>
        <v>0</v>
      </c>
      <c r="M30">
        <f>0+D30+E30+G30+H30+I30+J30+K30+L30</f>
        <v>0</v>
      </c>
      <c r="N30">
        <f>0+D30+F30+G30+H30+I30+J30+K30+L30</f>
        <v>0</v>
      </c>
    </row>
    <row r="31" spans="3:14">
      <c r="C31" t="s">
        <v>26</v>
      </c>
      <c r="D31">
        <f>1082.2189*$D$7</f>
        <v>0</v>
      </c>
      <c r="E31">
        <f>1455.2001*$E$7</f>
        <v>0</v>
      </c>
      <c r="F31">
        <f>-32.1862*$F$7</f>
        <v>0</v>
      </c>
      <c r="G31">
        <f>101.8759*$G$7</f>
        <v>0</v>
      </c>
      <c r="H31">
        <f>0*$H$7</f>
        <v>0</v>
      </c>
      <c r="I31">
        <f>154.8188*$I$7</f>
        <v>0</v>
      </c>
      <c r="J31">
        <f>-153.9853*$J$7</f>
        <v>0</v>
      </c>
      <c r="K31">
        <f>205.3137*$K$7</f>
        <v>0</v>
      </c>
      <c r="L31">
        <f>-0.0229*$L$7</f>
        <v>0</v>
      </c>
      <c r="M31">
        <f>0+D31+E31+G31+H31+I31+J31+K31+L31</f>
        <v>0</v>
      </c>
      <c r="N31">
        <f>0+D31+F31+G31+H31+I31+J31+K31+L31</f>
        <v>0</v>
      </c>
    </row>
    <row r="32" spans="3:14">
      <c r="C32" t="s">
        <v>27</v>
      </c>
      <c r="D32">
        <f>1038.8864*$D$7</f>
        <v>0</v>
      </c>
      <c r="E32">
        <f>1414.7296*$E$7</f>
        <v>0</v>
      </c>
      <c r="F32">
        <f>-35.6006*$F$7</f>
        <v>0</v>
      </c>
      <c r="G32">
        <f>95.057*$G$7</f>
        <v>0</v>
      </c>
      <c r="H32">
        <f>0*$H$7</f>
        <v>0</v>
      </c>
      <c r="I32">
        <f>149.2515*$I$7</f>
        <v>0</v>
      </c>
      <c r="J32">
        <f>-146.8267*$J$7</f>
        <v>0</v>
      </c>
      <c r="K32">
        <f>195.769*$K$7</f>
        <v>0</v>
      </c>
      <c r="L32">
        <f>-0.0253*$L$7</f>
        <v>0</v>
      </c>
      <c r="M32">
        <f>0+D32+E32+G32+H32+I32+J32+K32+L32</f>
        <v>0</v>
      </c>
      <c r="N32">
        <f>0+D32+F32+G32+H32+I32+J32+K32+L32</f>
        <v>0</v>
      </c>
    </row>
    <row r="33" spans="3:14">
      <c r="C33" t="s">
        <v>27</v>
      </c>
      <c r="D33">
        <f>1043.1559*$D$7</f>
        <v>0</v>
      </c>
      <c r="E33">
        <f>1419.321*$E$7</f>
        <v>0</v>
      </c>
      <c r="F33">
        <f>-35.2547*$F$7</f>
        <v>0</v>
      </c>
      <c r="G33">
        <f>95.5251*$G$7</f>
        <v>0</v>
      </c>
      <c r="H33">
        <f>0*$H$7</f>
        <v>0</v>
      </c>
      <c r="I33">
        <f>149.8249*$I$7</f>
        <v>0</v>
      </c>
      <c r="J33">
        <f>-146.379*$J$7</f>
        <v>0</v>
      </c>
      <c r="K33">
        <f>195.172*$K$7</f>
        <v>0</v>
      </c>
      <c r="L33">
        <f>-0.0249*$L$7</f>
        <v>0</v>
      </c>
      <c r="M33">
        <f>0+D33+E33+G33+H33+I33+J33+K33+L33</f>
        <v>0</v>
      </c>
      <c r="N33">
        <f>0+D33+F33+G33+H33+I33+J33+K33+L33</f>
        <v>0</v>
      </c>
    </row>
    <row r="34" spans="3:14">
      <c r="C34" t="s">
        <v>28</v>
      </c>
      <c r="D34">
        <f>975.585*$D$7</f>
        <v>0</v>
      </c>
      <c r="E34">
        <f>1338.7618*$E$7</f>
        <v>0</v>
      </c>
      <c r="F34">
        <f>-38.6632*$F$7</f>
        <v>0</v>
      </c>
      <c r="G34">
        <f>88.4821*$G$7</f>
        <v>0</v>
      </c>
      <c r="H34">
        <f>0*$H$7</f>
        <v>0</v>
      </c>
      <c r="I34">
        <f>140.1808*$I$7</f>
        <v>0</v>
      </c>
      <c r="J34">
        <f>-146.6334*$J$7</f>
        <v>0</v>
      </c>
      <c r="K34">
        <f>195.5111*$K$7</f>
        <v>0</v>
      </c>
      <c r="L34">
        <f>-0.0283*$L$7</f>
        <v>0</v>
      </c>
      <c r="M34">
        <f>0+D34+E34+G34+H34+I34+J34+K34+L34</f>
        <v>0</v>
      </c>
      <c r="N34">
        <f>0+D34+F34+G34+H34+I34+J34+K34+L34</f>
        <v>0</v>
      </c>
    </row>
    <row r="35" spans="3:14">
      <c r="C35" t="s">
        <v>28</v>
      </c>
      <c r="D35">
        <f>989.9588*$D$7</f>
        <v>0</v>
      </c>
      <c r="E35">
        <f>1358.1381*$E$7</f>
        <v>0</v>
      </c>
      <c r="F35">
        <f>-37.9549*$F$7</f>
        <v>0</v>
      </c>
      <c r="G35">
        <f>89.8848*$G$7</f>
        <v>0</v>
      </c>
      <c r="H35">
        <f>0*$H$7</f>
        <v>0</v>
      </c>
      <c r="I35">
        <f>142.277*$I$7</f>
        <v>0</v>
      </c>
      <c r="J35">
        <f>-146.604*$J$7</f>
        <v>0</v>
      </c>
      <c r="K35">
        <f>195.472*$K$7</f>
        <v>0</v>
      </c>
      <c r="L35">
        <f>-0.0275*$L$7</f>
        <v>0</v>
      </c>
      <c r="M35">
        <f>0+D35+E35+G35+H35+I35+J35+K35+L35</f>
        <v>0</v>
      </c>
      <c r="N35">
        <f>0+D35+F35+G35+H35+I35+J35+K35+L35</f>
        <v>0</v>
      </c>
    </row>
    <row r="36" spans="3:14">
      <c r="C36" t="s">
        <v>29</v>
      </c>
      <c r="D36">
        <f>897.9225*$D$7</f>
        <v>0</v>
      </c>
      <c r="E36">
        <f>1240.2195*$E$7</f>
        <v>0</v>
      </c>
      <c r="F36">
        <f>-41.4255*$F$7</f>
        <v>0</v>
      </c>
      <c r="G36">
        <f>82.6265*$G$7</f>
        <v>0</v>
      </c>
      <c r="H36">
        <f>0*$H$7</f>
        <v>0</v>
      </c>
      <c r="I36">
        <f>128.5395*$I$7</f>
        <v>0</v>
      </c>
      <c r="J36">
        <f>-154.0376*$J$7</f>
        <v>0</v>
      </c>
      <c r="K36">
        <f>205.3835*$K$7</f>
        <v>0</v>
      </c>
      <c r="L36">
        <f>-0.0322*$L$7</f>
        <v>0</v>
      </c>
      <c r="M36">
        <f>0+D36+E36+G36+H36+I36+J36+K36+L36</f>
        <v>0</v>
      </c>
      <c r="N36">
        <f>0+D36+F36+G36+H36+I36+J36+K36+L36</f>
        <v>0</v>
      </c>
    </row>
    <row r="37" spans="3:14">
      <c r="C37" t="s">
        <v>29</v>
      </c>
      <c r="D37">
        <f>910.664*$D$7</f>
        <v>0</v>
      </c>
      <c r="E37">
        <f>1259.7498*$E$7</f>
        <v>0</v>
      </c>
      <c r="F37">
        <f>-40.8764*$F$7</f>
        <v>0</v>
      </c>
      <c r="G37">
        <f>83.9435*$G$7</f>
        <v>0</v>
      </c>
      <c r="H37">
        <f>0*$H$7</f>
        <v>0</v>
      </c>
      <c r="I37">
        <f>130.3999*$I$7</f>
        <v>0</v>
      </c>
      <c r="J37">
        <f>-155.0066*$J$7</f>
        <v>0</v>
      </c>
      <c r="K37">
        <f>206.6754*$K$7</f>
        <v>0</v>
      </c>
      <c r="L37">
        <f>-0.0317*$L$7</f>
        <v>0</v>
      </c>
      <c r="M37">
        <f>0+D37+E37+G37+H37+I37+J37+K37+L37</f>
        <v>0</v>
      </c>
      <c r="N37">
        <f>0+D37+F37+G37+H37+I37+J37+K37+L37</f>
        <v>0</v>
      </c>
    </row>
    <row r="38" spans="3:14">
      <c r="C38" t="s">
        <v>30</v>
      </c>
      <c r="D38">
        <f>793.9772*$D$7</f>
        <v>0</v>
      </c>
      <c r="E38">
        <f>1101.4732*$E$7</f>
        <v>0</v>
      </c>
      <c r="F38">
        <f>-44.7154*$F$7</f>
        <v>0</v>
      </c>
      <c r="G38">
        <f>75.8436*$G$7</f>
        <v>0</v>
      </c>
      <c r="H38">
        <f>0*$H$7</f>
        <v>0</v>
      </c>
      <c r="I38">
        <f>112.5632*$I$7</f>
        <v>0</v>
      </c>
      <c r="J38">
        <f>-165.087*$J$7</f>
        <v>0</v>
      </c>
      <c r="K38">
        <f>220.1161*$K$7</f>
        <v>0</v>
      </c>
      <c r="L38">
        <f>-0.0375*$L$7</f>
        <v>0</v>
      </c>
      <c r="M38">
        <f>0+D38+E38+G38+H38+I38+J38+K38+L38</f>
        <v>0</v>
      </c>
      <c r="N38">
        <f>0+D38+F38+G38+H38+I38+J38+K38+L38</f>
        <v>0</v>
      </c>
    </row>
    <row r="39" spans="3:14">
      <c r="C39" t="s">
        <v>30</v>
      </c>
      <c r="D39">
        <f>808.7866*$D$7</f>
        <v>0</v>
      </c>
      <c r="E39">
        <f>1119.6477*$E$7</f>
        <v>0</v>
      </c>
      <c r="F39">
        <f>-43.6422*$F$7</f>
        <v>0</v>
      </c>
      <c r="G39">
        <f>76.3507*$G$7</f>
        <v>0</v>
      </c>
      <c r="H39">
        <f>0*$H$7</f>
        <v>0</v>
      </c>
      <c r="I39">
        <f>114.728*$I$7</f>
        <v>0</v>
      </c>
      <c r="J39">
        <f>-171.3665*$J$7</f>
        <v>0</v>
      </c>
      <c r="K39">
        <f>228.4886*$K$7</f>
        <v>0</v>
      </c>
      <c r="L39">
        <f>-0.0421*$L$7</f>
        <v>0</v>
      </c>
      <c r="M39">
        <f>0+D39+E39+G39+H39+I39+J39+K39+L39</f>
        <v>0</v>
      </c>
      <c r="N39">
        <f>0+D39+F39+G39+H39+I39+J39+K39+L39</f>
        <v>0</v>
      </c>
    </row>
    <row r="40" spans="3:14">
      <c r="C40" t="s">
        <v>31</v>
      </c>
      <c r="D40">
        <f>664.4165*$D$7</f>
        <v>0</v>
      </c>
      <c r="E40">
        <f>956.9015*$E$7</f>
        <v>0</v>
      </c>
      <c r="F40">
        <f>-49.9026*$F$7</f>
        <v>0</v>
      </c>
      <c r="G40">
        <f>59.8655*$G$7</f>
        <v>0</v>
      </c>
      <c r="H40">
        <f>0*$H$7</f>
        <v>0</v>
      </c>
      <c r="I40">
        <f>95.2237*$I$7</f>
        <v>0</v>
      </c>
      <c r="J40">
        <f>-148.6836*$J$7</f>
        <v>0</v>
      </c>
      <c r="K40">
        <f>198.2448*$K$7</f>
        <v>0</v>
      </c>
      <c r="L40">
        <f>-0.0356*$L$7</f>
        <v>0</v>
      </c>
      <c r="M40">
        <f>0+D40+E40+G40+H40+I40+J40+K40+L40</f>
        <v>0</v>
      </c>
      <c r="N40">
        <f>0+D40+F40+G40+H40+I40+J40+K40+L40</f>
        <v>0</v>
      </c>
    </row>
    <row r="41" spans="3:14">
      <c r="C41" t="s">
        <v>31</v>
      </c>
      <c r="D41">
        <f>693.2026*$D$7</f>
        <v>0</v>
      </c>
      <c r="E41">
        <f>991.5664*$E$7</f>
        <v>0</v>
      </c>
      <c r="F41">
        <f>-49.4376*$F$7</f>
        <v>0</v>
      </c>
      <c r="G41">
        <f>62.5354*$G$7</f>
        <v>0</v>
      </c>
      <c r="H41">
        <f>0*$H$7</f>
        <v>0</v>
      </c>
      <c r="I41">
        <f>99.2686*$I$7</f>
        <v>0</v>
      </c>
      <c r="J41">
        <f>-149.8564*$J$7</f>
        <v>0</v>
      </c>
      <c r="K41">
        <f>199.8086*$K$7</f>
        <v>0</v>
      </c>
      <c r="L41">
        <f>-0.0364*$L$7</f>
        <v>0</v>
      </c>
      <c r="M41">
        <f>0+D41+E41+G41+H41+I41+J41+K41+L41</f>
        <v>0</v>
      </c>
      <c r="N41">
        <f>0+D41+F41+G41+H41+I41+J41+K41+L41</f>
        <v>0</v>
      </c>
    </row>
    <row r="42" spans="3:14">
      <c r="C42" t="s">
        <v>32</v>
      </c>
      <c r="D42">
        <f>533.5327*$D$7</f>
        <v>0</v>
      </c>
      <c r="E42">
        <f>796.7294*$E$7</f>
        <v>0</v>
      </c>
      <c r="F42">
        <f>-56.9095*$F$7</f>
        <v>0</v>
      </c>
      <c r="G42">
        <f>45.8795*$G$7</f>
        <v>0</v>
      </c>
      <c r="H42">
        <f>0*$H$7</f>
        <v>0</v>
      </c>
      <c r="I42">
        <f>77.1158*$I$7</f>
        <v>0</v>
      </c>
      <c r="J42">
        <f>-120.2166*$J$7</f>
        <v>0</v>
      </c>
      <c r="K42">
        <f>160.2888*$K$7</f>
        <v>0</v>
      </c>
      <c r="L42">
        <f>-0.0289*$L$7</f>
        <v>0</v>
      </c>
      <c r="M42">
        <f>0+D42+E42+G42+H42+I42+J42+K42+L42</f>
        <v>0</v>
      </c>
      <c r="N42">
        <f>0+D42+F42+G42+H42+I42+J42+K42+L42</f>
        <v>0</v>
      </c>
    </row>
    <row r="43" spans="3:14">
      <c r="C43" t="s">
        <v>32</v>
      </c>
      <c r="D43">
        <f>554.242*$D$7</f>
        <v>0</v>
      </c>
      <c r="E43">
        <f>823.6635*$E$7</f>
        <v>0</v>
      </c>
      <c r="F43">
        <f>-56.7839*$F$7</f>
        <v>0</v>
      </c>
      <c r="G43">
        <f>47.616*$G$7</f>
        <v>0</v>
      </c>
      <c r="H43">
        <f>0*$H$7</f>
        <v>0</v>
      </c>
      <c r="I43">
        <f>80.0645*$I$7</f>
        <v>0</v>
      </c>
      <c r="J43">
        <f>-123.0934*$J$7</f>
        <v>0</v>
      </c>
      <c r="K43">
        <f>164.1245*$K$7</f>
        <v>0</v>
      </c>
      <c r="L43">
        <f>-0.0304*$L$7</f>
        <v>0</v>
      </c>
      <c r="M43">
        <f>0+D43+E43+G43+H43+I43+J43+K43+L43</f>
        <v>0</v>
      </c>
      <c r="N43">
        <f>0+D43+F43+G43+H43+I43+J43+K43+L43</f>
        <v>0</v>
      </c>
    </row>
    <row r="44" spans="3:14">
      <c r="C44" t="s">
        <v>33</v>
      </c>
      <c r="D44">
        <f>372.1968*$D$7</f>
        <v>0</v>
      </c>
      <c r="E44">
        <f>583.8709*$E$7</f>
        <v>0</v>
      </c>
      <c r="F44">
        <f>-64.8812*$F$7</f>
        <v>0</v>
      </c>
      <c r="G44">
        <f>30.783*$G$7</f>
        <v>0</v>
      </c>
      <c r="H44">
        <f>0*$H$7</f>
        <v>0</v>
      </c>
      <c r="I44">
        <f>54.2063*$I$7</f>
        <v>0</v>
      </c>
      <c r="J44">
        <f>-95.7042*$J$7</f>
        <v>0</v>
      </c>
      <c r="K44">
        <f>127.6056*$K$7</f>
        <v>0</v>
      </c>
      <c r="L44">
        <f>-0.0195*$L$7</f>
        <v>0</v>
      </c>
      <c r="M44">
        <f>0+D44+E44+G44+H44+I44+J44+K44+L44</f>
        <v>0</v>
      </c>
      <c r="N44">
        <f>0+D44+F44+G44+H44+I44+J44+K44+L44</f>
        <v>0</v>
      </c>
    </row>
    <row r="45" spans="3:14">
      <c r="C45" t="s">
        <v>33</v>
      </c>
      <c r="D45">
        <f>387.8378*$D$7</f>
        <v>0</v>
      </c>
      <c r="E45">
        <f>601.5098*$E$7</f>
        <v>0</v>
      </c>
      <c r="F45">
        <f>-64.9101*$F$7</f>
        <v>0</v>
      </c>
      <c r="G45">
        <f>32.1645*$G$7</f>
        <v>0</v>
      </c>
      <c r="H45">
        <f>0*$H$7</f>
        <v>0</v>
      </c>
      <c r="I45">
        <f>56.4319*$I$7</f>
        <v>0</v>
      </c>
      <c r="J45">
        <f>-100.0583*$J$7</f>
        <v>0</v>
      </c>
      <c r="K45">
        <f>133.4111*$K$7</f>
        <v>0</v>
      </c>
      <c r="L45">
        <f>-0.0213*$L$7</f>
        <v>0</v>
      </c>
      <c r="M45">
        <f>0+D45+E45+G45+H45+I45+J45+K45+L45</f>
        <v>0</v>
      </c>
      <c r="N45">
        <f>0+D45+F45+G45+H45+I45+J45+K45+L45</f>
        <v>0</v>
      </c>
    </row>
    <row r="46" spans="3:14">
      <c r="C46" t="s">
        <v>34</v>
      </c>
      <c r="D46">
        <f>181.5128*$D$7</f>
        <v>0</v>
      </c>
      <c r="E46">
        <f>309.0204*$E$7</f>
        <v>0</v>
      </c>
      <c r="F46">
        <f>-73.9272*$F$7</f>
        <v>0</v>
      </c>
      <c r="G46">
        <f>15.2056*$G$7</f>
        <v>0</v>
      </c>
      <c r="H46">
        <f>0*$H$7</f>
        <v>0</v>
      </c>
      <c r="I46">
        <f>26.5862*$I$7</f>
        <v>0</v>
      </c>
      <c r="J46">
        <f>-74.2733*$J$7</f>
        <v>0</v>
      </c>
      <c r="K46">
        <f>99.0311*$K$7</f>
        <v>0</v>
      </c>
      <c r="L46">
        <f>-0.0036*$L$7</f>
        <v>0</v>
      </c>
      <c r="M46">
        <f>0+D46+E46+G46+H46+I46+J46+K46+L46</f>
        <v>0</v>
      </c>
      <c r="N46">
        <f>0+D46+F46+G46+H46+I46+J46+K46+L46</f>
        <v>0</v>
      </c>
    </row>
    <row r="47" spans="3:14">
      <c r="C47" t="s">
        <v>34</v>
      </c>
      <c r="D47">
        <f>211.58*$D$7</f>
        <v>0</v>
      </c>
      <c r="E47">
        <f>345.174*$E$7</f>
        <v>0</v>
      </c>
      <c r="F47">
        <f>-75.1718*$F$7</f>
        <v>0</v>
      </c>
      <c r="G47">
        <f>17.7844*$G$7</f>
        <v>0</v>
      </c>
      <c r="H47">
        <f>0*$H$7</f>
        <v>0</v>
      </c>
      <c r="I47">
        <f>30.9291*$I$7</f>
        <v>0</v>
      </c>
      <c r="J47">
        <f>-82.1788*$J$7</f>
        <v>0</v>
      </c>
      <c r="K47">
        <f>109.5718*$K$7</f>
        <v>0</v>
      </c>
      <c r="L47">
        <f>-0.0077*$L$7</f>
        <v>0</v>
      </c>
      <c r="M47">
        <f>0+D47+E47+G47+H47+I47+J47+K47+L47</f>
        <v>0</v>
      </c>
      <c r="N47">
        <f>0+D47+F47+G47+H47+I47+J47+K47+L47</f>
        <v>0</v>
      </c>
    </row>
    <row r="48" spans="3:14">
      <c r="C48" t="s">
        <v>35</v>
      </c>
      <c r="D48">
        <f>-22.3739*$D$7</f>
        <v>0</v>
      </c>
      <c r="E48">
        <f>8.0305*$E$7</f>
        <v>0</v>
      </c>
      <c r="F48">
        <f>-110.9421*$F$7</f>
        <v>0</v>
      </c>
      <c r="G48">
        <f>0.49*$G$7</f>
        <v>0</v>
      </c>
      <c r="H48">
        <f>0*$H$7</f>
        <v>0</v>
      </c>
      <c r="I48">
        <f>-3.3519*$I$7</f>
        <v>0</v>
      </c>
      <c r="J48">
        <f>-48.9165*$J$7</f>
        <v>0</v>
      </c>
      <c r="K48">
        <f>65.222*$K$7</f>
        <v>0</v>
      </c>
      <c r="L48">
        <f>0.0246*$L$7</f>
        <v>0</v>
      </c>
      <c r="M48">
        <f>0+D48+E48+G48+H48+I48+J48+K48+L48</f>
        <v>0</v>
      </c>
      <c r="N48">
        <f>0+D48+F48+G48+H48+I48+J48+K48+L48</f>
        <v>0</v>
      </c>
    </row>
    <row r="49" spans="3:14">
      <c r="C49" t="s">
        <v>35</v>
      </c>
      <c r="D49">
        <f>-16.6677*$D$7</f>
        <v>0</v>
      </c>
      <c r="E49">
        <f>3.725*$E$7</f>
        <v>0</v>
      </c>
      <c r="F49">
        <f>-101.007*$F$7</f>
        <v>0</v>
      </c>
      <c r="G49">
        <f>-0.5111*$G$7</f>
        <v>0</v>
      </c>
      <c r="H49">
        <f>0*$H$7</f>
        <v>0</v>
      </c>
      <c r="I49">
        <f>-2.4706*$I$7</f>
        <v>0</v>
      </c>
      <c r="J49">
        <f>-59.8633*$J$7</f>
        <v>0</v>
      </c>
      <c r="K49">
        <f>79.8177*$K$7</f>
        <v>0</v>
      </c>
      <c r="L49">
        <f>0.0133*$L$7</f>
        <v>0</v>
      </c>
      <c r="M49">
        <f>0+D49+E49+G49+H49+I49+J49+K49+L49</f>
        <v>0</v>
      </c>
      <c r="N49">
        <f>0+D49+F49+G49+H49+I49+J49+K49+L49</f>
        <v>0</v>
      </c>
    </row>
    <row r="50" spans="3:14">
      <c r="C50" t="s">
        <v>36</v>
      </c>
      <c r="D50">
        <f>-8.5863*$D$7</f>
        <v>0</v>
      </c>
      <c r="E50">
        <f>4.3147*$E$7</f>
        <v>0</v>
      </c>
      <c r="F50">
        <f>-12.5633*$F$7</f>
        <v>0</v>
      </c>
      <c r="G50">
        <f>-0.8312*$G$7</f>
        <v>0</v>
      </c>
      <c r="H50">
        <f>0*$H$7</f>
        <v>0</v>
      </c>
      <c r="I50">
        <f>-1.2428*$I$7</f>
        <v>0</v>
      </c>
      <c r="J50">
        <f>-65.8497*$J$7</f>
        <v>0</v>
      </c>
      <c r="K50">
        <f>87.7996*$K$7</f>
        <v>0</v>
      </c>
      <c r="L50">
        <f>0.0005663*$L$7</f>
        <v>0</v>
      </c>
      <c r="M50">
        <f>0+D50+E50+G50+H50+I50+J50+K50+L50</f>
        <v>0</v>
      </c>
      <c r="N50">
        <f>0+D50+F50+G50+H50+I50+J50+K50+L50</f>
        <v>0</v>
      </c>
    </row>
    <row r="51" spans="3:14">
      <c r="C51" t="s">
        <v>36</v>
      </c>
      <c r="D51">
        <f>-7.3493*$D$7</f>
        <v>0</v>
      </c>
      <c r="E51">
        <f>1.1637*$E$7</f>
        <v>0</v>
      </c>
      <c r="F51">
        <f>-11.8232*$F$7</f>
        <v>0</v>
      </c>
      <c r="G51">
        <f>-0.9574*$G$7</f>
        <v>0</v>
      </c>
      <c r="H51">
        <f>0*$H$7</f>
        <v>0</v>
      </c>
      <c r="I51">
        <f>-1.0557*$I$7</f>
        <v>0</v>
      </c>
      <c r="J51">
        <f>-67.6122*$J$7</f>
        <v>0</v>
      </c>
      <c r="K51">
        <f>90.1497*$K$7</f>
        <v>0</v>
      </c>
      <c r="L51">
        <f>0.1402*$L$7</f>
        <v>0</v>
      </c>
      <c r="M51">
        <f>0+D51+E51+G51+H51+I51+J51+K51+L51</f>
        <v>0</v>
      </c>
      <c r="N51">
        <f>0+D51+F51+G51+H51+I51+J51+K51+L51</f>
        <v>0</v>
      </c>
    </row>
    <row r="52" spans="3:14">
      <c r="C52" t="s">
        <v>37</v>
      </c>
      <c r="D52">
        <f>-15.1078*$D$7</f>
        <v>0</v>
      </c>
      <c r="E52">
        <f>2.8891*$E$7</f>
        <v>0</v>
      </c>
      <c r="F52">
        <f>-19.242*$F$7</f>
        <v>0</v>
      </c>
      <c r="G52">
        <f>-0.696*$G$7</f>
        <v>0</v>
      </c>
      <c r="H52">
        <f>0*$H$7</f>
        <v>0</v>
      </c>
      <c r="I52">
        <f>-2.2331*$I$7</f>
        <v>0</v>
      </c>
      <c r="J52">
        <f>-62.308*$J$7</f>
        <v>0</v>
      </c>
      <c r="K52">
        <f>83.0774*$K$7</f>
        <v>0</v>
      </c>
      <c r="L52">
        <f>0.0313*$L$7</f>
        <v>0</v>
      </c>
      <c r="M52">
        <f>0+D52+E52+G52+H52+I52+J52+K52+L52</f>
        <v>0</v>
      </c>
      <c r="N52">
        <f>0+D52+F52+G52+H52+I52+J52+K52+L52</f>
        <v>0</v>
      </c>
    </row>
    <row r="53" spans="3:14">
      <c r="C53" t="s">
        <v>37</v>
      </c>
      <c r="D53">
        <f>-39.4975*$D$7</f>
        <v>0</v>
      </c>
      <c r="E53">
        <f>70.7774*$E$7</f>
        <v>0</v>
      </c>
      <c r="F53">
        <f>-118.1996*$F$7</f>
        <v>0</v>
      </c>
      <c r="G53">
        <f>2.8191*$G$7</f>
        <v>0</v>
      </c>
      <c r="H53">
        <f>0*$H$7</f>
        <v>0</v>
      </c>
      <c r="I53">
        <f>-5.9573*$I$7</f>
        <v>0</v>
      </c>
      <c r="J53">
        <f>-20.8677*$J$7</f>
        <v>0</v>
      </c>
      <c r="K53">
        <f>27.8236*$K$7</f>
        <v>0</v>
      </c>
      <c r="L53">
        <f>-2.5374*$L$7</f>
        <v>0</v>
      </c>
      <c r="M53">
        <f>0+D53+E53+G53+H53+I53+J53+K53+L53</f>
        <v>0</v>
      </c>
      <c r="N53">
        <f>0+D53+F53+G53+H53+I53+J53+K53+L53</f>
        <v>0</v>
      </c>
    </row>
    <row r="54" spans="3:14">
      <c r="C54" t="s">
        <v>38</v>
      </c>
      <c r="D54">
        <f>193.8055*$D$7</f>
        <v>0</v>
      </c>
      <c r="E54">
        <f>324.6581*$E$7</f>
        <v>0</v>
      </c>
      <c r="F54">
        <f>-16.0722*$F$7</f>
        <v>0</v>
      </c>
      <c r="G54">
        <f>19.1153*$G$7</f>
        <v>0</v>
      </c>
      <c r="H54">
        <f>0*$H$7</f>
        <v>0</v>
      </c>
      <c r="I54">
        <f>28.2571*$I$7</f>
        <v>0</v>
      </c>
      <c r="J54">
        <f>-60.0839*$J$7</f>
        <v>0</v>
      </c>
      <c r="K54">
        <f>80.1118*$K$7</f>
        <v>0</v>
      </c>
      <c r="L54">
        <f>-1.7179*$L$7</f>
        <v>0</v>
      </c>
      <c r="M54">
        <f>0+D54+E54+G54+H54+I54+J54+K54+L54</f>
        <v>0</v>
      </c>
      <c r="N54">
        <f>0+D54+F54+G54+H54+I54+J54+K54+L54</f>
        <v>0</v>
      </c>
    </row>
    <row r="55" spans="3:14">
      <c r="C55" t="s">
        <v>38</v>
      </c>
      <c r="D55">
        <f>164.4406*$D$7</f>
        <v>0</v>
      </c>
      <c r="E55">
        <f>289.6769*$E$7</f>
        <v>0</v>
      </c>
      <c r="F55">
        <f>-17.2006*$F$7</f>
        <v>0</v>
      </c>
      <c r="G55">
        <f>16.5719*$G$7</f>
        <v>0</v>
      </c>
      <c r="H55">
        <f>0*$H$7</f>
        <v>0</v>
      </c>
      <c r="I55">
        <f>24.018*$I$7</f>
        <v>0</v>
      </c>
      <c r="J55">
        <f>-52.5477*$J$7</f>
        <v>0</v>
      </c>
      <c r="K55">
        <f>70.0636*$K$7</f>
        <v>0</v>
      </c>
      <c r="L55">
        <f>-1.7627*$L$7</f>
        <v>0</v>
      </c>
      <c r="M55">
        <f>0+D55+E55+G55+H55+I55+J55+K55+L55</f>
        <v>0</v>
      </c>
      <c r="N55">
        <f>0+D55+F55+G55+H55+I55+J55+K55+L55</f>
        <v>0</v>
      </c>
    </row>
    <row r="56" spans="3:14">
      <c r="C56" t="s">
        <v>39</v>
      </c>
      <c r="D56">
        <f>369.5611*$D$7</f>
        <v>0</v>
      </c>
      <c r="E56">
        <f>579.893*$E$7</f>
        <v>0</v>
      </c>
      <c r="F56">
        <f>-12.3499*$F$7</f>
        <v>0</v>
      </c>
      <c r="G56">
        <f>32.6165*$G$7</f>
        <v>0</v>
      </c>
      <c r="H56">
        <f>0*$H$7</f>
        <v>0</v>
      </c>
      <c r="I56">
        <f>53.7126*$I$7</f>
        <v>0</v>
      </c>
      <c r="J56">
        <f>-83.327*$J$7</f>
        <v>0</v>
      </c>
      <c r="K56">
        <f>111.1027*$K$7</f>
        <v>0</v>
      </c>
      <c r="L56">
        <f>-1.0934*$L$7</f>
        <v>0</v>
      </c>
      <c r="M56">
        <f>0+D56+E56+G56+H56+I56+J56+K56+L56</f>
        <v>0</v>
      </c>
      <c r="N56">
        <f>0+D56+F56+G56+H56+I56+J56+K56+L56</f>
        <v>0</v>
      </c>
    </row>
    <row r="57" spans="3:14">
      <c r="C57" t="s">
        <v>39</v>
      </c>
      <c r="D57">
        <f>354.0141*$D$7</f>
        <v>0</v>
      </c>
      <c r="E57">
        <f>561.9125*$E$7</f>
        <v>0</v>
      </c>
      <c r="F57">
        <f>-12.372*$F$7</f>
        <v>0</v>
      </c>
      <c r="G57">
        <f>31.2859*$G$7</f>
        <v>0</v>
      </c>
      <c r="H57">
        <f>0*$H$7</f>
        <v>0</v>
      </c>
      <c r="I57">
        <f>51.5005*$I$7</f>
        <v>0</v>
      </c>
      <c r="J57">
        <f>-78.7974*$J$7</f>
        <v>0</v>
      </c>
      <c r="K57">
        <f>105.0632*$K$7</f>
        <v>0</v>
      </c>
      <c r="L57">
        <f>-1.174*$L$7</f>
        <v>0</v>
      </c>
      <c r="M57">
        <f>0+D57+E57+G57+H57+I57+J57+K57+L57</f>
        <v>0</v>
      </c>
      <c r="N57">
        <f>0+D57+F57+G57+H57+I57+J57+K57+L57</f>
        <v>0</v>
      </c>
    </row>
    <row r="58" spans="3:14">
      <c r="C58" t="s">
        <v>40</v>
      </c>
      <c r="D58">
        <f>534.3574*$D$7</f>
        <v>0</v>
      </c>
      <c r="E58">
        <f>805.6865*$E$7</f>
        <v>0</v>
      </c>
      <c r="F58">
        <f>-13.6809*$F$7</f>
        <v>0</v>
      </c>
      <c r="G58">
        <f>47.2905*$G$7</f>
        <v>0</v>
      </c>
      <c r="H58">
        <f>0*$H$7</f>
        <v>0</v>
      </c>
      <c r="I58">
        <f>77.1309*$I$7</f>
        <v>0</v>
      </c>
      <c r="J58">
        <f>-110.2092*$J$7</f>
        <v>0</v>
      </c>
      <c r="K58">
        <f>146.9456*$K$7</f>
        <v>0</v>
      </c>
      <c r="L58">
        <f>-0.5897*$L$7</f>
        <v>0</v>
      </c>
      <c r="M58">
        <f>0+D58+E58+G58+H58+I58+J58+K58+L58</f>
        <v>0</v>
      </c>
      <c r="N58">
        <f>0+D58+F58+G58+H58+I58+J58+K58+L58</f>
        <v>0</v>
      </c>
    </row>
    <row r="59" spans="3:14">
      <c r="C59" t="s">
        <v>40</v>
      </c>
      <c r="D59">
        <f>513.7454*$D$7</f>
        <v>0</v>
      </c>
      <c r="E59">
        <f>777.9716*$E$7</f>
        <v>0</v>
      </c>
      <c r="F59">
        <f>-13.4496*$F$7</f>
        <v>0</v>
      </c>
      <c r="G59">
        <f>45.634*$G$7</f>
        <v>0</v>
      </c>
      <c r="H59">
        <f>0*$H$7</f>
        <v>0</v>
      </c>
      <c r="I59">
        <f>74.1957*$I$7</f>
        <v>0</v>
      </c>
      <c r="J59">
        <f>-106.9909*$J$7</f>
        <v>0</v>
      </c>
      <c r="K59">
        <f>142.6546*$K$7</f>
        <v>0</v>
      </c>
      <c r="L59">
        <f>-0.7032*$L$7</f>
        <v>0</v>
      </c>
      <c r="M59">
        <f>0+D59+E59+G59+H59+I59+J59+K59+L59</f>
        <v>0</v>
      </c>
      <c r="N59">
        <f>0+D59+F59+G59+H59+I59+J59+K59+L59</f>
        <v>0</v>
      </c>
    </row>
    <row r="60" spans="3:14">
      <c r="C60" t="s">
        <v>41</v>
      </c>
      <c r="D60">
        <f>671.3517*$D$7</f>
        <v>0</v>
      </c>
      <c r="E60">
        <f>976.4804*$E$7</f>
        <v>0</v>
      </c>
      <c r="F60">
        <f>-15.1246*$F$7</f>
        <v>0</v>
      </c>
      <c r="G60">
        <f>61.5291*$G$7</f>
        <v>0</v>
      </c>
      <c r="H60">
        <f>0*$H$7</f>
        <v>0</v>
      </c>
      <c r="I60">
        <f>96.0643*$I$7</f>
        <v>0</v>
      </c>
      <c r="J60">
        <f>-139.8805*$J$7</f>
        <v>0</v>
      </c>
      <c r="K60">
        <f>186.5074*$K$7</f>
        <v>0</v>
      </c>
      <c r="L60">
        <f>-0.1571*$L$7</f>
        <v>0</v>
      </c>
      <c r="M60">
        <f>0+D60+E60+G60+H60+I60+J60+K60+L60</f>
        <v>0</v>
      </c>
      <c r="N60">
        <f>0+D60+F60+G60+H60+I60+J60+K60+L60</f>
        <v>0</v>
      </c>
    </row>
    <row r="61" spans="3:14">
      <c r="C61" t="s">
        <v>41</v>
      </c>
      <c r="D61">
        <f>642.9528*$D$7</f>
        <v>0</v>
      </c>
      <c r="E61">
        <f>941.1465*$E$7</f>
        <v>0</v>
      </c>
      <c r="F61">
        <f>-14.745*$F$7</f>
        <v>0</v>
      </c>
      <c r="G61">
        <f>58.9695*$G$7</f>
        <v>0</v>
      </c>
      <c r="H61">
        <f>0*$H$7</f>
        <v>0</v>
      </c>
      <c r="I61">
        <f>92.0755*$I$7</f>
        <v>0</v>
      </c>
      <c r="J61">
        <f>-138.4378*$J$7</f>
        <v>0</v>
      </c>
      <c r="K61">
        <f>184.5837*$K$7</f>
        <v>0</v>
      </c>
      <c r="L61">
        <f>-0.3201*$L$7</f>
        <v>0</v>
      </c>
      <c r="M61">
        <f>0+D61+E61+G61+H61+I61+J61+K61+L61</f>
        <v>0</v>
      </c>
      <c r="N61">
        <f>0+D61+F61+G61+H61+I61+J61+K61+L61</f>
        <v>0</v>
      </c>
    </row>
    <row r="62" spans="3:14">
      <c r="C62" t="s">
        <v>42</v>
      </c>
      <c r="D62">
        <f>784.7774*$D$7</f>
        <v>0</v>
      </c>
      <c r="E62">
        <f>1106.1359*$E$7</f>
        <v>0</v>
      </c>
      <c r="F62">
        <f>-16.9092*$F$7</f>
        <v>0</v>
      </c>
      <c r="G62">
        <f>74.7479*$G$7</f>
        <v>0</v>
      </c>
      <c r="H62">
        <f>0*$H$7</f>
        <v>0</v>
      </c>
      <c r="I62">
        <f>111.2214*$I$7</f>
        <v>0</v>
      </c>
      <c r="J62">
        <f>-163.566*$J$7</f>
        <v>0</v>
      </c>
      <c r="K62">
        <f>218.088*$K$7</f>
        <v>0</v>
      </c>
      <c r="L62">
        <f>0.2316*$L$7</f>
        <v>0</v>
      </c>
      <c r="M62">
        <f>0+D62+E62+G62+H62+I62+J62+K62+L62</f>
        <v>0</v>
      </c>
      <c r="N62">
        <f>0+D62+F62+G62+H62+I62+J62+K62+L62</f>
        <v>0</v>
      </c>
    </row>
    <row r="63" spans="3:14">
      <c r="C63" t="s">
        <v>42</v>
      </c>
      <c r="D63">
        <f>769.8982*$D$7</f>
        <v>0</v>
      </c>
      <c r="E63">
        <f>1086.7434*$E$7</f>
        <v>0</v>
      </c>
      <c r="F63">
        <f>-16.416*$F$7</f>
        <v>0</v>
      </c>
      <c r="G63">
        <f>74.3398*$G$7</f>
        <v>0</v>
      </c>
      <c r="H63">
        <f>0*$H$7</f>
        <v>0</v>
      </c>
      <c r="I63">
        <f>109.0442*$I$7</f>
        <v>0</v>
      </c>
      <c r="J63">
        <f>-156.6519*$J$7</f>
        <v>0</v>
      </c>
      <c r="K63">
        <f>208.8692*$K$7</f>
        <v>0</v>
      </c>
      <c r="L63">
        <f>0.0175*$L$7</f>
        <v>0</v>
      </c>
      <c r="M63">
        <f>0+D63+E63+G63+H63+I63+J63+K63+L63</f>
        <v>0</v>
      </c>
      <c r="N63">
        <f>0+D63+F63+G63+H63+I63+J63+K63+L63</f>
        <v>0</v>
      </c>
    </row>
    <row r="64" spans="3:14">
      <c r="C64" t="s">
        <v>43</v>
      </c>
      <c r="D64">
        <f>882.745*$D$7</f>
        <v>0</v>
      </c>
      <c r="E64">
        <f>1243.1051*$E$7</f>
        <v>0</v>
      </c>
      <c r="F64">
        <f>-18.3467*$F$7</f>
        <v>0</v>
      </c>
      <c r="G64">
        <f>81.9095*$G$7</f>
        <v>0</v>
      </c>
      <c r="H64">
        <f>0*$H$7</f>
        <v>0</v>
      </c>
      <c r="I64">
        <f>126.32*$I$7</f>
        <v>0</v>
      </c>
      <c r="J64">
        <f>-146.4953*$J$7</f>
        <v>0</v>
      </c>
      <c r="K64">
        <f>195.327*$K$7</f>
        <v>0</v>
      </c>
      <c r="L64">
        <f>0.9645*$L$7</f>
        <v>0</v>
      </c>
      <c r="M64">
        <f>0+D64+E64+G64+H64+I64+J64+K64+L64</f>
        <v>0</v>
      </c>
      <c r="N64">
        <f>0+D64+F64+G64+H64+I64+J64+K64+L64</f>
        <v>0</v>
      </c>
    </row>
    <row r="65" spans="3:14">
      <c r="C65" t="s">
        <v>43</v>
      </c>
      <c r="D65">
        <f>870.1429*$D$7</f>
        <v>0</v>
      </c>
      <c r="E65">
        <f>1223.1491*$E$7</f>
        <v>0</v>
      </c>
      <c r="F65">
        <f>-18.1177*$F$7</f>
        <v>0</v>
      </c>
      <c r="G65">
        <f>80.6558*$G$7</f>
        <v>0</v>
      </c>
      <c r="H65">
        <f>0*$H$7</f>
        <v>0</v>
      </c>
      <c r="I65">
        <f>124.4811*$I$7</f>
        <v>0</v>
      </c>
      <c r="J65">
        <f>-145.4106*$J$7</f>
        <v>0</v>
      </c>
      <c r="K65">
        <f>193.8808*$K$7</f>
        <v>0</v>
      </c>
      <c r="L65">
        <f>0.7672*$L$7</f>
        <v>0</v>
      </c>
      <c r="M65">
        <f>0+D65+E65+G65+H65+I65+J65+K65+L65</f>
        <v>0</v>
      </c>
      <c r="N65">
        <f>0+D65+F65+G65+H65+I65+J65+K65+L65</f>
        <v>0</v>
      </c>
    </row>
    <row r="66" spans="3:14">
      <c r="C66" t="s">
        <v>44</v>
      </c>
      <c r="D66">
        <f>958.252*$D$7</f>
        <v>0</v>
      </c>
      <c r="E66">
        <f>1338.9934*$E$7</f>
        <v>0</v>
      </c>
      <c r="F66">
        <f>-20.8443*$F$7</f>
        <v>0</v>
      </c>
      <c r="G66">
        <f>87.4351*$G$7</f>
        <v>0</v>
      </c>
      <c r="H66">
        <f>0*$H$7</f>
        <v>0</v>
      </c>
      <c r="I66">
        <f>137.6409*$I$7</f>
        <v>0</v>
      </c>
      <c r="J66">
        <f>-137.3382*$J$7</f>
        <v>0</v>
      </c>
      <c r="K66">
        <f>183.1176*$K$7</f>
        <v>0</v>
      </c>
      <c r="L66">
        <f>1.8401*$L$7</f>
        <v>0</v>
      </c>
      <c r="M66">
        <f>0+D66+E66+G66+H66+I66+J66+K66+L66</f>
        <v>0</v>
      </c>
      <c r="N66">
        <f>0+D66+F66+G66+H66+I66+J66+K66+L66</f>
        <v>0</v>
      </c>
    </row>
    <row r="67" spans="3:14">
      <c r="C67" t="s">
        <v>44</v>
      </c>
      <c r="D67">
        <f>944.323*$D$7</f>
        <v>0</v>
      </c>
      <c r="E67">
        <f>1319.6128*$E$7</f>
        <v>0</v>
      </c>
      <c r="F67">
        <f>-20.3532*$F$7</f>
        <v>0</v>
      </c>
      <c r="G67">
        <f>86.1194*$G$7</f>
        <v>0</v>
      </c>
      <c r="H67">
        <f>0*$H$7</f>
        <v>0</v>
      </c>
      <c r="I67">
        <f>135.6122*$I$7</f>
        <v>0</v>
      </c>
      <c r="J67">
        <f>-137.4349*$J$7</f>
        <v>0</v>
      </c>
      <c r="K67">
        <f>183.2466*$K$7</f>
        <v>0</v>
      </c>
      <c r="L67">
        <f>1.4854*$L$7</f>
        <v>0</v>
      </c>
      <c r="M67">
        <f>0+D67+E67+G67+H67+I67+J67+K67+L67</f>
        <v>0</v>
      </c>
      <c r="N67">
        <f>0+D67+F67+G67+H67+I67+J67+K67+L67</f>
        <v>0</v>
      </c>
    </row>
    <row r="68" spans="3:14">
      <c r="C68" t="s">
        <v>45</v>
      </c>
      <c r="D68">
        <f>1007.9893*$D$7</f>
        <v>0</v>
      </c>
      <c r="E68">
        <f>1397.333*$E$7</f>
        <v>0</v>
      </c>
      <c r="F68">
        <f>-23.2681*$F$7</f>
        <v>0</v>
      </c>
      <c r="G68">
        <f>92.7273*$G$7</f>
        <v>0</v>
      </c>
      <c r="H68">
        <f>0*$H$7</f>
        <v>0</v>
      </c>
      <c r="I68">
        <f>144.6778*$I$7</f>
        <v>0</v>
      </c>
      <c r="J68">
        <f>-136.0702*$J$7</f>
        <v>0</v>
      </c>
      <c r="K68">
        <f>181.427*$K$7</f>
        <v>0</v>
      </c>
      <c r="L68">
        <f>2.7306*$L$7</f>
        <v>0</v>
      </c>
      <c r="M68">
        <f>0+D68+E68+G68+H68+I68+J68+K68+L68</f>
        <v>0</v>
      </c>
      <c r="N68">
        <f>0+D68+F68+G68+H68+I68+J68+K68+L68</f>
        <v>0</v>
      </c>
    </row>
    <row r="69" spans="3:14">
      <c r="C69" t="s">
        <v>45</v>
      </c>
      <c r="D69">
        <f>1003.8216*$D$7</f>
        <v>0</v>
      </c>
      <c r="E69">
        <f>1392.4361*$E$7</f>
        <v>0</v>
      </c>
      <c r="F69">
        <f>-23.0342*$F$7</f>
        <v>0</v>
      </c>
      <c r="G69">
        <f>92.3066*$G$7</f>
        <v>0</v>
      </c>
      <c r="H69">
        <f>0*$H$7</f>
        <v>0</v>
      </c>
      <c r="I69">
        <f>144.1212*$I$7</f>
        <v>0</v>
      </c>
      <c r="J69">
        <f>-136.4909*$J$7</f>
        <v>0</v>
      </c>
      <c r="K69">
        <f>181.9878*$K$7</f>
        <v>0</v>
      </c>
      <c r="L69">
        <f>2.4369*$L$7</f>
        <v>0</v>
      </c>
      <c r="M69">
        <f>0+D69+E69+G69+H69+I69+J69+K69+L69</f>
        <v>0</v>
      </c>
      <c r="N69">
        <f>0+D69+F69+G69+H69+I69+J69+K69+L69</f>
        <v>0</v>
      </c>
    </row>
    <row r="70" spans="3:14">
      <c r="C70" t="s">
        <v>46</v>
      </c>
      <c r="D70">
        <f>1043.3511*$D$7</f>
        <v>0</v>
      </c>
      <c r="E70">
        <f>1429.0948*$E$7</f>
        <v>0</v>
      </c>
      <c r="F70">
        <f>-26.0933*$F$7</f>
        <v>0</v>
      </c>
      <c r="G70">
        <f>98.7293*$G$7</f>
        <v>0</v>
      </c>
      <c r="H70">
        <f>0*$H$7</f>
        <v>0</v>
      </c>
      <c r="I70">
        <f>149.1207*$I$7</f>
        <v>0</v>
      </c>
      <c r="J70">
        <f>-142.1349*$J$7</f>
        <v>0</v>
      </c>
      <c r="K70">
        <f>189.5132*$K$7</f>
        <v>0</v>
      </c>
      <c r="L70">
        <f>3.9051*$L$7</f>
        <v>0</v>
      </c>
      <c r="M70">
        <f>0+D70+E70+G70+H70+I70+J70+K70+L70</f>
        <v>0</v>
      </c>
      <c r="N70">
        <f>0+D70+F70+G70+H70+I70+J70+K70+L70</f>
        <v>0</v>
      </c>
    </row>
    <row r="71" spans="3:14">
      <c r="C71" t="s">
        <v>46</v>
      </c>
      <c r="D71">
        <f>1039.4098*$D$7</f>
        <v>0</v>
      </c>
      <c r="E71">
        <f>1419.5985*$E$7</f>
        <v>0</v>
      </c>
      <c r="F71">
        <f>-25.7896*$F$7</f>
        <v>0</v>
      </c>
      <c r="G71">
        <f>98.4323*$G$7</f>
        <v>0</v>
      </c>
      <c r="H71">
        <f>0*$H$7</f>
        <v>0</v>
      </c>
      <c r="I71">
        <f>148.5984*$I$7</f>
        <v>0</v>
      </c>
      <c r="J71">
        <f>-143.234*$J$7</f>
        <v>0</v>
      </c>
      <c r="K71">
        <f>190.9786*$K$7</f>
        <v>0</v>
      </c>
      <c r="L71">
        <f>3.5813*$L$7</f>
        <v>0</v>
      </c>
      <c r="M71">
        <f>0+D71+E71+G71+H71+I71+J71+K71+L71</f>
        <v>0</v>
      </c>
      <c r="N71">
        <f>0+D71+F71+G71+H71+I71+J71+K71+L71</f>
        <v>0</v>
      </c>
    </row>
    <row r="72" spans="3:14">
      <c r="C72" t="s">
        <v>47</v>
      </c>
      <c r="D72">
        <f>1055.0274*$D$7</f>
        <v>0</v>
      </c>
      <c r="E72">
        <f>1418.1373*$E$7</f>
        <v>0</v>
      </c>
      <c r="F72">
        <f>-29.0816*$F$7</f>
        <v>0</v>
      </c>
      <c r="G72">
        <f>103.9797*$G$7</f>
        <v>0</v>
      </c>
      <c r="H72">
        <f>0*$H$7</f>
        <v>0</v>
      </c>
      <c r="I72">
        <f>149.602*$I$7</f>
        <v>0</v>
      </c>
      <c r="J72">
        <f>-152.2602*$J$7</f>
        <v>0</v>
      </c>
      <c r="K72">
        <f>203.0136*$K$7</f>
        <v>0</v>
      </c>
      <c r="L72">
        <f>5.3164*$L$7</f>
        <v>0</v>
      </c>
      <c r="M72">
        <f>0+D72+E72+G72+H72+I72+J72+K72+L72</f>
        <v>0</v>
      </c>
      <c r="N72">
        <f>0+D72+F72+G72+H72+I72+J72+K72+L72</f>
        <v>0</v>
      </c>
    </row>
    <row r="73" spans="3:14">
      <c r="C73" t="s">
        <v>47</v>
      </c>
      <c r="D73">
        <f>1054.8526*$D$7</f>
        <v>0</v>
      </c>
      <c r="E73">
        <f>1417.89*$E$7</f>
        <v>0</v>
      </c>
      <c r="F73">
        <f>-28.2313*$F$7</f>
        <v>0</v>
      </c>
      <c r="G73">
        <f>104.0076*$G$7</f>
        <v>0</v>
      </c>
      <c r="H73">
        <f>0*$H$7</f>
        <v>0</v>
      </c>
      <c r="I73">
        <f>149.5752*$I$7</f>
        <v>0</v>
      </c>
      <c r="J73">
        <f>-151.9495*$J$7</f>
        <v>0</v>
      </c>
      <c r="K73">
        <f>202.5994*$K$7</f>
        <v>0</v>
      </c>
      <c r="L73">
        <f>4.9985*$L$7</f>
        <v>0</v>
      </c>
      <c r="M73">
        <f>0+D73+E73+G73+H73+I73+J73+K73+L73</f>
        <v>0</v>
      </c>
      <c r="N73">
        <f>0+D73+F73+G73+H73+I73+J73+K73+L73</f>
        <v>0</v>
      </c>
    </row>
    <row r="74" spans="3:14">
      <c r="C74" t="s">
        <v>48</v>
      </c>
      <c r="D74">
        <f>1038.7384*$D$7</f>
        <v>0</v>
      </c>
      <c r="E74">
        <f>1419.8783*$E$7</f>
        <v>0</v>
      </c>
      <c r="F74">
        <f>-31.7944*$F$7</f>
        <v>0</v>
      </c>
      <c r="G74">
        <f>98.3018*$G$7</f>
        <v>0</v>
      </c>
      <c r="H74">
        <f>0*$H$7</f>
        <v>0</v>
      </c>
      <c r="I74">
        <f>148.5048*$I$7</f>
        <v>0</v>
      </c>
      <c r="J74">
        <f>-143.6435*$J$7</f>
        <v>0</v>
      </c>
      <c r="K74">
        <f>191.5246*$K$7</f>
        <v>0</v>
      </c>
      <c r="L74">
        <f>7.5712*$L$7</f>
        <v>0</v>
      </c>
      <c r="M74">
        <f>0+D74+E74+G74+H74+I74+J74+K74+L74</f>
        <v>0</v>
      </c>
      <c r="N74">
        <f>0+D74+F74+G74+H74+I74+J74+K74+L74</f>
        <v>0</v>
      </c>
    </row>
    <row r="75" spans="3:14">
      <c r="C75" t="s">
        <v>48</v>
      </c>
      <c r="D75">
        <f>1042.7457*$D$7</f>
        <v>0</v>
      </c>
      <c r="E75">
        <f>1429.2539*$E$7</f>
        <v>0</v>
      </c>
      <c r="F75">
        <f>-31.4573*$F$7</f>
        <v>0</v>
      </c>
      <c r="G75">
        <f>98.6361*$G$7</f>
        <v>0</v>
      </c>
      <c r="H75">
        <f>0*$H$7</f>
        <v>0</v>
      </c>
      <c r="I75">
        <f>149.0354*$I$7</f>
        <v>0</v>
      </c>
      <c r="J75">
        <f>-142.3376*$J$7</f>
        <v>0</v>
      </c>
      <c r="K75">
        <f>189.7835*$K$7</f>
        <v>0</v>
      </c>
      <c r="L75">
        <f>7.0418*$L$7</f>
        <v>0</v>
      </c>
      <c r="M75">
        <f>0+D75+E75+G75+H75+I75+J75+K75+L75</f>
        <v>0</v>
      </c>
      <c r="N75">
        <f>0+D75+F75+G75+H75+I75+J75+K75+L75</f>
        <v>0</v>
      </c>
    </row>
    <row r="76" spans="3:14">
      <c r="C76" t="s">
        <v>49</v>
      </c>
      <c r="D76">
        <f>1002.7444*$D$7</f>
        <v>0</v>
      </c>
      <c r="E76">
        <f>1393.1031*$E$7</f>
        <v>0</v>
      </c>
      <c r="F76">
        <f>-35.0251*$F$7</f>
        <v>0</v>
      </c>
      <c r="G76">
        <f>92.0496*$G$7</f>
        <v>0</v>
      </c>
      <c r="H76">
        <f>0*$H$7</f>
        <v>0</v>
      </c>
      <c r="I76">
        <f>143.9728*$I$7</f>
        <v>0</v>
      </c>
      <c r="J76">
        <f>-137.4671*$J$7</f>
        <v>0</v>
      </c>
      <c r="K76">
        <f>183.2894*$K$7</f>
        <v>0</v>
      </c>
      <c r="L76">
        <f>10.0564*$L$7</f>
        <v>0</v>
      </c>
      <c r="M76">
        <f>0+D76+E76+G76+H76+I76+J76+K76+L76</f>
        <v>0</v>
      </c>
      <c r="N76">
        <f>0+D76+F76+G76+H76+I76+J76+K76+L76</f>
        <v>0</v>
      </c>
    </row>
    <row r="77" spans="3:14">
      <c r="C77" t="s">
        <v>49</v>
      </c>
      <c r="D77">
        <f>1006.9531*$D$7</f>
        <v>0</v>
      </c>
      <c r="E77">
        <f>1397.8501*$E$7</f>
        <v>0</v>
      </c>
      <c r="F77">
        <f>-34.6581*$F$7</f>
        <v>0</v>
      </c>
      <c r="G77">
        <f>92.5088*$G$7</f>
        <v>0</v>
      </c>
      <c r="H77">
        <f>0*$H$7</f>
        <v>0</v>
      </c>
      <c r="I77">
        <f>144.534*$I$7</f>
        <v>0</v>
      </c>
      <c r="J77">
        <f>-136.8146*$J$7</f>
        <v>0</v>
      </c>
      <c r="K77">
        <f>182.4195*$K$7</f>
        <v>0</v>
      </c>
      <c r="L77">
        <f>9.5242*$L$7</f>
        <v>0</v>
      </c>
      <c r="M77">
        <f>0+D77+E77+G77+H77+I77+J77+K77+L77</f>
        <v>0</v>
      </c>
      <c r="N77">
        <f>0+D77+F77+G77+H77+I77+J77+K77+L77</f>
        <v>0</v>
      </c>
    </row>
    <row r="78" spans="3:14">
      <c r="C78" t="s">
        <v>50</v>
      </c>
      <c r="D78">
        <f>942.8421*$D$7</f>
        <v>0</v>
      </c>
      <c r="E78">
        <f>1320.8308*$E$7</f>
        <v>0</v>
      </c>
      <c r="F78">
        <f>-38.2338*$F$7</f>
        <v>0</v>
      </c>
      <c r="G78">
        <f>85.7256*$G$7</f>
        <v>0</v>
      </c>
      <c r="H78">
        <f>0*$H$7</f>
        <v>0</v>
      </c>
      <c r="I78">
        <f>135.4098*$I$7</f>
        <v>0</v>
      </c>
      <c r="J78">
        <f>-139.0484*$J$7</f>
        <v>0</v>
      </c>
      <c r="K78">
        <f>185.3978*$K$7</f>
        <v>0</v>
      </c>
      <c r="L78">
        <f>13.1*$L$7</f>
        <v>0</v>
      </c>
      <c r="M78">
        <f>0+D78+E78+G78+H78+I78+J78+K78+L78</f>
        <v>0</v>
      </c>
      <c r="N78">
        <f>0+D78+F78+G78+H78+I78+J78+K78+L78</f>
        <v>0</v>
      </c>
    </row>
    <row r="79" spans="3:14">
      <c r="C79" t="s">
        <v>50</v>
      </c>
      <c r="D79">
        <f>956.7907*$D$7</f>
        <v>0</v>
      </c>
      <c r="E79">
        <f>1339.9214*$E$7</f>
        <v>0</v>
      </c>
      <c r="F79">
        <f>-37.4847*$F$7</f>
        <v>0</v>
      </c>
      <c r="G79">
        <f>87.1012*$G$7</f>
        <v>0</v>
      </c>
      <c r="H79">
        <f>0*$H$7</f>
        <v>0</v>
      </c>
      <c r="I79">
        <f>137.4391*$I$7</f>
        <v>0</v>
      </c>
      <c r="J79">
        <f>-138.5593*$J$7</f>
        <v>0</v>
      </c>
      <c r="K79">
        <f>184.7458*$K$7</f>
        <v>0</v>
      </c>
      <c r="L79">
        <f>12.1667*$L$7</f>
        <v>0</v>
      </c>
      <c r="M79">
        <f>0+D79+E79+G79+H79+I79+J79+K79+L79</f>
        <v>0</v>
      </c>
      <c r="N79">
        <f>0+D79+F79+G79+H79+I79+J79+K79+L79</f>
        <v>0</v>
      </c>
    </row>
    <row r="80" spans="3:14">
      <c r="C80" t="s">
        <v>51</v>
      </c>
      <c r="D80">
        <f>868.3135*$D$7</f>
        <v>0</v>
      </c>
      <c r="E80">
        <f>1224.7729*$E$7</f>
        <v>0</v>
      </c>
      <c r="F80">
        <f>-41.119*$F$7</f>
        <v>0</v>
      </c>
      <c r="G80">
        <f>80.1291*$G$7</f>
        <v>0</v>
      </c>
      <c r="H80">
        <f>0*$H$7</f>
        <v>0</v>
      </c>
      <c r="I80">
        <f>124.2326*$I$7</f>
        <v>0</v>
      </c>
      <c r="J80">
        <f>-147.672*$J$7</f>
        <v>0</v>
      </c>
      <c r="K80">
        <f>196.896*$K$7</f>
        <v>0</v>
      </c>
      <c r="L80">
        <f>16.2834*$L$7</f>
        <v>0</v>
      </c>
      <c r="M80">
        <f>0+D80+E80+G80+H80+I80+J80+K80+L80</f>
        <v>0</v>
      </c>
      <c r="N80">
        <f>0+D80+F80+G80+H80+I80+J80+K80+L80</f>
        <v>0</v>
      </c>
    </row>
    <row r="81" spans="3:14">
      <c r="C81" t="s">
        <v>51</v>
      </c>
      <c r="D81">
        <f>880.7693*$D$7</f>
        <v>0</v>
      </c>
      <c r="E81">
        <f>1244.3442*$E$7</f>
        <v>0</v>
      </c>
      <c r="F81">
        <f>-40.5549*$F$7</f>
        <v>0</v>
      </c>
      <c r="G81">
        <f>81.4341*$G$7</f>
        <v>0</v>
      </c>
      <c r="H81">
        <f>0*$H$7</f>
        <v>0</v>
      </c>
      <c r="I81">
        <f>126.048*$I$7</f>
        <v>0</v>
      </c>
      <c r="J81">
        <f>-148.3045*$J$7</f>
        <v>0</v>
      </c>
      <c r="K81">
        <f>197.7393*$K$7</f>
        <v>0</v>
      </c>
      <c r="L81">
        <f>15.7157*$L$7</f>
        <v>0</v>
      </c>
      <c r="M81">
        <f>0+D81+E81+G81+H81+I81+J81+K81+L81</f>
        <v>0</v>
      </c>
      <c r="N81">
        <f>0+D81+F81+G81+H81+I81+J81+K81+L81</f>
        <v>0</v>
      </c>
    </row>
    <row r="82" spans="3:14">
      <c r="C82" t="s">
        <v>52</v>
      </c>
      <c r="D82">
        <f>767.8166*$D$7</f>
        <v>0</v>
      </c>
      <c r="E82">
        <f>1089.4285*$E$7</f>
        <v>0</v>
      </c>
      <c r="F82">
        <f>-44.5111*$F$7</f>
        <v>0</v>
      </c>
      <c r="G82">
        <f>73.6491*$G$7</f>
        <v>0</v>
      </c>
      <c r="H82">
        <f>0*$H$7</f>
        <v>0</v>
      </c>
      <c r="I82">
        <f>108.7649*$I$7</f>
        <v>0</v>
      </c>
      <c r="J82">
        <f>-159.8378*$J$7</f>
        <v>0</v>
      </c>
      <c r="K82">
        <f>213.117*$K$7</f>
        <v>0</v>
      </c>
      <c r="L82">
        <f>20.117*$L$7</f>
        <v>0</v>
      </c>
      <c r="M82">
        <f>0+D82+E82+G82+H82+I82+J82+K82+L82</f>
        <v>0</v>
      </c>
      <c r="N82">
        <f>0+D82+F82+G82+H82+I82+J82+K82+L82</f>
        <v>0</v>
      </c>
    </row>
    <row r="83" spans="3:14">
      <c r="C83" t="s">
        <v>52</v>
      </c>
      <c r="D83">
        <f>781.705*$D$7</f>
        <v>0</v>
      </c>
      <c r="E83">
        <f>1107.9248*$E$7</f>
        <v>0</v>
      </c>
      <c r="F83">
        <f>-43.534*$F$7</f>
        <v>0</v>
      </c>
      <c r="G83">
        <f>74.0522*$G$7</f>
        <v>0</v>
      </c>
      <c r="H83">
        <f>0*$H$7</f>
        <v>0</v>
      </c>
      <c r="I83">
        <f>110.7967*$I$7</f>
        <v>0</v>
      </c>
      <c r="J83">
        <f>-166.0796*$J$7</f>
        <v>0</v>
      </c>
      <c r="K83">
        <f>221.4395*$K$7</f>
        <v>0</v>
      </c>
      <c r="L83">
        <f>22.7384*$L$7</f>
        <v>0</v>
      </c>
      <c r="M83">
        <f>0+D83+E83+G83+H83+I83+J83+K83+L83</f>
        <v>0</v>
      </c>
      <c r="N83">
        <f>0+D83+F83+G83+H83+I83+J83+K83+L83</f>
        <v>0</v>
      </c>
    </row>
    <row r="84" spans="3:14">
      <c r="C84" t="s">
        <v>53</v>
      </c>
      <c r="D84">
        <f>643.3667*$D$7</f>
        <v>0</v>
      </c>
      <c r="E84">
        <f>948.0514*$E$7</f>
        <v>0</v>
      </c>
      <c r="F84">
        <f>-49.7552*$F$7</f>
        <v>0</v>
      </c>
      <c r="G84">
        <f>58.0629*$G$7</f>
        <v>0</v>
      </c>
      <c r="H84">
        <f>0*$H$7</f>
        <v>0</v>
      </c>
      <c r="I84">
        <f>92.1712*$I$7</f>
        <v>0</v>
      </c>
      <c r="J84">
        <f>-144.8671*$J$7</f>
        <v>0</v>
      </c>
      <c r="K84">
        <f>193.1562*$K$7</f>
        <v>0</v>
      </c>
      <c r="L84">
        <f>19.1494*$L$7</f>
        <v>0</v>
      </c>
      <c r="M84">
        <f>0+D84+E84+G84+H84+I84+J84+K84+L84</f>
        <v>0</v>
      </c>
      <c r="N84">
        <f>0+D84+F84+G84+H84+I84+J84+K84+L84</f>
        <v>0</v>
      </c>
    </row>
    <row r="85" spans="3:14">
      <c r="C85" t="s">
        <v>53</v>
      </c>
      <c r="D85">
        <f>671.3045*$D$7</f>
        <v>0</v>
      </c>
      <c r="E85">
        <f>982.5381*$E$7</f>
        <v>0</v>
      </c>
      <c r="F85">
        <f>-49.303*$F$7</f>
        <v>0</v>
      </c>
      <c r="G85">
        <f>60.6754*$G$7</f>
        <v>0</v>
      </c>
      <c r="H85">
        <f>0*$H$7</f>
        <v>0</v>
      </c>
      <c r="I85">
        <f>96.0901*$I$7</f>
        <v>0</v>
      </c>
      <c r="J85">
        <f>-145.6187*$J$7</f>
        <v>0</v>
      </c>
      <c r="K85">
        <f>194.1583*$K$7</f>
        <v>0</v>
      </c>
      <c r="L85">
        <f>19.327*$L$7</f>
        <v>0</v>
      </c>
      <c r="M85">
        <f>0+D85+E85+G85+H85+I85+J85+K85+L85</f>
        <v>0</v>
      </c>
      <c r="N85">
        <f>0+D85+F85+G85+H85+I85+J85+K85+L85</f>
        <v>0</v>
      </c>
    </row>
    <row r="86" spans="3:14">
      <c r="C86" t="s">
        <v>54</v>
      </c>
      <c r="D86">
        <f>517.697*$D$7</f>
        <v>0</v>
      </c>
      <c r="E86">
        <f>790.2612*$E$7</f>
        <v>0</v>
      </c>
      <c r="F86">
        <f>-56.6433*$F$7</f>
        <v>0</v>
      </c>
      <c r="G86">
        <f>44.5264*$G$7</f>
        <v>0</v>
      </c>
      <c r="H86">
        <f>0*$H$7</f>
        <v>0</v>
      </c>
      <c r="I86">
        <f>74.8189*$I$7</f>
        <v>0</v>
      </c>
      <c r="J86">
        <f>-117.3091*$J$7</f>
        <v>0</v>
      </c>
      <c r="K86">
        <f>156.4122*$K$7</f>
        <v>0</v>
      </c>
      <c r="L86">
        <f>15.1639*$L$7</f>
        <v>0</v>
      </c>
      <c r="M86">
        <f>0+D86+E86+G86+H86+I86+J86+K86+L86</f>
        <v>0</v>
      </c>
      <c r="N86">
        <f>0+D86+F86+G86+H86+I86+J86+K86+L86</f>
        <v>0</v>
      </c>
    </row>
    <row r="87" spans="3:14">
      <c r="C87" t="s">
        <v>54</v>
      </c>
      <c r="D87">
        <f>537.7974*$D$7</f>
        <v>0</v>
      </c>
      <c r="E87">
        <f>817.153*$E$7</f>
        <v>0</v>
      </c>
      <c r="F87">
        <f>-56.5443*$F$7</f>
        <v>0</v>
      </c>
      <c r="G87">
        <f>46.2218*$G$7</f>
        <v>0</v>
      </c>
      <c r="H87">
        <f>0*$H$7</f>
        <v>0</v>
      </c>
      <c r="I87">
        <f>77.6774*$I$7</f>
        <v>0</v>
      </c>
      <c r="J87">
        <f>-119.894*$J$7</f>
        <v>0</v>
      </c>
      <c r="K87">
        <f>159.8587*$K$7</f>
        <v>0</v>
      </c>
      <c r="L87">
        <f>15.8155*$L$7</f>
        <v>0</v>
      </c>
      <c r="M87">
        <f>0+D87+E87+G87+H87+I87+J87+K87+L87</f>
        <v>0</v>
      </c>
      <c r="N87">
        <f>0+D87+F87+G87+H87+I87+J87+K87+L87</f>
        <v>0</v>
      </c>
    </row>
    <row r="88" spans="3:14">
      <c r="C88" t="s">
        <v>55</v>
      </c>
      <c r="D88">
        <f>362.0031*$D$7</f>
        <v>0</v>
      </c>
      <c r="E88">
        <f>579.6338*$E$7</f>
        <v>0</v>
      </c>
      <c r="F88">
        <f>-64.4758*$F$7</f>
        <v>0</v>
      </c>
      <c r="G88">
        <f>29.9171*$G$7</f>
        <v>0</v>
      </c>
      <c r="H88">
        <f>0*$H$7</f>
        <v>0</v>
      </c>
      <c r="I88">
        <f>52.7272*$I$7</f>
        <v>0</v>
      </c>
      <c r="J88">
        <f>-93.7908*$J$7</f>
        <v>0</v>
      </c>
      <c r="K88">
        <f>125.0544*$K$7</f>
        <v>0</v>
      </c>
      <c r="L88">
        <f>10.0296*$L$7</f>
        <v>0</v>
      </c>
      <c r="M88">
        <f>0+D88+E88+G88+H88+I88+J88+K88+L88</f>
        <v>0</v>
      </c>
      <c r="N88">
        <f>0+D88+F88+G88+H88+I88+J88+K88+L88</f>
        <v>0</v>
      </c>
    </row>
    <row r="89" spans="3:14">
      <c r="C89" t="s">
        <v>55</v>
      </c>
      <c r="D89">
        <f>377.0958*$D$7</f>
        <v>0</v>
      </c>
      <c r="E89">
        <f>597.1799*$E$7</f>
        <v>0</v>
      </c>
      <c r="F89">
        <f>-64.5524*$F$7</f>
        <v>0</v>
      </c>
      <c r="G89">
        <f>31.2607*$G$7</f>
        <v>0</v>
      </c>
      <c r="H89">
        <f>0*$H$7</f>
        <v>0</v>
      </c>
      <c r="I89">
        <f>54.872*$I$7</f>
        <v>0</v>
      </c>
      <c r="J89">
        <f>-97.9061*$J$7</f>
        <v>0</v>
      </c>
      <c r="K89">
        <f>130.5414*$K$7</f>
        <v>0</v>
      </c>
      <c r="L89">
        <f>10.9334*$L$7</f>
        <v>0</v>
      </c>
      <c r="M89">
        <f>0+D89+E89+G89+H89+I89+J89+K89+L89</f>
        <v>0</v>
      </c>
      <c r="N89">
        <f>0+D89+F89+G89+H89+I89+J89+K89+L89</f>
        <v>0</v>
      </c>
    </row>
    <row r="90" spans="3:14">
      <c r="C90" t="s">
        <v>56</v>
      </c>
      <c r="D90">
        <f>177.3608*$D$7</f>
        <v>0</v>
      </c>
      <c r="E90">
        <f>306.8825*$E$7</f>
        <v>0</v>
      </c>
      <c r="F90">
        <f>-73.6057*$F$7</f>
        <v>0</v>
      </c>
      <c r="G90">
        <f>14.8608*$G$7</f>
        <v>0</v>
      </c>
      <c r="H90">
        <f>0*$H$7</f>
        <v>0</v>
      </c>
      <c r="I90">
        <f>25.983*$I$7</f>
        <v>0</v>
      </c>
      <c r="J90">
        <f>-73.4482*$J$7</f>
        <v>0</v>
      </c>
      <c r="K90">
        <f>97.9309*$K$7</f>
        <v>0</v>
      </c>
      <c r="L90">
        <f>1.755*$L$7</f>
        <v>0</v>
      </c>
      <c r="M90">
        <f>0+D90+E90+G90+H90+I90+J90+K90+L90</f>
        <v>0</v>
      </c>
      <c r="N90">
        <f>0+D90+F90+G90+H90+I90+J90+K90+L90</f>
        <v>0</v>
      </c>
    </row>
    <row r="91" spans="3:14">
      <c r="C91" t="s">
        <v>56</v>
      </c>
      <c r="D91">
        <f>206.3236*$D$7</f>
        <v>0</v>
      </c>
      <c r="E91">
        <f>342.7665*$E$7</f>
        <v>0</v>
      </c>
      <c r="F91">
        <f>-74.8937*$F$7</f>
        <v>0</v>
      </c>
      <c r="G91">
        <f>17.3522*$G$7</f>
        <v>0</v>
      </c>
      <c r="H91">
        <f>0*$H$7</f>
        <v>0</v>
      </c>
      <c r="I91">
        <f>30.165*$I$7</f>
        <v>0</v>
      </c>
      <c r="J91">
        <f>-81.0485*$J$7</f>
        <v>0</v>
      </c>
      <c r="K91">
        <f>108.0647*$K$7</f>
        <v>0</v>
      </c>
      <c r="L91">
        <f>3.9222*$L$7</f>
        <v>0</v>
      </c>
      <c r="M91">
        <f>0+D91+E91+G91+H91+I91+J91+K91+L91</f>
        <v>0</v>
      </c>
      <c r="N91">
        <f>0+D91+F91+G91+H91+I91+J91+K91+L91</f>
        <v>0</v>
      </c>
    </row>
    <row r="92" spans="3:14">
      <c r="C92" t="s">
        <v>57</v>
      </c>
      <c r="D92">
        <f>-20.1306*$D$7</f>
        <v>0</v>
      </c>
      <c r="E92">
        <f>9.3932*$E$7</f>
        <v>0</v>
      </c>
      <c r="F92">
        <f>-110.5535*$F$7</f>
        <v>0</v>
      </c>
      <c r="G92">
        <f>0.692*$G$7</f>
        <v>0</v>
      </c>
      <c r="H92">
        <f>0*$H$7</f>
        <v>0</v>
      </c>
      <c r="I92">
        <f>-3.0279*$I$7</f>
        <v>0</v>
      </c>
      <c r="J92">
        <f>-49.3198*$J$7</f>
        <v>0</v>
      </c>
      <c r="K92">
        <f>65.7597*$K$7</f>
        <v>0</v>
      </c>
      <c r="L92">
        <f>-12.8371*$L$7</f>
        <v>0</v>
      </c>
      <c r="M92">
        <f>0+D92+E92+G92+H92+I92+J92+K92+L92</f>
        <v>0</v>
      </c>
      <c r="N92">
        <f>0+D92+F92+G92+H92+I92+J92+K92+L92</f>
        <v>0</v>
      </c>
    </row>
    <row r="93" spans="3:14">
      <c r="C93" t="s">
        <v>57</v>
      </c>
      <c r="D93">
        <f>-15.4218*$D$7</f>
        <v>0</v>
      </c>
      <c r="E93">
        <f>4.1979*$E$7</f>
        <v>0</v>
      </c>
      <c r="F93">
        <f>-100.8844*$F$7</f>
        <v>0</v>
      </c>
      <c r="G93">
        <f>-0.4026*$G$7</f>
        <v>0</v>
      </c>
      <c r="H93">
        <f>0*$H$7</f>
        <v>0</v>
      </c>
      <c r="I93">
        <f>-2.2905*$I$7</f>
        <v>0</v>
      </c>
      <c r="J93">
        <f>-60.105*$J$7</f>
        <v>0</v>
      </c>
      <c r="K93">
        <f>80.14*$K$7</f>
        <v>0</v>
      </c>
      <c r="L93">
        <f>-6.8592*$L$7</f>
        <v>0</v>
      </c>
      <c r="M93">
        <f>0+D93+E93+G93+H93+I93+J93+K93+L93</f>
        <v>0</v>
      </c>
      <c r="N93">
        <f>0+D93+F93+G93+H93+I93+J93+K93+L93</f>
        <v>0</v>
      </c>
    </row>
    <row r="94" spans="3:14">
      <c r="C94" t="s">
        <v>58</v>
      </c>
      <c r="D94">
        <f>-8.287*$D$7</f>
        <v>0</v>
      </c>
      <c r="E94">
        <f>4.3148*$E$7</f>
        <v>0</v>
      </c>
      <c r="F94">
        <f>-12.4567*$F$7</f>
        <v>0</v>
      </c>
      <c r="G94">
        <f>-0.8062*$G$7</f>
        <v>0</v>
      </c>
      <c r="H94">
        <f>0*$H$7</f>
        <v>0</v>
      </c>
      <c r="I94">
        <f>-1.1994*$I$7</f>
        <v>0</v>
      </c>
      <c r="J94">
        <f>-65.9075*$J$7</f>
        <v>0</v>
      </c>
      <c r="K94">
        <f>87.8767*$K$7</f>
        <v>0</v>
      </c>
      <c r="L94">
        <f>-0.4146*$L$7</f>
        <v>0</v>
      </c>
      <c r="M94">
        <f>0+D94+E94+G94+H94+I94+J94+K94+L94</f>
        <v>0</v>
      </c>
      <c r="N94">
        <f>0+D94+F94+G94+H94+I94+J94+K94+L94</f>
        <v>0</v>
      </c>
    </row>
    <row r="95" spans="3:14">
      <c r="C95" t="s">
        <v>58</v>
      </c>
      <c r="D95">
        <f>-3.1846*$D$7</f>
        <v>0</v>
      </c>
      <c r="E95">
        <f>1.1995*$E$7</f>
        <v>0</v>
      </c>
      <c r="F95">
        <f>-8.3793*$F$7</f>
        <v>0</v>
      </c>
      <c r="G95">
        <f>-0.373*$G$7</f>
        <v>0</v>
      </c>
      <c r="H95">
        <f>0*$H$7</f>
        <v>0</v>
      </c>
      <c r="I95">
        <f>-0.4738*$I$7</f>
        <v>0</v>
      </c>
      <c r="J95">
        <f>-64.2891*$J$7</f>
        <v>0</v>
      </c>
      <c r="K95">
        <f>85.7188*$K$7</f>
        <v>0</v>
      </c>
      <c r="L95">
        <f>-4.8828*$L$7</f>
        <v>0</v>
      </c>
      <c r="M95">
        <f>0+D95+E95+G95+H95+I95+J95+K95+L95</f>
        <v>0</v>
      </c>
      <c r="N95">
        <f>0+D95+F95+G95+H95+I95+J95+K95+L95</f>
        <v>0</v>
      </c>
    </row>
    <row r="96" spans="3:14">
      <c r="C96" t="s">
        <v>59</v>
      </c>
      <c r="D96">
        <f>-10.0807*$D$7</f>
        <v>0</v>
      </c>
      <c r="E96">
        <f>3.2883*$E$7</f>
        <v>0</v>
      </c>
      <c r="F96">
        <f>-16.0835*$F$7</f>
        <v>0</v>
      </c>
      <c r="G96">
        <f>-0.1878*$G$7</f>
        <v>0</v>
      </c>
      <c r="H96">
        <f>0*$H$7</f>
        <v>0</v>
      </c>
      <c r="I96">
        <f>-1.522*$I$7</f>
        <v>0</v>
      </c>
      <c r="J96">
        <f>-64.4155*$J$7</f>
        <v>0</v>
      </c>
      <c r="K96">
        <f>85.8873*$K$7</f>
        <v>0</v>
      </c>
      <c r="L96">
        <f>-5.8531*$L$7</f>
        <v>0</v>
      </c>
      <c r="M96">
        <f>0+D96+E96+G96+H96+I96+J96+K96+L96</f>
        <v>0</v>
      </c>
      <c r="N96">
        <f>0+D96+F96+G96+H96+I96+J96+K96+L96</f>
        <v>0</v>
      </c>
    </row>
    <row r="97" spans="3:14">
      <c r="C97" t="s">
        <v>59</v>
      </c>
      <c r="D97">
        <f>-31.8071*$D$7</f>
        <v>0</v>
      </c>
      <c r="E97">
        <f>49.7116*$E$7</f>
        <v>0</v>
      </c>
      <c r="F97">
        <f>-90.0218*$F$7</f>
        <v>0</v>
      </c>
      <c r="G97">
        <f>1.7354*$G$7</f>
        <v>0</v>
      </c>
      <c r="H97">
        <f>0*$H$7</f>
        <v>0</v>
      </c>
      <c r="I97">
        <f>-4.7604*$I$7</f>
        <v>0</v>
      </c>
      <c r="J97">
        <f>-42.4072*$J$7</f>
        <v>0</v>
      </c>
      <c r="K97">
        <f>56.5429*$K$7</f>
        <v>0</v>
      </c>
      <c r="L97">
        <f>0.3161*$L$7</f>
        <v>0</v>
      </c>
      <c r="M97">
        <f>0+D97+E97+G97+H97+I97+J97+K97+L97</f>
        <v>0</v>
      </c>
      <c r="N97">
        <f>0+D97+F97+G97+H97+I97+J97+K97+L97</f>
        <v>0</v>
      </c>
    </row>
    <row r="98" spans="3:14">
      <c r="C98" t="s">
        <v>60</v>
      </c>
      <c r="D98">
        <f>85.0609*$D$7</f>
        <v>0</v>
      </c>
      <c r="E98">
        <f>238.5735*$E$7</f>
        <v>0</v>
      </c>
      <c r="F98">
        <f>-14.8568*$F$7</f>
        <v>0</v>
      </c>
      <c r="G98">
        <f>5.6296*$G$7</f>
        <v>0</v>
      </c>
      <c r="H98">
        <f>0*$H$7</f>
        <v>0</v>
      </c>
      <c r="I98">
        <f>12.9372*$I$7</f>
        <v>0</v>
      </c>
      <c r="J98">
        <f>-96.8144*$J$7</f>
        <v>0</v>
      </c>
      <c r="K98">
        <f>129.0858*$K$7</f>
        <v>0</v>
      </c>
      <c r="L98">
        <f>104.5862*$L$7</f>
        <v>0</v>
      </c>
      <c r="M98">
        <f>0+D98+E98+G98+H98+I98+J98+K98+L98</f>
        <v>0</v>
      </c>
      <c r="N98">
        <f>0+D98+F98+G98+H98+I98+J98+K98+L98</f>
        <v>0</v>
      </c>
    </row>
    <row r="99" spans="3:14">
      <c r="C99" t="s">
        <v>60</v>
      </c>
      <c r="D99">
        <f>70.6054*$D$7</f>
        <v>0</v>
      </c>
      <c r="E99">
        <f>213.8614*$E$7</f>
        <v>0</v>
      </c>
      <c r="F99">
        <f>-16.5185*$F$7</f>
        <v>0</v>
      </c>
      <c r="G99">
        <f>4.8454*$G$7</f>
        <v>0</v>
      </c>
      <c r="H99">
        <f>0*$H$7</f>
        <v>0</v>
      </c>
      <c r="I99">
        <f>10.7982*$I$7</f>
        <v>0</v>
      </c>
      <c r="J99">
        <f>-86.4536*$J$7</f>
        <v>0</v>
      </c>
      <c r="K99">
        <f>115.2714*$K$7</f>
        <v>0</v>
      </c>
      <c r="L99">
        <f>89.9109*$L$7</f>
        <v>0</v>
      </c>
      <c r="M99">
        <f>0+D99+E99+G99+H99+I99+J99+K99+L99</f>
        <v>0</v>
      </c>
      <c r="N99">
        <f>0+D99+F99+G99+H99+I99+J99+K99+L99</f>
        <v>0</v>
      </c>
    </row>
    <row r="100" spans="3:14">
      <c r="C100" t="s">
        <v>61</v>
      </c>
      <c r="D100">
        <f>161.9476*$D$7</f>
        <v>0</v>
      </c>
      <c r="E100">
        <f>396.156*$E$7</f>
        <v>0</v>
      </c>
      <c r="F100">
        <f>-8.2063*$F$7</f>
        <v>0</v>
      </c>
      <c r="G100">
        <f>8.6909*$G$7</f>
        <v>0</v>
      </c>
      <c r="H100">
        <f>0*$H$7</f>
        <v>0</v>
      </c>
      <c r="I100">
        <f>24.3559*$I$7</f>
        <v>0</v>
      </c>
      <c r="J100">
        <f>-127.8595*$J$7</f>
        <v>0</v>
      </c>
      <c r="K100">
        <f>170.4794*$K$7</f>
        <v>0</v>
      </c>
      <c r="L100">
        <f>179.9846*$L$7</f>
        <v>0</v>
      </c>
      <c r="M100">
        <f>0+D100+E100+G100+H100+I100+J100+K100+L100</f>
        <v>0</v>
      </c>
      <c r="N100">
        <f>0+D100+F100+G100+H100+I100+J100+K100+L100</f>
        <v>0</v>
      </c>
    </row>
    <row r="101" spans="3:14">
      <c r="C101" t="s">
        <v>61</v>
      </c>
      <c r="D101">
        <f>154.2842*$D$7</f>
        <v>0</v>
      </c>
      <c r="E101">
        <f>383.3971*$E$7</f>
        <v>0</v>
      </c>
      <c r="F101">
        <f>-8.3707*$F$7</f>
        <v>0</v>
      </c>
      <c r="G101">
        <f>8.3191*$G$7</f>
        <v>0</v>
      </c>
      <c r="H101">
        <f>0*$H$7</f>
        <v>0</v>
      </c>
      <c r="I101">
        <f>23.2449*$I$7</f>
        <v>0</v>
      </c>
      <c r="J101">
        <f>-124.669*$J$7</f>
        <v>0</v>
      </c>
      <c r="K101">
        <f>166.2253*$K$7</f>
        <v>0</v>
      </c>
      <c r="L101">
        <f>172.6815*$L$7</f>
        <v>0</v>
      </c>
      <c r="M101">
        <f>0+D101+E101+G101+H101+I101+J101+K101+L101</f>
        <v>0</v>
      </c>
      <c r="N101">
        <f>0+D101+F101+G101+H101+I101+J101+K101+L101</f>
        <v>0</v>
      </c>
    </row>
    <row r="102" spans="3:14">
      <c r="C102" t="s">
        <v>62</v>
      </c>
      <c r="D102">
        <f>224.7879*$D$7</f>
        <v>0</v>
      </c>
      <c r="E102">
        <f>512.9363*$E$7</f>
        <v>0</v>
      </c>
      <c r="F102">
        <f>-7.6973*$F$7</f>
        <v>0</v>
      </c>
      <c r="G102">
        <f>12.3243*$G$7</f>
        <v>0</v>
      </c>
      <c r="H102">
        <f>0*$H$7</f>
        <v>0</v>
      </c>
      <c r="I102">
        <f>33.3228*$I$7</f>
        <v>0</v>
      </c>
      <c r="J102">
        <f>-157.249*$J$7</f>
        <v>0</v>
      </c>
      <c r="K102">
        <f>209.6653*$K$7</f>
        <v>0</v>
      </c>
      <c r="L102">
        <f>249.4152*$L$7</f>
        <v>0</v>
      </c>
      <c r="M102">
        <f>0+D102+E102+G102+H102+I102+J102+K102+L102</f>
        <v>0</v>
      </c>
      <c r="N102">
        <f>0+D102+F102+G102+H102+I102+J102+K102+L102</f>
        <v>0</v>
      </c>
    </row>
    <row r="103" spans="3:14">
      <c r="C103" t="s">
        <v>62</v>
      </c>
      <c r="D103">
        <f>216.3742*$D$7</f>
        <v>0</v>
      </c>
      <c r="E103">
        <f>496.6098*$E$7</f>
        <v>0</v>
      </c>
      <c r="F103">
        <f>-7.8913*$F$7</f>
        <v>0</v>
      </c>
      <c r="G103">
        <f>12.0143*$G$7</f>
        <v>0</v>
      </c>
      <c r="H103">
        <f>0*$H$7</f>
        <v>0</v>
      </c>
      <c r="I103">
        <f>32.1325*$I$7</f>
        <v>0</v>
      </c>
      <c r="J103">
        <f>-151.9798*$J$7</f>
        <v>0</v>
      </c>
      <c r="K103">
        <f>202.6397*$K$7</f>
        <v>0</v>
      </c>
      <c r="L103">
        <f>241.6574*$L$7</f>
        <v>0</v>
      </c>
      <c r="M103">
        <f>0+D103+E103+G103+H103+I103+J103+K103+L103</f>
        <v>0</v>
      </c>
      <c r="N103">
        <f>0+D103+F103+G103+H103+I103+J103+K103+L103</f>
        <v>0</v>
      </c>
    </row>
    <row r="104" spans="3:14">
      <c r="C104" t="s">
        <v>63</v>
      </c>
      <c r="D104">
        <f>264.7555*$D$7</f>
        <v>0</v>
      </c>
      <c r="E104">
        <f>572.4975*$E$7</f>
        <v>0</v>
      </c>
      <c r="F104">
        <f>-6.4451*$F$7</f>
        <v>0</v>
      </c>
      <c r="G104">
        <f>15.8782*$G$7</f>
        <v>0</v>
      </c>
      <c r="H104">
        <f>0*$H$7</f>
        <v>0</v>
      </c>
      <c r="I104">
        <f>38.5454*$I$7</f>
        <v>0</v>
      </c>
      <c r="J104">
        <f>-187.6332*$J$7</f>
        <v>0</v>
      </c>
      <c r="K104">
        <f>250.1776*$K$7</f>
        <v>0</v>
      </c>
      <c r="L104">
        <f>301.992*$L$7</f>
        <v>0</v>
      </c>
      <c r="M104">
        <f>0+D104+E104+G104+H104+I104+J104+K104+L104</f>
        <v>0</v>
      </c>
      <c r="N104">
        <f>0+D104+F104+G104+H104+I104+J104+K104+L104</f>
        <v>0</v>
      </c>
    </row>
    <row r="105" spans="3:14">
      <c r="C105" t="s">
        <v>63</v>
      </c>
      <c r="D105">
        <f>260.178*$D$7</f>
        <v>0</v>
      </c>
      <c r="E105">
        <f>562.0232*$E$7</f>
        <v>0</v>
      </c>
      <c r="F105">
        <f>-6.6345*$F$7</f>
        <v>0</v>
      </c>
      <c r="G105">
        <f>15.7952*$G$7</f>
        <v>0</v>
      </c>
      <c r="H105">
        <f>0*$H$7</f>
        <v>0</v>
      </c>
      <c r="I105">
        <f>37.9188*$I$7</f>
        <v>0</v>
      </c>
      <c r="J105">
        <f>-185.2358*$J$7</f>
        <v>0</v>
      </c>
      <c r="K105">
        <f>246.9811*$K$7</f>
        <v>0</v>
      </c>
      <c r="L105">
        <f>298.2759*$L$7</f>
        <v>0</v>
      </c>
      <c r="M105">
        <f>0+D105+E105+G105+H105+I105+J105+K105+L105</f>
        <v>0</v>
      </c>
      <c r="N105">
        <f>0+D105+F105+G105+H105+I105+J105+K105+L105</f>
        <v>0</v>
      </c>
    </row>
    <row r="106" spans="3:14">
      <c r="C106" t="s">
        <v>64</v>
      </c>
      <c r="D106">
        <f>286.9037*$D$7</f>
        <v>0</v>
      </c>
      <c r="E106">
        <f>589.8608*$E$7</f>
        <v>0</v>
      </c>
      <c r="F106">
        <f>-5.5973*$F$7</f>
        <v>0</v>
      </c>
      <c r="G106">
        <f>18.9975*$G$7</f>
        <v>0</v>
      </c>
      <c r="H106">
        <f>0*$H$7</f>
        <v>0</v>
      </c>
      <c r="I106">
        <f>40.7588*$I$7</f>
        <v>0</v>
      </c>
      <c r="J106">
        <f>-219.8184*$J$7</f>
        <v>0</v>
      </c>
      <c r="K106">
        <f>293.0912*$K$7</f>
        <v>0</v>
      </c>
      <c r="L106">
        <f>341.6191*$L$7</f>
        <v>0</v>
      </c>
      <c r="M106">
        <f>0+D106+E106+G106+H106+I106+J106+K106+L106</f>
        <v>0</v>
      </c>
      <c r="N106">
        <f>0+D106+F106+G106+H106+I106+J106+K106+L106</f>
        <v>0</v>
      </c>
    </row>
    <row r="107" spans="3:14">
      <c r="C107" t="s">
        <v>64</v>
      </c>
      <c r="D107">
        <f>283.7506*$D$7</f>
        <v>0</v>
      </c>
      <c r="E107">
        <f>583.7807*$E$7</f>
        <v>0</v>
      </c>
      <c r="F107">
        <f>-5.583*$F$7</f>
        <v>0</v>
      </c>
      <c r="G107">
        <f>18.7417*$G$7</f>
        <v>0</v>
      </c>
      <c r="H107">
        <f>0*$H$7</f>
        <v>0</v>
      </c>
      <c r="I107">
        <f>40.3246*$I$7</f>
        <v>0</v>
      </c>
      <c r="J107">
        <f>-221.442*$J$7</f>
        <v>0</v>
      </c>
      <c r="K107">
        <f>295.256*$K$7</f>
        <v>0</v>
      </c>
      <c r="L107">
        <f>339.3993*$L$7</f>
        <v>0</v>
      </c>
      <c r="M107">
        <f>0+D107+E107+G107+H107+I107+J107+K107+L107</f>
        <v>0</v>
      </c>
      <c r="N107">
        <f>0+D107+F107+G107+H107+I107+J107+K107+L107</f>
        <v>0</v>
      </c>
    </row>
    <row r="108" spans="3:14">
      <c r="C108" t="s">
        <v>65</v>
      </c>
      <c r="D108">
        <f>270.0896*$D$7</f>
        <v>0</v>
      </c>
      <c r="E108">
        <f>578.8952*$E$7</f>
        <v>0</v>
      </c>
      <c r="F108">
        <f>-3.8316*$F$7</f>
        <v>0</v>
      </c>
      <c r="G108">
        <f>15.2695*$G$7</f>
        <v>0</v>
      </c>
      <c r="H108">
        <f>0*$H$7</f>
        <v>0</v>
      </c>
      <c r="I108">
        <f>39.526*$I$7</f>
        <v>0</v>
      </c>
      <c r="J108">
        <f>-191.8508*$J$7</f>
        <v>0</v>
      </c>
      <c r="K108">
        <f>255.8011*$K$7</f>
        <v>0</v>
      </c>
      <c r="L108">
        <f>299.5149*$L$7</f>
        <v>0</v>
      </c>
      <c r="M108">
        <f>0+D108+E108+G108+H108+I108+J108+K108+L108</f>
        <v>0</v>
      </c>
      <c r="N108">
        <f>0+D108+F108+G108+H108+I108+J108+K108+L108</f>
        <v>0</v>
      </c>
    </row>
    <row r="109" spans="3:14">
      <c r="C109" t="s">
        <v>65</v>
      </c>
      <c r="D109">
        <f>273.178*$D$7</f>
        <v>0</v>
      </c>
      <c r="E109">
        <f>586.8796*$E$7</f>
        <v>0</v>
      </c>
      <c r="F109">
        <f>-4.1169*$F$7</f>
        <v>0</v>
      </c>
      <c r="G109">
        <f>15.4704*$G$7</f>
        <v>0</v>
      </c>
      <c r="H109">
        <f>0*$H$7</f>
        <v>0</v>
      </c>
      <c r="I109">
        <f>39.9146*$I$7</f>
        <v>0</v>
      </c>
      <c r="J109">
        <f>-191.2837*$J$7</f>
        <v>0</v>
      </c>
      <c r="K109">
        <f>255.0449*$K$7</f>
        <v>0</v>
      </c>
      <c r="L109">
        <f>302.9931*$L$7</f>
        <v>0</v>
      </c>
      <c r="M109">
        <f>0+D109+E109+G109+H109+I109+J109+K109+L109</f>
        <v>0</v>
      </c>
      <c r="N109">
        <f>0+D109+F109+G109+H109+I109+J109+K109+L109</f>
        <v>0</v>
      </c>
    </row>
    <row r="110" spans="3:14">
      <c r="C110" t="s">
        <v>66</v>
      </c>
      <c r="D110">
        <f>234.025*$D$7</f>
        <v>0</v>
      </c>
      <c r="E110">
        <f>527.4413*$E$7</f>
        <v>0</v>
      </c>
      <c r="F110">
        <f>-3.1395*$F$7</f>
        <v>0</v>
      </c>
      <c r="G110">
        <f>11.3206*$G$7</f>
        <v>0</v>
      </c>
      <c r="H110">
        <f>0*$H$7</f>
        <v>0</v>
      </c>
      <c r="I110">
        <f>34.8851*$I$7</f>
        <v>0</v>
      </c>
      <c r="J110">
        <f>-161.1927*$J$7</f>
        <v>0</v>
      </c>
      <c r="K110">
        <f>214.9236*$K$7</f>
        <v>0</v>
      </c>
      <c r="L110">
        <f>243.4119*$L$7</f>
        <v>0</v>
      </c>
      <c r="M110">
        <f>0+D110+E110+G110+H110+I110+J110+K110+L110</f>
        <v>0</v>
      </c>
      <c r="N110">
        <f>0+D110+F110+G110+H110+I110+J110+K110+L110</f>
        <v>0</v>
      </c>
    </row>
    <row r="111" spans="3:14">
      <c r="C111" t="s">
        <v>66</v>
      </c>
      <c r="D111">
        <f>241.0082*$D$7</f>
        <v>0</v>
      </c>
      <c r="E111">
        <f>541.1146*$E$7</f>
        <v>0</v>
      </c>
      <c r="F111">
        <f>-3.3402*$F$7</f>
        <v>0</v>
      </c>
      <c r="G111">
        <f>11.7334*$G$7</f>
        <v>0</v>
      </c>
      <c r="H111">
        <f>0*$H$7</f>
        <v>0</v>
      </c>
      <c r="I111">
        <f>35.8533*$I$7</f>
        <v>0</v>
      </c>
      <c r="J111">
        <f>-164.697*$J$7</f>
        <v>0</v>
      </c>
      <c r="K111">
        <f>219.5959*$K$7</f>
        <v>0</v>
      </c>
      <c r="L111">
        <f>251.0627*$L$7</f>
        <v>0</v>
      </c>
      <c r="M111">
        <f>0+D111+E111+G111+H111+I111+J111+K111+L111</f>
        <v>0</v>
      </c>
      <c r="N111">
        <f>0+D111+F111+G111+H111+I111+J111+K111+L111</f>
        <v>0</v>
      </c>
    </row>
    <row r="112" spans="3:14">
      <c r="C112" t="s">
        <v>67</v>
      </c>
      <c r="D112">
        <f>176.2387*$D$7</f>
        <v>0</v>
      </c>
      <c r="E112">
        <f>419.1524*$E$7</f>
        <v>0</v>
      </c>
      <c r="F112">
        <f>-3.3439*$F$7</f>
        <v>0</v>
      </c>
      <c r="G112">
        <f>7.5232*$G$7</f>
        <v>0</v>
      </c>
      <c r="H112">
        <f>0*$H$7</f>
        <v>0</v>
      </c>
      <c r="I112">
        <f>26.5423*$I$7</f>
        <v>0</v>
      </c>
      <c r="J112">
        <f>-138.7271*$J$7</f>
        <v>0</v>
      </c>
      <c r="K112">
        <f>184.9695*$K$7</f>
        <v>0</v>
      </c>
      <c r="L112">
        <f>173.4036*$L$7</f>
        <v>0</v>
      </c>
      <c r="M112">
        <f>0+D112+E112+G112+H112+I112+J112+K112+L112</f>
        <v>0</v>
      </c>
      <c r="N112">
        <f>0+D112+F112+G112+H112+I112+J112+K112+L112</f>
        <v>0</v>
      </c>
    </row>
    <row r="113" spans="3:14">
      <c r="C113" t="s">
        <v>67</v>
      </c>
      <c r="D113">
        <f>186.7185*$D$7</f>
        <v>0</v>
      </c>
      <c r="E113">
        <f>438.1063*$E$7</f>
        <v>0</v>
      </c>
      <c r="F113">
        <f>-3.6194*$F$7</f>
        <v>0</v>
      </c>
      <c r="G113">
        <f>8.0058*$G$7</f>
        <v>0</v>
      </c>
      <c r="H113">
        <f>0*$H$7</f>
        <v>0</v>
      </c>
      <c r="I113">
        <f>28.0887*$I$7</f>
        <v>0</v>
      </c>
      <c r="J113">
        <f>-143.2956*$J$7</f>
        <v>0</v>
      </c>
      <c r="K113">
        <f>191.0608*$K$7</f>
        <v>0</v>
      </c>
      <c r="L113">
        <f>183.4636*$L$7</f>
        <v>0</v>
      </c>
      <c r="M113">
        <f>0+D113+E113+G113+H113+I113+J113+K113+L113</f>
        <v>0</v>
      </c>
      <c r="N113">
        <f>0+D113+F113+G113+H113+I113+J113+K113+L113</f>
        <v>0</v>
      </c>
    </row>
    <row r="114" spans="3:14">
      <c r="C114" t="s">
        <v>68</v>
      </c>
      <c r="D114">
        <f>100.3141*$D$7</f>
        <v>0</v>
      </c>
      <c r="E114">
        <f>255.8901*$E$7</f>
        <v>0</v>
      </c>
      <c r="F114">
        <f>-3.5572*$F$7</f>
        <v>0</v>
      </c>
      <c r="G114">
        <f>4.2246*$G$7</f>
        <v>0</v>
      </c>
      <c r="H114">
        <f>0*$H$7</f>
        <v>0</v>
      </c>
      <c r="I114">
        <f>15.0776*$I$7</f>
        <v>0</v>
      </c>
      <c r="J114">
        <f>-103.5158*$J$7</f>
        <v>0</v>
      </c>
      <c r="K114">
        <f>138.0211*$K$7</f>
        <v>0</v>
      </c>
      <c r="L114">
        <f>95.0174*$L$7</f>
        <v>0</v>
      </c>
      <c r="M114">
        <f>0+D114+E114+G114+H114+I114+J114+K114+L114</f>
        <v>0</v>
      </c>
      <c r="N114">
        <f>0+D114+F114+G114+H114+I114+J114+K114+L114</f>
        <v>0</v>
      </c>
    </row>
    <row r="115" spans="3:14">
      <c r="C115" t="s">
        <v>68</v>
      </c>
      <c r="D115">
        <f>108.8356*$D$7</f>
        <v>0</v>
      </c>
      <c r="E115">
        <f>269.6893*$E$7</f>
        <v>0</v>
      </c>
      <c r="F115">
        <f>-3.7445*$F$7</f>
        <v>0</v>
      </c>
      <c r="G115">
        <f>4.5872*$G$7</f>
        <v>0</v>
      </c>
      <c r="H115">
        <f>0*$H$7</f>
        <v>0</v>
      </c>
      <c r="I115">
        <f>16.3555*$I$7</f>
        <v>0</v>
      </c>
      <c r="J115">
        <f>-117.11*$J$7</f>
        <v>0</v>
      </c>
      <c r="K115">
        <f>156.1467*$K$7</f>
        <v>0</v>
      </c>
      <c r="L115">
        <f>103.1572*$L$7</f>
        <v>0</v>
      </c>
      <c r="M115">
        <f>0+D115+E115+G115+H115+I115+J115+K115+L115</f>
        <v>0</v>
      </c>
      <c r="N115">
        <f>0+D115+F115+G115+H115+I115+J115+K115+L115</f>
        <v>0</v>
      </c>
    </row>
    <row r="116" spans="3:14">
      <c r="C116" t="s">
        <v>69</v>
      </c>
      <c r="D116">
        <f>-5.996*$D$7</f>
        <v>0</v>
      </c>
      <c r="E116">
        <f>2.9694*$E$7</f>
        <v>0</v>
      </c>
      <c r="F116">
        <f>-25.7234*$F$7</f>
        <v>0</v>
      </c>
      <c r="G116">
        <f>1.1889*$G$7</f>
        <v>0</v>
      </c>
      <c r="H116">
        <f>0*$H$7</f>
        <v>0</v>
      </c>
      <c r="I116">
        <f>-1.39*$I$7</f>
        <v>0</v>
      </c>
      <c r="J116">
        <f>-63.9043*$J$7</f>
        <v>0</v>
      </c>
      <c r="K116">
        <f>85.2057*$K$7</f>
        <v>0</v>
      </c>
      <c r="L116">
        <f>3.6959*$L$7</f>
        <v>0</v>
      </c>
      <c r="M116">
        <f>0+D116+E116+G116+H116+I116+J116+K116+L116</f>
        <v>0</v>
      </c>
      <c r="N116">
        <f>0+D116+F116+G116+H116+I116+J116+K116+L116</f>
        <v>0</v>
      </c>
    </row>
    <row r="121" spans="3:14">
      <c r="C121" t="s">
        <v>70</v>
      </c>
    </row>
    <row r="123" spans="3:14">
      <c r="C123" t="s">
        <v>2</v>
      </c>
    </row>
    <row r="124" spans="3:14">
      <c r="C124" t="s">
        <v>3</v>
      </c>
      <c r="D124" t="s">
        <v>4</v>
      </c>
      <c r="E124" t="s">
        <v>5</v>
      </c>
      <c r="F124" t="s">
        <v>6</v>
      </c>
      <c r="G124" t="s">
        <v>7</v>
      </c>
      <c r="H124" t="s">
        <v>8</v>
      </c>
      <c r="I124" t="s">
        <v>9</v>
      </c>
      <c r="J124" t="s">
        <v>10</v>
      </c>
      <c r="K124" t="s">
        <v>11</v>
      </c>
      <c r="L124" t="s">
        <v>12</v>
      </c>
      <c r="M124" t="s">
        <v>13</v>
      </c>
      <c r="N124" t="s">
        <v>14</v>
      </c>
    </row>
    <row r="125" spans="3:14">
      <c r="C125" t="s">
        <v>76</v>
      </c>
      <c r="D125">
        <f>-258.967*$D$123</f>
        <v>0</v>
      </c>
      <c r="E125">
        <f>6.284*$E$123</f>
        <v>0</v>
      </c>
      <c r="F125">
        <f>-439.236*$F$123</f>
        <v>0</v>
      </c>
      <c r="G125">
        <f>-10.707*$G$123</f>
        <v>0</v>
      </c>
      <c r="H125">
        <f>0*$H$123</f>
        <v>0</v>
      </c>
      <c r="I125">
        <f>-37.96*$I$123</f>
        <v>0</v>
      </c>
      <c r="J125">
        <f>104.53*$J$123</f>
        <v>0</v>
      </c>
      <c r="K125">
        <f>-139.374*$K$123</f>
        <v>0</v>
      </c>
      <c r="L125">
        <f>-0.005791*$L$123</f>
        <v>0</v>
      </c>
      <c r="M125">
        <f>0+D125+E125+G125+H125+I125+J125+K125+L125</f>
        <v>0</v>
      </c>
      <c r="N125">
        <f>0+D125+F125+G125+H125+I125+J125+K125+L125</f>
        <v>0</v>
      </c>
    </row>
    <row r="126" spans="3:14">
      <c r="C126" t="s">
        <v>16</v>
      </c>
      <c r="D126">
        <f>-232.928*$D$123</f>
        <v>0</v>
      </c>
      <c r="E126">
        <f>13.06*$E$123</f>
        <v>0</v>
      </c>
      <c r="F126">
        <f>-418.646*$F$123</f>
        <v>0</v>
      </c>
      <c r="G126">
        <f>-10.9*$G$123</f>
        <v>0</v>
      </c>
      <c r="H126">
        <f>0*$H$123</f>
        <v>0</v>
      </c>
      <c r="I126">
        <f>-35.768*$I$123</f>
        <v>0</v>
      </c>
      <c r="J126">
        <f>97.14*$J$123</f>
        <v>0</v>
      </c>
      <c r="K126">
        <f>-129.52*$K$123</f>
        <v>0</v>
      </c>
      <c r="L126">
        <f>-0.005875*$L$123</f>
        <v>0</v>
      </c>
      <c r="M126">
        <f>0+D126+E126+G126+H126+I126+J126+K126+L126</f>
        <v>0</v>
      </c>
      <c r="N126">
        <f>0+D126+F126+G126+H126+I126+J126+K126+L126</f>
        <v>0</v>
      </c>
    </row>
    <row r="127" spans="3:14">
      <c r="C127" t="s">
        <v>16</v>
      </c>
      <c r="D127">
        <f>-230.679*$D$123</f>
        <v>0</v>
      </c>
      <c r="E127">
        <f>20.711*$E$123</f>
        <v>0</v>
      </c>
      <c r="F127">
        <f>-393.724*$F$123</f>
        <v>0</v>
      </c>
      <c r="G127">
        <f>-11.51*$G$123</f>
        <v>0</v>
      </c>
      <c r="H127">
        <f>0*$H$123</f>
        <v>0</v>
      </c>
      <c r="I127">
        <f>-33.218*$I$123</f>
        <v>0</v>
      </c>
      <c r="J127">
        <f>89.127*$J$123</f>
        <v>0</v>
      </c>
      <c r="K127">
        <f>-118.836*$K$123</f>
        <v>0</v>
      </c>
      <c r="L127">
        <f>-0.006299*$L$123</f>
        <v>0</v>
      </c>
      <c r="M127">
        <f>0+D127+E127+G127+H127+I127+J127+K127+L127</f>
        <v>0</v>
      </c>
      <c r="N127">
        <f>0+D127+F127+G127+H127+I127+J127+K127+L127</f>
        <v>0</v>
      </c>
    </row>
    <row r="128" spans="3:14">
      <c r="C128" t="s">
        <v>17</v>
      </c>
      <c r="D128">
        <f>-204.582*$D$123</f>
        <v>0</v>
      </c>
      <c r="E128">
        <f>31.53*$E$123</f>
        <v>0</v>
      </c>
      <c r="F128">
        <f>-375.385*$F$123</f>
        <v>0</v>
      </c>
      <c r="G128">
        <f>-11.967*$G$123</f>
        <v>0</v>
      </c>
      <c r="H128">
        <f>0*$H$123</f>
        <v>0</v>
      </c>
      <c r="I128">
        <f>-30.999*$I$123</f>
        <v>0</v>
      </c>
      <c r="J128">
        <f>80.6*$J$123</f>
        <v>0</v>
      </c>
      <c r="K128">
        <f>-107.466*$K$123</f>
        <v>0</v>
      </c>
      <c r="L128">
        <f>-0.006446*$L$123</f>
        <v>0</v>
      </c>
      <c r="M128">
        <f>0+D128+E128+G128+H128+I128+J128+K128+L128</f>
        <v>0</v>
      </c>
      <c r="N128">
        <f>0+D128+F128+G128+H128+I128+J128+K128+L128</f>
        <v>0</v>
      </c>
    </row>
    <row r="129" spans="3:14">
      <c r="C129" t="s">
        <v>17</v>
      </c>
      <c r="D129">
        <f>-202.38*$D$123</f>
        <v>0</v>
      </c>
      <c r="E129">
        <f>45.906*$E$123</f>
        <v>0</v>
      </c>
      <c r="F129">
        <f>-352.806*$F$123</f>
        <v>0</v>
      </c>
      <c r="G129">
        <f>-12.378*$G$123</f>
        <v>0</v>
      </c>
      <c r="H129">
        <f>0*$H$123</f>
        <v>0</v>
      </c>
      <c r="I129">
        <f>-28.471*$I$123</f>
        <v>0</v>
      </c>
      <c r="J129">
        <f>75.359*$J$123</f>
        <v>0</v>
      </c>
      <c r="K129">
        <f>-100.478*$K$123</f>
        <v>0</v>
      </c>
      <c r="L129">
        <f>-0.006531*$L$123</f>
        <v>0</v>
      </c>
      <c r="M129">
        <f>0+D129+E129+G129+H129+I129+J129+K129+L129</f>
        <v>0</v>
      </c>
      <c r="N129">
        <f>0+D129+F129+G129+H129+I129+J129+K129+L129</f>
        <v>0</v>
      </c>
    </row>
    <row r="130" spans="3:14">
      <c r="C130" t="s">
        <v>18</v>
      </c>
      <c r="D130">
        <f>-176.499*$D$123</f>
        <v>0</v>
      </c>
      <c r="E130">
        <f>52.304*$E$123</f>
        <v>0</v>
      </c>
      <c r="F130">
        <f>-336.273*$F$123</f>
        <v>0</v>
      </c>
      <c r="G130">
        <f>-12.641*$G$123</f>
        <v>0</v>
      </c>
      <c r="H130">
        <f>0*$H$123</f>
        <v>0</v>
      </c>
      <c r="I130">
        <f>-26.296*$I$123</f>
        <v>0</v>
      </c>
      <c r="J130">
        <f>71.761*$J$123</f>
        <v>0</v>
      </c>
      <c r="K130">
        <f>-95.682*$K$123</f>
        <v>0</v>
      </c>
      <c r="L130">
        <f>-0.006436*$L$123</f>
        <v>0</v>
      </c>
      <c r="M130">
        <f>0+D130+E130+G130+H130+I130+J130+K130+L130</f>
        <v>0</v>
      </c>
      <c r="N130">
        <f>0+D130+F130+G130+H130+I130+J130+K130+L130</f>
        <v>0</v>
      </c>
    </row>
    <row r="131" spans="3:14">
      <c r="C131" t="s">
        <v>18</v>
      </c>
      <c r="D131">
        <f>-174.197*$D$123</f>
        <v>0</v>
      </c>
      <c r="E131">
        <f>70.223*$E$123</f>
        <v>0</v>
      </c>
      <c r="F131">
        <f>-314.824*$F$123</f>
        <v>0</v>
      </c>
      <c r="G131">
        <f>-12.784*$G$123</f>
        <v>0</v>
      </c>
      <c r="H131">
        <f>0*$H$123</f>
        <v>0</v>
      </c>
      <c r="I131">
        <f>-23.778*$I$123</f>
        <v>0</v>
      </c>
      <c r="J131">
        <f>69.11*$J$123</f>
        <v>0</v>
      </c>
      <c r="K131">
        <f>-92.147*$K$123</f>
        <v>0</v>
      </c>
      <c r="L131">
        <f>-0.006359*$L$123</f>
        <v>0</v>
      </c>
      <c r="M131">
        <f>0+D131+E131+G131+H131+I131+J131+K131+L131</f>
        <v>0</v>
      </c>
      <c r="N131">
        <f>0+D131+F131+G131+H131+I131+J131+K131+L131</f>
        <v>0</v>
      </c>
    </row>
    <row r="132" spans="3:14">
      <c r="C132" t="s">
        <v>19</v>
      </c>
      <c r="D132">
        <f>-148.577*$D$123</f>
        <v>0</v>
      </c>
      <c r="E132">
        <f>83.393*$E$123</f>
        <v>0</v>
      </c>
      <c r="F132">
        <f>-300.026*$F$123</f>
        <v>0</v>
      </c>
      <c r="G132">
        <f>-12.73*$G$123</f>
        <v>0</v>
      </c>
      <c r="H132">
        <f>0*$H$123</f>
        <v>0</v>
      </c>
      <c r="I132">
        <f>-21.662*$I$123</f>
        <v>0</v>
      </c>
      <c r="J132">
        <f>66.712*$J$123</f>
        <v>0</v>
      </c>
      <c r="K132">
        <f>-88.949*$K$123</f>
        <v>0</v>
      </c>
      <c r="L132">
        <f>-0.006102*$L$123</f>
        <v>0</v>
      </c>
      <c r="M132">
        <f>0+D132+E132+G132+H132+I132+J132+K132+L132</f>
        <v>0</v>
      </c>
      <c r="N132">
        <f>0+D132+F132+G132+H132+I132+J132+K132+L132</f>
        <v>0</v>
      </c>
    </row>
    <row r="133" spans="3:14">
      <c r="C133" t="s">
        <v>19</v>
      </c>
      <c r="D133">
        <f>-156.697*$D$123</f>
        <v>0</v>
      </c>
      <c r="E133">
        <f>96.229*$E$123</f>
        <v>0</v>
      </c>
      <c r="F133">
        <f>-292.805*$F$123</f>
        <v>0</v>
      </c>
      <c r="G133">
        <f>-13.603*$G$123</f>
        <v>0</v>
      </c>
      <c r="H133">
        <f>0*$H$123</f>
        <v>0</v>
      </c>
      <c r="I133">
        <f>-20.654*$I$123</f>
        <v>0</v>
      </c>
      <c r="J133">
        <f>56.748*$J$123</f>
        <v>0</v>
      </c>
      <c r="K133">
        <f>-75.664*$K$123</f>
        <v>0</v>
      </c>
      <c r="L133">
        <f>-0.005364*$L$123</f>
        <v>0</v>
      </c>
      <c r="M133">
        <f>0+D133+E133+G133+H133+I133+J133+K133+L133</f>
        <v>0</v>
      </c>
      <c r="N133">
        <f>0+D133+F133+G133+H133+I133+J133+K133+L133</f>
        <v>0</v>
      </c>
    </row>
    <row r="134" spans="3:14">
      <c r="C134" t="s">
        <v>20</v>
      </c>
      <c r="D134">
        <f>-131.271*$D$123</f>
        <v>0</v>
      </c>
      <c r="E134">
        <f>101.626*$E$123</f>
        <v>0</v>
      </c>
      <c r="F134">
        <f>-278.726*$F$123</f>
        <v>0</v>
      </c>
      <c r="G134">
        <f>-13.179*$G$123</f>
        <v>0</v>
      </c>
      <c r="H134">
        <f>0*$H$123</f>
        <v>0</v>
      </c>
      <c r="I134">
        <f>-18.582*$I$123</f>
        <v>0</v>
      </c>
      <c r="J134">
        <f>53.978*$J$123</f>
        <v>0</v>
      </c>
      <c r="K134">
        <f>-71.97*$K$123</f>
        <v>0</v>
      </c>
      <c r="L134">
        <f>-0.005186*$L$123</f>
        <v>0</v>
      </c>
      <c r="M134">
        <f>0+D134+E134+G134+H134+I134+J134+K134+L134</f>
        <v>0</v>
      </c>
      <c r="N134">
        <f>0+D134+F134+G134+H134+I134+J134+K134+L134</f>
        <v>0</v>
      </c>
    </row>
    <row r="135" spans="3:14">
      <c r="C135" t="s">
        <v>20</v>
      </c>
      <c r="D135">
        <f>-122.275*$D$123</f>
        <v>0</v>
      </c>
      <c r="E135">
        <f>81.9*$E$123</f>
        <v>0</v>
      </c>
      <c r="F135">
        <f>-284.955*$F$123</f>
        <v>0</v>
      </c>
      <c r="G135">
        <f>-6.859*$G$123</f>
        <v>0</v>
      </c>
      <c r="H135">
        <f>0*$H$123</f>
        <v>0</v>
      </c>
      <c r="I135">
        <f>-17.852*$I$123</f>
        <v>0</v>
      </c>
      <c r="J135">
        <f>-3.573*$J$123</f>
        <v>0</v>
      </c>
      <c r="K135">
        <f>4.764*$K$123</f>
        <v>0</v>
      </c>
      <c r="L135">
        <f>-0.003522*$L$123</f>
        <v>0</v>
      </c>
      <c r="M135">
        <f>0+D135+E135+G135+H135+I135+J135+K135+L135</f>
        <v>0</v>
      </c>
      <c r="N135">
        <f>0+D135+F135+G135+H135+I135+J135+K135+L135</f>
        <v>0</v>
      </c>
    </row>
    <row r="136" spans="3:14">
      <c r="C136" t="s">
        <v>21</v>
      </c>
      <c r="D136">
        <f>-97.025*$D$123</f>
        <v>0</v>
      </c>
      <c r="E136">
        <f>91.998*$E$123</f>
        <v>0</v>
      </c>
      <c r="F136">
        <f>-271.001*$F$123</f>
        <v>0</v>
      </c>
      <c r="G136">
        <f>-6.327*$G$123</f>
        <v>0</v>
      </c>
      <c r="H136">
        <f>0*$H$123</f>
        <v>0</v>
      </c>
      <c r="I136">
        <f>-15.813*$I$123</f>
        <v>0</v>
      </c>
      <c r="J136">
        <f>-5.043*$J$123</f>
        <v>0</v>
      </c>
      <c r="K136">
        <f>6.724*$K$123</f>
        <v>0</v>
      </c>
      <c r="L136">
        <f>-0.003395*$L$123</f>
        <v>0</v>
      </c>
      <c r="M136">
        <f>0+D136+E136+G136+H136+I136+J136+K136+L136</f>
        <v>0</v>
      </c>
      <c r="N136">
        <f>0+D136+F136+G136+H136+I136+J136+K136+L136</f>
        <v>0</v>
      </c>
    </row>
    <row r="137" spans="3:14">
      <c r="C137" t="s">
        <v>21</v>
      </c>
      <c r="D137">
        <f>-97.75*$D$123</f>
        <v>0</v>
      </c>
      <c r="E137">
        <f>105.333*$E$123</f>
        <v>0</v>
      </c>
      <c r="F137">
        <f>-254.773*$F$123</f>
        <v>0</v>
      </c>
      <c r="G137">
        <f>-6.26*$G$123</f>
        <v>0</v>
      </c>
      <c r="H137">
        <f>0*$H$123</f>
        <v>0</v>
      </c>
      <c r="I137">
        <f>-13.749*$I$123</f>
        <v>0</v>
      </c>
      <c r="J137">
        <f>-3.705*$J$123</f>
        <v>0</v>
      </c>
      <c r="K137">
        <f>4.941*$K$123</f>
        <v>0</v>
      </c>
      <c r="L137">
        <f>-0.003247*$L$123</f>
        <v>0</v>
      </c>
      <c r="M137">
        <f>0+D137+E137+G137+H137+I137+J137+K137+L137</f>
        <v>0</v>
      </c>
      <c r="N137">
        <f>0+D137+F137+G137+H137+I137+J137+K137+L137</f>
        <v>0</v>
      </c>
    </row>
    <row r="138" spans="3:14">
      <c r="C138" t="s">
        <v>22</v>
      </c>
      <c r="D138">
        <f>-72.64*$D$123</f>
        <v>0</v>
      </c>
      <c r="E138">
        <f>116.213*$E$123</f>
        <v>0</v>
      </c>
      <c r="F138">
        <f>-241.73*$F$123</f>
        <v>0</v>
      </c>
      <c r="G138">
        <f>-5.94*$G$123</f>
        <v>0</v>
      </c>
      <c r="H138">
        <f>0*$H$123</f>
        <v>0</v>
      </c>
      <c r="I138">
        <f>-11.726*$I$123</f>
        <v>0</v>
      </c>
      <c r="J138">
        <f>-2.737*$J$123</f>
        <v>0</v>
      </c>
      <c r="K138">
        <f>3.649*$K$123</f>
        <v>0</v>
      </c>
      <c r="L138">
        <f>-0.003106*$L$123</f>
        <v>0</v>
      </c>
      <c r="M138">
        <f>0+D138+E138+G138+H138+I138+J138+K138+L138</f>
        <v>0</v>
      </c>
      <c r="N138">
        <f>0+D138+F138+G138+H138+I138+J138+K138+L138</f>
        <v>0</v>
      </c>
    </row>
    <row r="139" spans="3:14">
      <c r="C139" t="s">
        <v>22</v>
      </c>
      <c r="D139">
        <f>-73.396*$D$123</f>
        <v>0</v>
      </c>
      <c r="E139">
        <f>129.666*$E$123</f>
        <v>0</v>
      </c>
      <c r="F139">
        <f>-226.422*$F$123</f>
        <v>0</v>
      </c>
      <c r="G139">
        <f>-5.922*$G$123</f>
        <v>0</v>
      </c>
      <c r="H139">
        <f>0*$H$123</f>
        <v>0</v>
      </c>
      <c r="I139">
        <f>-9.682*$I$123</f>
        <v>0</v>
      </c>
      <c r="J139">
        <f>-0.127*$J$123</f>
        <v>0</v>
      </c>
      <c r="K139">
        <f>0.169*$K$123</f>
        <v>0</v>
      </c>
      <c r="L139">
        <f>-0.002855*$L$123</f>
        <v>0</v>
      </c>
      <c r="M139">
        <f>0+D139+E139+G139+H139+I139+J139+K139+L139</f>
        <v>0</v>
      </c>
      <c r="N139">
        <f>0+D139+F139+G139+H139+I139+J139+K139+L139</f>
        <v>0</v>
      </c>
    </row>
    <row r="140" spans="3:14">
      <c r="C140" t="s">
        <v>23</v>
      </c>
      <c r="D140">
        <f>-48.354*$D$123</f>
        <v>0</v>
      </c>
      <c r="E140">
        <f>140.795*$E$123</f>
        <v>0</v>
      </c>
      <c r="F140">
        <f>-213.945*$F$123</f>
        <v>0</v>
      </c>
      <c r="G140">
        <f>-5.7*$G$123</f>
        <v>0</v>
      </c>
      <c r="H140">
        <f>0*$H$123</f>
        <v>0</v>
      </c>
      <c r="I140">
        <f>-7.664*$I$123</f>
        <v>0</v>
      </c>
      <c r="J140">
        <f>2.283*$J$123</f>
        <v>0</v>
      </c>
      <c r="K140">
        <f>-3.045*$K$123</f>
        <v>0</v>
      </c>
      <c r="L140">
        <f>-0.00256*$L$123</f>
        <v>0</v>
      </c>
      <c r="M140">
        <f>0+D140+E140+G140+H140+I140+J140+K140+L140</f>
        <v>0</v>
      </c>
      <c r="N140">
        <f>0+D140+F140+G140+H140+I140+J140+K140+L140</f>
        <v>0</v>
      </c>
    </row>
    <row r="141" spans="3:14">
      <c r="C141" t="s">
        <v>23</v>
      </c>
      <c r="D141">
        <f>-49.308*$D$123</f>
        <v>0</v>
      </c>
      <c r="E141">
        <f>160.685*$E$123</f>
        <v>0</v>
      </c>
      <c r="F141">
        <f>-199.281*$F$123</f>
        <v>0</v>
      </c>
      <c r="G141">
        <f>-5.648*$G$123</f>
        <v>0</v>
      </c>
      <c r="H141">
        <f>0*$H$123</f>
        <v>0</v>
      </c>
      <c r="I141">
        <f>-5.634*$I$123</f>
        <v>0</v>
      </c>
      <c r="J141">
        <f>5.34*$J$123</f>
        <v>0</v>
      </c>
      <c r="K141">
        <f>-7.12*$K$123</f>
        <v>0</v>
      </c>
      <c r="L141">
        <f>-0.0022*$L$123</f>
        <v>0</v>
      </c>
      <c r="M141">
        <f>0+D141+E141+G141+H141+I141+J141+K141+L141</f>
        <v>0</v>
      </c>
      <c r="N141">
        <f>0+D141+F141+G141+H141+I141+J141+K141+L141</f>
        <v>0</v>
      </c>
    </row>
    <row r="142" spans="3:14">
      <c r="C142" t="s">
        <v>24</v>
      </c>
      <c r="D142">
        <f>-24.347*$D$123</f>
        <v>0</v>
      </c>
      <c r="E142">
        <f>157.207*$E$123</f>
        <v>0</v>
      </c>
      <c r="F142">
        <f>-187.593*$F$123</f>
        <v>0</v>
      </c>
      <c r="G142">
        <f>-5.247*$G$123</f>
        <v>0</v>
      </c>
      <c r="H142">
        <f>0*$H$123</f>
        <v>0</v>
      </c>
      <c r="I142">
        <f>-3.638*$I$123</f>
        <v>0</v>
      </c>
      <c r="J142">
        <f>7.293*$J$123</f>
        <v>0</v>
      </c>
      <c r="K142">
        <f>-9.724*$K$123</f>
        <v>0</v>
      </c>
      <c r="L142">
        <f>-0.001744*$L$123</f>
        <v>0</v>
      </c>
      <c r="M142">
        <f>0+D142+E142+G142+H142+I142+J142+K142+L142</f>
        <v>0</v>
      </c>
      <c r="N142">
        <f>0+D142+F142+G142+H142+I142+J142+K142+L142</f>
        <v>0</v>
      </c>
    </row>
    <row r="143" spans="3:14">
      <c r="C143" t="s">
        <v>24</v>
      </c>
      <c r="D143">
        <f>-25.329*$D$123</f>
        <v>0</v>
      </c>
      <c r="E143">
        <f>170.677*$E$123</f>
        <v>0</v>
      </c>
      <c r="F143">
        <f>-173.283*$F$123</f>
        <v>0</v>
      </c>
      <c r="G143">
        <f>-5.077*$G$123</f>
        <v>0</v>
      </c>
      <c r="H143">
        <f>0*$H$123</f>
        <v>0</v>
      </c>
      <c r="I143">
        <f>-1.615*$I$123</f>
        <v>0</v>
      </c>
      <c r="J143">
        <f>9.956*$J$123</f>
        <v>0</v>
      </c>
      <c r="K143">
        <f>-13.274*$K$123</f>
        <v>0</v>
      </c>
      <c r="L143">
        <f>-0.001317*$L$123</f>
        <v>0</v>
      </c>
      <c r="M143">
        <f>0+D143+E143+G143+H143+I143+J143+K143+L143</f>
        <v>0</v>
      </c>
      <c r="N143">
        <f>0+D143+F143+G143+H143+I143+J143+K143+L143</f>
        <v>0</v>
      </c>
    </row>
    <row r="144" spans="3:14">
      <c r="C144" t="s">
        <v>25</v>
      </c>
      <c r="D144">
        <f>-0.318*$D$123</f>
        <v>0</v>
      </c>
      <c r="E144">
        <f>181.277*$E$123</f>
        <v>0</v>
      </c>
      <c r="F144">
        <f>-161.65*$F$123</f>
        <v>0</v>
      </c>
      <c r="G144">
        <f>-4.388*$G$123</f>
        <v>0</v>
      </c>
      <c r="H144">
        <f>0*$H$123</f>
        <v>0</v>
      </c>
      <c r="I144">
        <f>0.378*$I$123</f>
        <v>0</v>
      </c>
      <c r="J144">
        <f>10.368*$J$123</f>
        <v>0</v>
      </c>
      <c r="K144">
        <f>-13.824*$K$123</f>
        <v>0</v>
      </c>
      <c r="L144">
        <f>-0.0009788*$L$123</f>
        <v>0</v>
      </c>
      <c r="M144">
        <f>0+D144+E144+G144+H144+I144+J144+K144+L144</f>
        <v>0</v>
      </c>
      <c r="N144">
        <f>0+D144+F144+G144+H144+I144+J144+K144+L144</f>
        <v>0</v>
      </c>
    </row>
    <row r="145" spans="3:14">
      <c r="C145" t="s">
        <v>25</v>
      </c>
      <c r="D145">
        <f>6.435*$D$123</f>
        <v>0</v>
      </c>
      <c r="E145">
        <f>163.847*$E$123</f>
        <v>0</v>
      </c>
      <c r="F145">
        <f>-182.869*$F$123</f>
        <v>0</v>
      </c>
      <c r="G145">
        <f>5.401*$G$123</f>
        <v>0</v>
      </c>
      <c r="H145">
        <f>0*$H$123</f>
        <v>0</v>
      </c>
      <c r="I145">
        <f>0.521*$I$123</f>
        <v>0</v>
      </c>
      <c r="J145">
        <f>-10.001*$J$123</f>
        <v>0</v>
      </c>
      <c r="K145">
        <f>13.334*$K$123</f>
        <v>0</v>
      </c>
      <c r="L145">
        <f>0.001472*$L$123</f>
        <v>0</v>
      </c>
      <c r="M145">
        <f>0+D145+E145+G145+H145+I145+J145+K145+L145</f>
        <v>0</v>
      </c>
      <c r="N145">
        <f>0+D145+F145+G145+H145+I145+J145+K145+L145</f>
        <v>0</v>
      </c>
    </row>
    <row r="146" spans="3:14">
      <c r="C146" t="s">
        <v>26</v>
      </c>
      <c r="D146">
        <f>31.441*$D$123</f>
        <v>0</v>
      </c>
      <c r="E146">
        <f>175.275*$E$123</f>
        <v>0</v>
      </c>
      <c r="F146">
        <f>-172.017*$F$123</f>
        <v>0</v>
      </c>
      <c r="G146">
        <f>6.102*$G$123</f>
        <v>0</v>
      </c>
      <c r="H146">
        <f>0*$H$123</f>
        <v>0</v>
      </c>
      <c r="I146">
        <f>2.513*$I$123</f>
        <v>0</v>
      </c>
      <c r="J146">
        <f>-9.469*$J$123</f>
        <v>0</v>
      </c>
      <c r="K146">
        <f>12.625*$K$123</f>
        <v>0</v>
      </c>
      <c r="L146">
        <f>0.001763*$L$123</f>
        <v>0</v>
      </c>
      <c r="M146">
        <f>0+D146+E146+G146+H146+I146+J146+K146+L146</f>
        <v>0</v>
      </c>
      <c r="N146">
        <f>0+D146+F146+G146+H146+I146+J146+K146+L146</f>
        <v>0</v>
      </c>
    </row>
    <row r="147" spans="3:14">
      <c r="C147" t="s">
        <v>26</v>
      </c>
      <c r="D147">
        <f>30.417*$D$123</f>
        <v>0</v>
      </c>
      <c r="E147">
        <f>189.346*$E$123</f>
        <v>0</v>
      </c>
      <c r="F147">
        <f>-157.573*$F$123</f>
        <v>0</v>
      </c>
      <c r="G147">
        <f>6.287*$G$123</f>
        <v>0</v>
      </c>
      <c r="H147">
        <f>0*$H$123</f>
        <v>0</v>
      </c>
      <c r="I147">
        <f>4.529*$I$123</f>
        <v>0</v>
      </c>
      <c r="J147">
        <f>-6.651*$J$123</f>
        <v>0</v>
      </c>
      <c r="K147">
        <f>8.869*$K$123</f>
        <v>0</v>
      </c>
      <c r="L147">
        <f>0.002206*$L$123</f>
        <v>0</v>
      </c>
      <c r="M147">
        <f>0+D147+E147+G147+H147+I147+J147+K147+L147</f>
        <v>0</v>
      </c>
      <c r="N147">
        <f>0+D147+F147+G147+H147+I147+J147+K147+L147</f>
        <v>0</v>
      </c>
    </row>
    <row r="148" spans="3:14">
      <c r="C148" t="s">
        <v>27</v>
      </c>
      <c r="D148">
        <f>55.331*$D$123</f>
        <v>0</v>
      </c>
      <c r="E148">
        <f>200.91*$E$123</f>
        <v>0</v>
      </c>
      <c r="F148">
        <f>-147.597*$F$123</f>
        <v>0</v>
      </c>
      <c r="G148">
        <f>6.714*$G$123</f>
        <v>0</v>
      </c>
      <c r="H148">
        <f>0*$H$123</f>
        <v>0</v>
      </c>
      <c r="I148">
        <f>6.516*$I$123</f>
        <v>0</v>
      </c>
      <c r="J148">
        <f>-4.436*$J$123</f>
        <v>0</v>
      </c>
      <c r="K148">
        <f>5.914*$K$123</f>
        <v>0</v>
      </c>
      <c r="L148">
        <f>0.002592*$L$123</f>
        <v>0</v>
      </c>
      <c r="M148">
        <f>0+D148+E148+G148+H148+I148+J148+K148+L148</f>
        <v>0</v>
      </c>
      <c r="N148">
        <f>0+D148+F148+G148+H148+I148+J148+K148+L148</f>
        <v>0</v>
      </c>
    </row>
    <row r="149" spans="3:14">
      <c r="C149" t="s">
        <v>27</v>
      </c>
      <c r="D149">
        <f>54.304*$D$123</f>
        <v>0</v>
      </c>
      <c r="E149">
        <f>215.242*$E$123</f>
        <v>0</v>
      </c>
      <c r="F149">
        <f>-133.834*$F$123</f>
        <v>0</v>
      </c>
      <c r="G149">
        <f>6.801*$G$123</f>
        <v>0</v>
      </c>
      <c r="H149">
        <f>0*$H$123</f>
        <v>0</v>
      </c>
      <c r="I149">
        <f>8.533*$I$123</f>
        <v>0</v>
      </c>
      <c r="J149">
        <f>-1.02*$J$123</f>
        <v>0</v>
      </c>
      <c r="K149">
        <f>1.36*$K$123</f>
        <v>0</v>
      </c>
      <c r="L149">
        <f>0.003181*$L$123</f>
        <v>0</v>
      </c>
      <c r="M149">
        <f>0+D149+E149+G149+H149+I149+J149+K149+L149</f>
        <v>0</v>
      </c>
      <c r="N149">
        <f>0+D149+F149+G149+H149+I149+J149+K149+L149</f>
        <v>0</v>
      </c>
    </row>
    <row r="150" spans="3:14">
      <c r="C150" t="s">
        <v>28</v>
      </c>
      <c r="D150">
        <f>79.276*$D$123</f>
        <v>0</v>
      </c>
      <c r="E150">
        <f>227.431*$E$123</f>
        <v>0</v>
      </c>
      <c r="F150">
        <f>-124.62*$F$123</f>
        <v>0</v>
      </c>
      <c r="G150">
        <f>7.068*$G$123</f>
        <v>0</v>
      </c>
      <c r="H150">
        <f>0*$H$123</f>
        <v>0</v>
      </c>
      <c r="I150">
        <f>10.538*$I$123</f>
        <v>0</v>
      </c>
      <c r="J150">
        <f>1.856*$J$123</f>
        <v>0</v>
      </c>
      <c r="K150">
        <f>-2.475*$K$123</f>
        <v>0</v>
      </c>
      <c r="L150">
        <f>0.003727*$L$123</f>
        <v>0</v>
      </c>
      <c r="M150">
        <f>0+D150+E150+G150+H150+I150+J150+K150+L150</f>
        <v>0</v>
      </c>
      <c r="N150">
        <f>0+D150+F150+G150+H150+I150+J150+K150+L150</f>
        <v>0</v>
      </c>
    </row>
    <row r="151" spans="3:14">
      <c r="C151" t="s">
        <v>28</v>
      </c>
      <c r="D151">
        <f>78.456*$D$123</f>
        <v>0</v>
      </c>
      <c r="E151">
        <f>245.122*$E$123</f>
        <v>0</v>
      </c>
      <c r="F151">
        <f>-111.898*$F$123</f>
        <v>0</v>
      </c>
      <c r="G151">
        <f>7.152*$G$123</f>
        <v>0</v>
      </c>
      <c r="H151">
        <f>0*$H$123</f>
        <v>0</v>
      </c>
      <c r="I151">
        <f>12.569*$I$123</f>
        <v>0</v>
      </c>
      <c r="J151">
        <f>5.125*$J$123</f>
        <v>0</v>
      </c>
      <c r="K151">
        <f>-6.833*$K$123</f>
        <v>0</v>
      </c>
      <c r="L151">
        <f>0.004354*$L$123</f>
        <v>0</v>
      </c>
      <c r="M151">
        <f>0+D151+E151+G151+H151+I151+J151+K151+L151</f>
        <v>0</v>
      </c>
      <c r="N151">
        <f>0+D151+F151+G151+H151+I151+J151+K151+L151</f>
        <v>0</v>
      </c>
    </row>
    <row r="152" spans="3:14">
      <c r="C152" t="s">
        <v>29</v>
      </c>
      <c r="D152">
        <f>103.568*$D$123</f>
        <v>0</v>
      </c>
      <c r="E152">
        <f>255.346*$E$123</f>
        <v>0</v>
      </c>
      <c r="F152">
        <f>-103.391*$F$123</f>
        <v>0</v>
      </c>
      <c r="G152">
        <f>7.567*$G$123</f>
        <v>0</v>
      </c>
      <c r="H152">
        <f>0*$H$123</f>
        <v>0</v>
      </c>
      <c r="I152">
        <f>14.585*$I$123</f>
        <v>0</v>
      </c>
      <c r="J152">
        <f>7.02*$J$123</f>
        <v>0</v>
      </c>
      <c r="K152">
        <f>-9.361*$K$123</f>
        <v>0</v>
      </c>
      <c r="L152">
        <f>0.00492*$L$123</f>
        <v>0</v>
      </c>
      <c r="M152">
        <f>0+D152+E152+G152+H152+I152+J152+K152+L152</f>
        <v>0</v>
      </c>
      <c r="N152">
        <f>0+D152+F152+G152+H152+I152+J152+K152+L152</f>
        <v>0</v>
      </c>
    </row>
    <row r="153" spans="3:14">
      <c r="C153" t="s">
        <v>29</v>
      </c>
      <c r="D153">
        <f>102.842*$D$123</f>
        <v>0</v>
      </c>
      <c r="E153">
        <f>272.516*$E$123</f>
        <v>0</v>
      </c>
      <c r="F153">
        <f>-91.426*$F$123</f>
        <v>0</v>
      </c>
      <c r="G153">
        <f>7.738*$G$123</f>
        <v>0</v>
      </c>
      <c r="H153">
        <f>0*$H$123</f>
        <v>0</v>
      </c>
      <c r="I153">
        <f>16.641*$I$123</f>
        <v>0</v>
      </c>
      <c r="J153">
        <f>9.409*$J$123</f>
        <v>0</v>
      </c>
      <c r="K153">
        <f>-12.546*$K$123</f>
        <v>0</v>
      </c>
      <c r="L153">
        <f>0.005464*$L$123</f>
        <v>0</v>
      </c>
      <c r="M153">
        <f>0+D153+E153+G153+H153+I153+J153+K153+L153</f>
        <v>0</v>
      </c>
      <c r="N153">
        <f>0+D153+F153+G153+H153+I153+J153+K153+L153</f>
        <v>0</v>
      </c>
    </row>
    <row r="154" spans="3:14">
      <c r="C154" t="s">
        <v>30</v>
      </c>
      <c r="D154">
        <f>128.199*$D$123</f>
        <v>0</v>
      </c>
      <c r="E154">
        <f>286.583*$E$123</f>
        <v>0</v>
      </c>
      <c r="F154">
        <f>-84.05*$F$123</f>
        <v>0</v>
      </c>
      <c r="G154">
        <f>8.402*$G$123</f>
        <v>0</v>
      </c>
      <c r="H154">
        <f>0*$H$123</f>
        <v>0</v>
      </c>
      <c r="I154">
        <f>18.685*$I$123</f>
        <v>0</v>
      </c>
      <c r="J154">
        <f>9.356*$J$123</f>
        <v>0</v>
      </c>
      <c r="K154">
        <f>-12.474*$K$123</f>
        <v>0</v>
      </c>
      <c r="L154">
        <f>0.005895*$L$123</f>
        <v>0</v>
      </c>
      <c r="M154">
        <f>0+D154+E154+G154+H154+I154+J154+K154+L154</f>
        <v>0</v>
      </c>
      <c r="N154">
        <f>0+D154+F154+G154+H154+I154+J154+K154+L154</f>
        <v>0</v>
      </c>
    </row>
    <row r="155" spans="3:14">
      <c r="C155" t="s">
        <v>30</v>
      </c>
      <c r="D155">
        <f>145.626*$D$123</f>
        <v>0</v>
      </c>
      <c r="E155">
        <f>279.183*$E$123</f>
        <v>0</v>
      </c>
      <c r="F155">
        <f>-117.275*$F$123</f>
        <v>0</v>
      </c>
      <c r="G155">
        <f>17.48*$G$123</f>
        <v>0</v>
      </c>
      <c r="H155">
        <f>0*$H$123</f>
        <v>0</v>
      </c>
      <c r="I155">
        <f>20.308*$I$123</f>
        <v>0</v>
      </c>
      <c r="J155">
        <f>-23.509*$J$123</f>
        <v>0</v>
      </c>
      <c r="K155">
        <f>31.346*$K$123</f>
        <v>0</v>
      </c>
      <c r="L155">
        <f>-0.006945*$L$123</f>
        <v>0</v>
      </c>
      <c r="M155">
        <f>0+D155+E155+G155+H155+I155+J155+K155+L155</f>
        <v>0</v>
      </c>
      <c r="N155">
        <f>0+D155+F155+G155+H155+I155+J155+K155+L155</f>
        <v>0</v>
      </c>
    </row>
    <row r="156" spans="3:14">
      <c r="C156" t="s">
        <v>31</v>
      </c>
      <c r="D156">
        <f>169.063*$D$123</f>
        <v>0</v>
      </c>
      <c r="E156">
        <f>291.248*$E$123</f>
        <v>0</v>
      </c>
      <c r="F156">
        <f>-107.558*$F$123</f>
        <v>0</v>
      </c>
      <c r="G156">
        <f>18.112*$G$123</f>
        <v>0</v>
      </c>
      <c r="H156">
        <f>0*$H$123</f>
        <v>0</v>
      </c>
      <c r="I156">
        <f>22.217*$I$123</f>
        <v>0</v>
      </c>
      <c r="J156">
        <f>-24.424*$J$123</f>
        <v>0</v>
      </c>
      <c r="K156">
        <f>32.565*$K$123</f>
        <v>0</v>
      </c>
      <c r="L156">
        <f>-0.007268*$L$123</f>
        <v>0</v>
      </c>
      <c r="M156">
        <f>0+D156+E156+G156+H156+I156+J156+K156+L156</f>
        <v>0</v>
      </c>
      <c r="N156">
        <f>0+D156+F156+G156+H156+I156+J156+K156+L156</f>
        <v>0</v>
      </c>
    </row>
    <row r="157" spans="3:14">
      <c r="C157" t="s">
        <v>31</v>
      </c>
      <c r="D157">
        <f>162.324*$D$123</f>
        <v>0</v>
      </c>
      <c r="E157">
        <f>297.478*$E$123</f>
        <v>0</v>
      </c>
      <c r="F157">
        <f>-97.237*$F$123</f>
        <v>0</v>
      </c>
      <c r="G157">
        <f>17.657*$G$123</f>
        <v>0</v>
      </c>
      <c r="H157">
        <f>0*$H$123</f>
        <v>0</v>
      </c>
      <c r="I157">
        <f>23.207*$I$123</f>
        <v>0</v>
      </c>
      <c r="J157">
        <f>-30.939*$J$123</f>
        <v>0</v>
      </c>
      <c r="K157">
        <f>41.252*$K$123</f>
        <v>0</v>
      </c>
      <c r="L157">
        <f>-0.007602*$L$123</f>
        <v>0</v>
      </c>
      <c r="M157">
        <f>0+D157+E157+G157+H157+I157+J157+K157+L157</f>
        <v>0</v>
      </c>
      <c r="N157">
        <f>0+D157+F157+G157+H157+I157+J157+K157+L157</f>
        <v>0</v>
      </c>
    </row>
    <row r="158" spans="3:14">
      <c r="C158" t="s">
        <v>32</v>
      </c>
      <c r="D158">
        <f>186.014*$D$123</f>
        <v>0</v>
      </c>
      <c r="E158">
        <f>310.337*$E$123</f>
        <v>0</v>
      </c>
      <c r="F158">
        <f>-86.052*$F$123</f>
        <v>0</v>
      </c>
      <c r="G158">
        <f>18.043*$G$123</f>
        <v>0</v>
      </c>
      <c r="H158">
        <f>0*$H$123</f>
        <v>0</v>
      </c>
      <c r="I158">
        <f>25.161*$I$123</f>
        <v>0</v>
      </c>
      <c r="J158">
        <f>-30.805*$J$123</f>
        <v>0</v>
      </c>
      <c r="K158">
        <f>41.073*$K$123</f>
        <v>0</v>
      </c>
      <c r="L158">
        <f>-0.009043*$L$123</f>
        <v>0</v>
      </c>
      <c r="M158">
        <f>0+D158+E158+G158+H158+I158+J158+K158+L158</f>
        <v>0</v>
      </c>
      <c r="N158">
        <f>0+D158+F158+G158+H158+I158+J158+K158+L158</f>
        <v>0</v>
      </c>
    </row>
    <row r="159" spans="3:14">
      <c r="C159" t="s">
        <v>32</v>
      </c>
      <c r="D159">
        <f>187.11*$D$123</f>
        <v>0</v>
      </c>
      <c r="E159">
        <f>327.891*$E$123</f>
        <v>0</v>
      </c>
      <c r="F159">
        <f>-70.266*$F$123</f>
        <v>0</v>
      </c>
      <c r="G159">
        <f>18.162*$G$123</f>
        <v>0</v>
      </c>
      <c r="H159">
        <f>0*$H$123</f>
        <v>0</v>
      </c>
      <c r="I159">
        <f>27.285*$I$123</f>
        <v>0</v>
      </c>
      <c r="J159">
        <f>-30.847*$J$123</f>
        <v>0</v>
      </c>
      <c r="K159">
        <f>41.129*$K$123</f>
        <v>0</v>
      </c>
      <c r="L159">
        <f>-0.011*$L$123</f>
        <v>0</v>
      </c>
      <c r="M159">
        <f>0+D159+E159+G159+H159+I159+J159+K159+L159</f>
        <v>0</v>
      </c>
      <c r="N159">
        <f>0+D159+F159+G159+H159+I159+J159+K159+L159</f>
        <v>0</v>
      </c>
    </row>
    <row r="160" spans="3:14">
      <c r="C160" t="s">
        <v>33</v>
      </c>
      <c r="D160">
        <f>211.201*$D$123</f>
        <v>0</v>
      </c>
      <c r="E160">
        <f>342.895*$E$123</f>
        <v>0</v>
      </c>
      <c r="F160">
        <f>-57.423*$F$123</f>
        <v>0</v>
      </c>
      <c r="G160">
        <f>18.368*$G$123</f>
        <v>0</v>
      </c>
      <c r="H160">
        <f>0*$H$123</f>
        <v>0</v>
      </c>
      <c r="I160">
        <f>29.307*$I$123</f>
        <v>0</v>
      </c>
      <c r="J160">
        <f>-30.559*$J$123</f>
        <v>0</v>
      </c>
      <c r="K160">
        <f>40.745*$K$123</f>
        <v>0</v>
      </c>
      <c r="L160">
        <f>-0.014*$L$123</f>
        <v>0</v>
      </c>
      <c r="M160">
        <f>0+D160+E160+G160+H160+I160+J160+K160+L160</f>
        <v>0</v>
      </c>
      <c r="N160">
        <f>0+D160+F160+G160+H160+I160+J160+K160+L160</f>
        <v>0</v>
      </c>
    </row>
    <row r="161" spans="3:14">
      <c r="C161" t="s">
        <v>33</v>
      </c>
      <c r="D161">
        <f>214.087*$D$123</f>
        <v>0</v>
      </c>
      <c r="E161">
        <f>364.431*$E$123</f>
        <v>0</v>
      </c>
      <c r="F161">
        <f>-45.002*$F$123</f>
        <v>0</v>
      </c>
      <c r="G161">
        <f>18.538*$G$123</f>
        <v>0</v>
      </c>
      <c r="H161">
        <f>0*$H$123</f>
        <v>0</v>
      </c>
      <c r="I161">
        <f>31.693*$I$123</f>
        <v>0</v>
      </c>
      <c r="J161">
        <f>-30.825*$J$123</f>
        <v>0</v>
      </c>
      <c r="K161">
        <f>41.1*$K$123</f>
        <v>0</v>
      </c>
      <c r="L161">
        <f>-0.018*$L$123</f>
        <v>0</v>
      </c>
      <c r="M161">
        <f>0+D161+E161+G161+H161+I161+J161+K161+L161</f>
        <v>0</v>
      </c>
      <c r="N161">
        <f>0+D161+F161+G161+H161+I161+J161+K161+L161</f>
        <v>0</v>
      </c>
    </row>
    <row r="162" spans="3:14">
      <c r="C162" t="s">
        <v>34</v>
      </c>
      <c r="D162">
        <f>239.066*$D$123</f>
        <v>0</v>
      </c>
      <c r="E162">
        <f>382.918*$E$123</f>
        <v>0</v>
      </c>
      <c r="F162">
        <f>-36.71*$F$123</f>
        <v>0</v>
      </c>
      <c r="G162">
        <f>18.776*$G$123</f>
        <v>0</v>
      </c>
      <c r="H162">
        <f>0*$H$123</f>
        <v>0</v>
      </c>
      <c r="I162">
        <f>33.838*$I$123</f>
        <v>0</v>
      </c>
      <c r="J162">
        <f>-32.804*$J$123</f>
        <v>0</v>
      </c>
      <c r="K162">
        <f>43.739*$K$123</f>
        <v>0</v>
      </c>
      <c r="L162">
        <f>-0.023*$L$123</f>
        <v>0</v>
      </c>
      <c r="M162">
        <f>0+D162+E162+G162+H162+I162+J162+K162+L162</f>
        <v>0</v>
      </c>
      <c r="N162">
        <f>0+D162+F162+G162+H162+I162+J162+K162+L162</f>
        <v>0</v>
      </c>
    </row>
    <row r="163" spans="3:14">
      <c r="C163" t="s">
        <v>34</v>
      </c>
      <c r="D163">
        <f>244.039*$D$123</f>
        <v>0</v>
      </c>
      <c r="E163">
        <f>410.705*$E$123</f>
        <v>0</v>
      </c>
      <c r="F163">
        <f>-22.421*$F$123</f>
        <v>0</v>
      </c>
      <c r="G163">
        <f>18.969*$G$123</f>
        <v>0</v>
      </c>
      <c r="H163">
        <f>0*$H$123</f>
        <v>0</v>
      </c>
      <c r="I163">
        <f>36.511*$I$123</f>
        <v>0</v>
      </c>
      <c r="J163">
        <f>-36.004*$J$123</f>
        <v>0</v>
      </c>
      <c r="K163">
        <f>48.005*$K$123</f>
        <v>0</v>
      </c>
      <c r="L163">
        <f>-0.032*$L$123</f>
        <v>0</v>
      </c>
      <c r="M163">
        <f>0+D163+E163+G163+H163+I163+J163+K163+L163</f>
        <v>0</v>
      </c>
      <c r="N163">
        <f>0+D163+F163+G163+H163+I163+J163+K163+L163</f>
        <v>0</v>
      </c>
    </row>
    <row r="164" spans="3:14">
      <c r="C164" t="s">
        <v>35</v>
      </c>
      <c r="D164">
        <f>270.735*$D$123</f>
        <v>0</v>
      </c>
      <c r="E164">
        <f>436.229*$E$123</f>
        <v>0</v>
      </c>
      <c r="F164">
        <f>-13.893*$F$123</f>
        <v>0</v>
      </c>
      <c r="G164">
        <f>19.239*$G$123</f>
        <v>0</v>
      </c>
      <c r="H164">
        <f>0*$H$123</f>
        <v>0</v>
      </c>
      <c r="I164">
        <f>38.892*$I$123</f>
        <v>0</v>
      </c>
      <c r="J164">
        <f>-43.733*$J$123</f>
        <v>0</v>
      </c>
      <c r="K164">
        <f>58.31*$K$123</f>
        <v>0</v>
      </c>
      <c r="L164">
        <f>-0.042*$L$123</f>
        <v>0</v>
      </c>
      <c r="M164">
        <f>0+D164+E164+G164+H164+I164+J164+K164+L164</f>
        <v>0</v>
      </c>
      <c r="N164">
        <f>0+D164+F164+G164+H164+I164+J164+K164+L164</f>
        <v>0</v>
      </c>
    </row>
    <row r="165" spans="3:14">
      <c r="C165" t="s">
        <v>35</v>
      </c>
      <c r="D165">
        <f>-23.835*$D$123</f>
        <v>0</v>
      </c>
      <c r="E165">
        <f>12.984*$E$123</f>
        <v>0</v>
      </c>
      <c r="F165">
        <f>-220.187*$F$123</f>
        <v>0</v>
      </c>
      <c r="G165">
        <f>0.711*$G$123</f>
        <v>0</v>
      </c>
      <c r="H165">
        <f>0*$H$123</f>
        <v>0</v>
      </c>
      <c r="I165">
        <f>-2.728*$I$123</f>
        <v>0</v>
      </c>
      <c r="J165">
        <f>13.303*$J$123</f>
        <v>0</v>
      </c>
      <c r="K165">
        <f>-17.738*$K$123</f>
        <v>0</v>
      </c>
      <c r="L165">
        <f>0.028*$L$123</f>
        <v>0</v>
      </c>
      <c r="M165">
        <f>0+D165+E165+G165+H165+I165+J165+K165+L165</f>
        <v>0</v>
      </c>
      <c r="N165">
        <f>0+D165+F165+G165+H165+I165+J165+K165+L165</f>
        <v>0</v>
      </c>
    </row>
    <row r="166" spans="3:14">
      <c r="C166" t="s">
        <v>36</v>
      </c>
      <c r="D166">
        <f>-12.083*$D$123</f>
        <v>0</v>
      </c>
      <c r="E166">
        <f>12.984*$E$123</f>
        <v>0</v>
      </c>
      <c r="F166">
        <f>-219.47*$F$123</f>
        <v>0</v>
      </c>
      <c r="G166">
        <f>0.711*$G$123</f>
        <v>0</v>
      </c>
      <c r="H166">
        <f>0*$H$123</f>
        <v>0</v>
      </c>
      <c r="I166">
        <f>-2.728*$I$123</f>
        <v>0</v>
      </c>
      <c r="J166">
        <f>13.303*$J$123</f>
        <v>0</v>
      </c>
      <c r="K166">
        <f>-17.738*$K$123</f>
        <v>0</v>
      </c>
      <c r="L166">
        <f>0.028*$L$123</f>
        <v>0</v>
      </c>
      <c r="M166">
        <f>0+D166+E166+G166+H166+I166+J166+K166+L166</f>
        <v>0</v>
      </c>
      <c r="N166">
        <f>0+D166+F166+G166+H166+I166+J166+K166+L166</f>
        <v>0</v>
      </c>
    </row>
    <row r="167" spans="3:14">
      <c r="C167" t="s">
        <v>36</v>
      </c>
      <c r="D167">
        <f>11.365*$D$123</f>
        <v>0</v>
      </c>
      <c r="E167">
        <f>27.201*$E$123</f>
        <v>0</v>
      </c>
      <c r="F167">
        <f>-13.525*$F$123</f>
        <v>0</v>
      </c>
      <c r="G167">
        <f>-0.581*$G$123</f>
        <v>0</v>
      </c>
      <c r="H167">
        <f>0*$H$123</f>
        <v>0</v>
      </c>
      <c r="I167">
        <f>2.617*$I$123</f>
        <v>0</v>
      </c>
      <c r="J167">
        <f>-11.787*$J$123</f>
        <v>0</v>
      </c>
      <c r="K167">
        <f>15.716*$K$123</f>
        <v>0</v>
      </c>
      <c r="L167">
        <f>0.242*$L$123</f>
        <v>0</v>
      </c>
      <c r="M167">
        <f>0+D167+E167+G167+H167+I167+J167+K167+L167</f>
        <v>0</v>
      </c>
      <c r="N167">
        <f>0+D167+F167+G167+H167+I167+J167+K167+L167</f>
        <v>0</v>
      </c>
    </row>
    <row r="168" spans="3:14">
      <c r="C168" t="s">
        <v>37</v>
      </c>
      <c r="D168">
        <f>23.117*$D$123</f>
        <v>0</v>
      </c>
      <c r="E168">
        <f>27.201*$E$123</f>
        <v>0</v>
      </c>
      <c r="F168">
        <f>-13.525*$F$123</f>
        <v>0</v>
      </c>
      <c r="G168">
        <f>-0.581*$G$123</f>
        <v>0</v>
      </c>
      <c r="H168">
        <f>0*$H$123</f>
        <v>0</v>
      </c>
      <c r="I168">
        <f>2.617*$I$123</f>
        <v>0</v>
      </c>
      <c r="J168">
        <f>-11.787*$J$123</f>
        <v>0</v>
      </c>
      <c r="K168">
        <f>15.716*$K$123</f>
        <v>0</v>
      </c>
      <c r="L168">
        <f>0.242*$L$123</f>
        <v>0</v>
      </c>
      <c r="M168">
        <f>0+D168+E168+G168+H168+I168+J168+K168+L168</f>
        <v>0</v>
      </c>
      <c r="N168">
        <f>0+D168+F168+G168+H168+I168+J168+K168+L168</f>
        <v>0</v>
      </c>
    </row>
    <row r="169" spans="3:14">
      <c r="C169" t="s">
        <v>37</v>
      </c>
      <c r="D169">
        <f>-270.297*$D$123</f>
        <v>0</v>
      </c>
      <c r="E169">
        <f>10.311*$E$123</f>
        <v>0</v>
      </c>
      <c r="F169">
        <f>-443.412*$F$123</f>
        <v>0</v>
      </c>
      <c r="G169">
        <f>-18.121*$G$123</f>
        <v>0</v>
      </c>
      <c r="H169">
        <f>0*$H$123</f>
        <v>0</v>
      </c>
      <c r="I169">
        <f>-38.86*$I$123</f>
        <v>0</v>
      </c>
      <c r="J169">
        <f>50.572*$J$123</f>
        <v>0</v>
      </c>
      <c r="K169">
        <f>-67.429*$K$123</f>
        <v>0</v>
      </c>
      <c r="L169">
        <f>-0.982*$L$123</f>
        <v>0</v>
      </c>
      <c r="M169">
        <f>0+D169+E169+G169+H169+I169+J169+K169+L169</f>
        <v>0</v>
      </c>
      <c r="N169">
        <f>0+D169+F169+G169+H169+I169+J169+K169+L169</f>
        <v>0</v>
      </c>
    </row>
    <row r="170" spans="3:14">
      <c r="C170" t="s">
        <v>38</v>
      </c>
      <c r="D170">
        <f>-243.282*$D$123</f>
        <v>0</v>
      </c>
      <c r="E170">
        <f>16.88*$E$123</f>
        <v>0</v>
      </c>
      <c r="F170">
        <f>-418.554*$F$123</f>
        <v>0</v>
      </c>
      <c r="G170">
        <f>-17.892*$G$123</f>
        <v>0</v>
      </c>
      <c r="H170">
        <f>0*$H$123</f>
        <v>0</v>
      </c>
      <c r="I170">
        <f>-36.43*$I$123</f>
        <v>0</v>
      </c>
      <c r="J170">
        <f>42.348*$J$123</f>
        <v>0</v>
      </c>
      <c r="K170">
        <f>-56.464*$K$123</f>
        <v>0</v>
      </c>
      <c r="L170">
        <f>-0.884*$L$123</f>
        <v>0</v>
      </c>
      <c r="M170">
        <f>0+D170+E170+G170+H170+I170+J170+K170+L170</f>
        <v>0</v>
      </c>
      <c r="N170">
        <f>0+D170+F170+G170+H170+I170+J170+K170+L170</f>
        <v>0</v>
      </c>
    </row>
    <row r="171" spans="3:14">
      <c r="C171" t="s">
        <v>38</v>
      </c>
      <c r="D171">
        <f>-238.07*$D$123</f>
        <v>0</v>
      </c>
      <c r="E171">
        <f>30.391*$E$123</f>
        <v>0</v>
      </c>
      <c r="F171">
        <f>-390.641*$F$123</f>
        <v>0</v>
      </c>
      <c r="G171">
        <f>-17.751*$G$123</f>
        <v>0</v>
      </c>
      <c r="H171">
        <f>0*$H$123</f>
        <v>0</v>
      </c>
      <c r="I171">
        <f>-33.72*$I$123</f>
        <v>0</v>
      </c>
      <c r="J171">
        <f>38.613*$J$123</f>
        <v>0</v>
      </c>
      <c r="K171">
        <f>-51.484*$K$123</f>
        <v>0</v>
      </c>
      <c r="L171">
        <f>-0.806*$L$123</f>
        <v>0</v>
      </c>
      <c r="M171">
        <f>0+D171+E171+G171+H171+I171+J171+K171+L171</f>
        <v>0</v>
      </c>
      <c r="N171">
        <f>0+D171+F171+G171+H171+I171+J171+K171+L171</f>
        <v>0</v>
      </c>
    </row>
    <row r="172" spans="3:14">
      <c r="C172" t="s">
        <v>39</v>
      </c>
      <c r="D172">
        <f>-212.773*$D$123</f>
        <v>0</v>
      </c>
      <c r="E172">
        <f>38.581*$E$123</f>
        <v>0</v>
      </c>
      <c r="F172">
        <f>-371.621*$F$123</f>
        <v>0</v>
      </c>
      <c r="G172">
        <f>-17.563*$G$123</f>
        <v>0</v>
      </c>
      <c r="H172">
        <f>0*$H$123</f>
        <v>0</v>
      </c>
      <c r="I172">
        <f>-31.527*$I$123</f>
        <v>0</v>
      </c>
      <c r="J172">
        <f>36.05*$J$123</f>
        <v>0</v>
      </c>
      <c r="K172">
        <f>-48.067*$K$123</f>
        <v>0</v>
      </c>
      <c r="L172">
        <f>-0.755*$L$123</f>
        <v>0</v>
      </c>
      <c r="M172">
        <f>0+D172+E172+G172+H172+I172+J172+K172+L172</f>
        <v>0</v>
      </c>
      <c r="N172">
        <f>0+D172+F172+G172+H172+I172+J172+K172+L172</f>
        <v>0</v>
      </c>
    </row>
    <row r="173" spans="3:14">
      <c r="C173" t="s">
        <v>39</v>
      </c>
      <c r="D173">
        <f>-209.654*$D$123</f>
        <v>0</v>
      </c>
      <c r="E173">
        <f>50.966*$E$123</f>
        <v>0</v>
      </c>
      <c r="F173">
        <f>-349.131*$F$123</f>
        <v>0</v>
      </c>
      <c r="G173">
        <f>-17.444*$G$123</f>
        <v>0</v>
      </c>
      <c r="H173">
        <f>0*$H$123</f>
        <v>0</v>
      </c>
      <c r="I173">
        <f>-29.104*$I$123</f>
        <v>0</v>
      </c>
      <c r="J173">
        <f>35.242*$J$123</f>
        <v>0</v>
      </c>
      <c r="K173">
        <f>-46.989*$K$123</f>
        <v>0</v>
      </c>
      <c r="L173">
        <f>-0.708*$L$123</f>
        <v>0</v>
      </c>
      <c r="M173">
        <f>0+D173+E173+G173+H173+I173+J173+K173+L173</f>
        <v>0</v>
      </c>
      <c r="N173">
        <f>0+D173+F173+G173+H173+I173+J173+K173+L173</f>
        <v>0</v>
      </c>
    </row>
    <row r="174" spans="3:14">
      <c r="C174" t="s">
        <v>40</v>
      </c>
      <c r="D174">
        <f>-185.337*$D$123</f>
        <v>0</v>
      </c>
      <c r="E174">
        <f>62.106*$E$123</f>
        <v>0</v>
      </c>
      <c r="F174">
        <f>-333.24*$F$123</f>
        <v>0</v>
      </c>
      <c r="G174">
        <f>-17.278*$G$123</f>
        <v>0</v>
      </c>
      <c r="H174">
        <f>0*$H$123</f>
        <v>0</v>
      </c>
      <c r="I174">
        <f>-27.047*$I$123</f>
        <v>0</v>
      </c>
      <c r="J174">
        <f>35.067*$J$123</f>
        <v>0</v>
      </c>
      <c r="K174">
        <f>-46.757*$K$123</f>
        <v>0</v>
      </c>
      <c r="L174">
        <f>-0.683*$L$123</f>
        <v>0</v>
      </c>
      <c r="M174">
        <f>0+D174+E174+G174+H174+I174+J174+K174+L174</f>
        <v>0</v>
      </c>
      <c r="N174">
        <f>0+D174+F174+G174+H174+I174+J174+K174+L174</f>
        <v>0</v>
      </c>
    </row>
    <row r="175" spans="3:14">
      <c r="C175" t="s">
        <v>40</v>
      </c>
      <c r="D175">
        <f>-184.051*$D$123</f>
        <v>0</v>
      </c>
      <c r="E175">
        <f>78.329*$E$123</f>
        <v>0</v>
      </c>
      <c r="F175">
        <f>-314.718*$F$123</f>
        <v>0</v>
      </c>
      <c r="G175">
        <f>-17.2*$G$123</f>
        <v>0</v>
      </c>
      <c r="H175">
        <f>0*$H$123</f>
        <v>0</v>
      </c>
      <c r="I175">
        <f>-24.893*$I$123</f>
        <v>0</v>
      </c>
      <c r="J175">
        <f>34.57*$J$123</f>
        <v>0</v>
      </c>
      <c r="K175">
        <f>-46.094*$K$123</f>
        <v>0</v>
      </c>
      <c r="L175">
        <f>-0.666*$L$123</f>
        <v>0</v>
      </c>
      <c r="M175">
        <f>0+D175+E175+G175+H175+I175+J175+K175+L175</f>
        <v>0</v>
      </c>
      <c r="N175">
        <f>0+D175+F175+G175+H175+I175+J175+K175+L175</f>
        <v>0</v>
      </c>
    </row>
    <row r="176" spans="3:14">
      <c r="C176" t="s">
        <v>41</v>
      </c>
      <c r="D176">
        <f>-160.199*$D$123</f>
        <v>0</v>
      </c>
      <c r="E176">
        <f>90.033*$E$123</f>
        <v>0</v>
      </c>
      <c r="F176">
        <f>-300.948*$F$123</f>
        <v>0</v>
      </c>
      <c r="G176">
        <f>-16.847*$G$123</f>
        <v>0</v>
      </c>
      <c r="H176">
        <f>0*$H$123</f>
        <v>0</v>
      </c>
      <c r="I176">
        <f>-22.913*$I$123</f>
        <v>0</v>
      </c>
      <c r="J176">
        <f>34.325*$J$123</f>
        <v>0</v>
      </c>
      <c r="K176">
        <f>-45.766*$K$123</f>
        <v>0</v>
      </c>
      <c r="L176">
        <f>-0.663*$L$123</f>
        <v>0</v>
      </c>
      <c r="M176">
        <f>0+D176+E176+G176+H176+I176+J176+K176+L176</f>
        <v>0</v>
      </c>
      <c r="N176">
        <f>0+D176+F176+G176+H176+I176+J176+K176+L176</f>
        <v>0</v>
      </c>
    </row>
    <row r="177" spans="3:14">
      <c r="C177" t="s">
        <v>41</v>
      </c>
      <c r="D177">
        <f>-166.568*$D$123</f>
        <v>0</v>
      </c>
      <c r="E177">
        <f>101.128*$E$123</f>
        <v>0</v>
      </c>
      <c r="F177">
        <f>-293.817*$F$123</f>
        <v>0</v>
      </c>
      <c r="G177">
        <f>-17.329*$G$123</f>
        <v>0</v>
      </c>
      <c r="H177">
        <f>0*$H$123</f>
        <v>0</v>
      </c>
      <c r="I177">
        <f>-21.867*$I$123</f>
        <v>0</v>
      </c>
      <c r="J177">
        <f>27.302*$J$123</f>
        <v>0</v>
      </c>
      <c r="K177">
        <f>-36.402*$K$123</f>
        <v>0</v>
      </c>
      <c r="L177">
        <f>-0.668*$L$123</f>
        <v>0</v>
      </c>
      <c r="M177">
        <f>0+D177+E177+G177+H177+I177+J177+K177+L177</f>
        <v>0</v>
      </c>
      <c r="N177">
        <f>0+D177+F177+G177+H177+I177+J177+K177+L177</f>
        <v>0</v>
      </c>
    </row>
    <row r="178" spans="3:14">
      <c r="C178" t="s">
        <v>42</v>
      </c>
      <c r="D178">
        <f>-143.024*$D$123</f>
        <v>0</v>
      </c>
      <c r="E178">
        <f>111.358*$E$123</f>
        <v>0</v>
      </c>
      <c r="F178">
        <f>-281.154*$F$123</f>
        <v>0</v>
      </c>
      <c r="G178">
        <f>-16.725*$G$123</f>
        <v>0</v>
      </c>
      <c r="H178">
        <f>0*$H$123</f>
        <v>0</v>
      </c>
      <c r="I178">
        <f>-19.94*$I$123</f>
        <v>0</v>
      </c>
      <c r="J178">
        <f>26.079*$J$123</f>
        <v>0</v>
      </c>
      <c r="K178">
        <f>-34.772*$K$123</f>
        <v>0</v>
      </c>
      <c r="L178">
        <f>-0.686*$L$123</f>
        <v>0</v>
      </c>
      <c r="M178">
        <f>0+D178+E178+G178+H178+I178+J178+K178+L178</f>
        <v>0</v>
      </c>
      <c r="N178">
        <f>0+D178+F178+G178+H178+I178+J178+K178+L178</f>
        <v>0</v>
      </c>
    </row>
    <row r="179" spans="3:14">
      <c r="C179" t="s">
        <v>42</v>
      </c>
      <c r="D179">
        <f>-124.665*$D$123</f>
        <v>0</v>
      </c>
      <c r="E179">
        <f>82.251*$E$123</f>
        <v>0</v>
      </c>
      <c r="F179">
        <f>-282.721*$F$123</f>
        <v>0</v>
      </c>
      <c r="G179">
        <f>-7.862*$G$123</f>
        <v>0</v>
      </c>
      <c r="H179">
        <f>0*$H$123</f>
        <v>0</v>
      </c>
      <c r="I179">
        <f>-18.169*$I$123</f>
        <v>0</v>
      </c>
      <c r="J179">
        <f>-9.212*$J$123</f>
        <v>0</v>
      </c>
      <c r="K179">
        <f>12.283*$K$123</f>
        <v>0</v>
      </c>
      <c r="L179">
        <f>-1*$L$123</f>
        <v>0</v>
      </c>
      <c r="M179">
        <f>0+D179+E179+G179+H179+I179+J179+K179+L179</f>
        <v>0</v>
      </c>
      <c r="N179">
        <f>0+D179+F179+G179+H179+I179+J179+K179+L179</f>
        <v>0</v>
      </c>
    </row>
    <row r="180" spans="3:14">
      <c r="C180" t="s">
        <v>43</v>
      </c>
      <c r="D180">
        <f>-99.244*$D$123</f>
        <v>0</v>
      </c>
      <c r="E180">
        <f>90.216*$E$123</f>
        <v>0</v>
      </c>
      <c r="F180">
        <f>-270.162*$F$123</f>
        <v>0</v>
      </c>
      <c r="G180">
        <f>-7.223*$G$123</f>
        <v>0</v>
      </c>
      <c r="H180">
        <f>0*$H$123</f>
        <v>0</v>
      </c>
      <c r="I180">
        <f>-16.114*$I$123</f>
        <v>0</v>
      </c>
      <c r="J180">
        <f>-9.541*$J$123</f>
        <v>0</v>
      </c>
      <c r="K180">
        <f>12.722*$K$123</f>
        <v>0</v>
      </c>
      <c r="L180">
        <f>-1.05*$L$123</f>
        <v>0</v>
      </c>
      <c r="M180">
        <f>0+D180+E180+G180+H180+I180+J180+K180+L180</f>
        <v>0</v>
      </c>
      <c r="N180">
        <f>0+D180+F180+G180+H180+I180+J180+K180+L180</f>
        <v>0</v>
      </c>
    </row>
    <row r="181" spans="3:14">
      <c r="C181" t="s">
        <v>43</v>
      </c>
      <c r="D181">
        <f>-99.933*$D$123</f>
        <v>0</v>
      </c>
      <c r="E181">
        <f>102.547*$E$123</f>
        <v>0</v>
      </c>
      <c r="F181">
        <f>-252.915*$F$123</f>
        <v>0</v>
      </c>
      <c r="G181">
        <f>-7.077*$G$123</f>
        <v>0</v>
      </c>
      <c r="H181">
        <f>0*$H$123</f>
        <v>0</v>
      </c>
      <c r="I181">
        <f>-14.05*$I$123</f>
        <v>0</v>
      </c>
      <c r="J181">
        <f>-7.423*$J$123</f>
        <v>0</v>
      </c>
      <c r="K181">
        <f>9.897*$K$123</f>
        <v>0</v>
      </c>
      <c r="L181">
        <f>-1.122*$L$123</f>
        <v>0</v>
      </c>
      <c r="M181">
        <f>0+D181+E181+G181+H181+I181+J181+K181+L181</f>
        <v>0</v>
      </c>
      <c r="N181">
        <f>0+D181+F181+G181+H181+I181+J181+K181+L181</f>
        <v>0</v>
      </c>
    </row>
    <row r="182" spans="3:14">
      <c r="C182" t="s">
        <v>44</v>
      </c>
      <c r="D182">
        <f>-74.806*$D$123</f>
        <v>0</v>
      </c>
      <c r="E182">
        <f>111.381*$E$123</f>
        <v>0</v>
      </c>
      <c r="F182">
        <f>-240.137*$F$123</f>
        <v>0</v>
      </c>
      <c r="G182">
        <f>-6.685*$G$123</f>
        <v>0</v>
      </c>
      <c r="H182">
        <f>0*$H$123</f>
        <v>0</v>
      </c>
      <c r="I182">
        <f>-12.03*$I$123</f>
        <v>0</v>
      </c>
      <c r="J182">
        <f>-5.775*$J$123</f>
        <v>0</v>
      </c>
      <c r="K182">
        <f>7.7*$K$123</f>
        <v>0</v>
      </c>
      <c r="L182">
        <f>-1.205*$L$123</f>
        <v>0</v>
      </c>
      <c r="M182">
        <f>0+D182+E182+G182+H182+I182+J182+K182+L182</f>
        <v>0</v>
      </c>
      <c r="N182">
        <f>0+D182+F182+G182+H182+I182+J182+K182+L182</f>
        <v>0</v>
      </c>
    </row>
    <row r="183" spans="3:14">
      <c r="C183" t="s">
        <v>44</v>
      </c>
      <c r="D183">
        <f>-75.632*$D$123</f>
        <v>0</v>
      </c>
      <c r="E183">
        <f>124.256*$E$123</f>
        <v>0</v>
      </c>
      <c r="F183">
        <f>-225.045*$F$123</f>
        <v>0</v>
      </c>
      <c r="G183">
        <f>-6.623*$G$123</f>
        <v>0</v>
      </c>
      <c r="H183">
        <f>0*$H$123</f>
        <v>0</v>
      </c>
      <c r="I183">
        <f>-9.998*$I$123</f>
        <v>0</v>
      </c>
      <c r="J183">
        <f>-2.736*$J$123</f>
        <v>0</v>
      </c>
      <c r="K183">
        <f>3.648*$K$123</f>
        <v>0</v>
      </c>
      <c r="L183">
        <f>-1.308*$L$123</f>
        <v>0</v>
      </c>
      <c r="M183">
        <f>0+D183+E183+G183+H183+I183+J183+K183+L183</f>
        <v>0</v>
      </c>
      <c r="N183">
        <f>0+D183+F183+G183+H183+I183+J183+K183+L183</f>
        <v>0</v>
      </c>
    </row>
    <row r="184" spans="3:14">
      <c r="C184" t="s">
        <v>45</v>
      </c>
      <c r="D184">
        <f>-50.69*$D$123</f>
        <v>0</v>
      </c>
      <c r="E184">
        <f>133.769*$E$123</f>
        <v>0</v>
      </c>
      <c r="F184">
        <f>-212.73*$F$123</f>
        <v>0</v>
      </c>
      <c r="G184">
        <f>-6.373*$G$123</f>
        <v>0</v>
      </c>
      <c r="H184">
        <f>0*$H$123</f>
        <v>0</v>
      </c>
      <c r="I184">
        <f>-7.995*$I$123</f>
        <v>0</v>
      </c>
      <c r="J184">
        <f>-0.053*$J$123</f>
        <v>0</v>
      </c>
      <c r="K184">
        <f>0.071*$K$123</f>
        <v>0</v>
      </c>
      <c r="L184">
        <f>-1.414*$L$123</f>
        <v>0</v>
      </c>
      <c r="M184">
        <f>0+D184+E184+G184+H184+I184+J184+K184+L184</f>
        <v>0</v>
      </c>
      <c r="N184">
        <f>0+D184+F184+G184+H184+I184+J184+K184+L184</f>
        <v>0</v>
      </c>
    </row>
    <row r="185" spans="3:14">
      <c r="C185" t="s">
        <v>45</v>
      </c>
      <c r="D185">
        <f>-51.765*$D$123</f>
        <v>0</v>
      </c>
      <c r="E185">
        <f>147.2*$E$123</f>
        <v>0</v>
      </c>
      <c r="F185">
        <f>-198.382*$F$123</f>
        <v>0</v>
      </c>
      <c r="G185">
        <f>-6.302*$G$123</f>
        <v>0</v>
      </c>
      <c r="H185">
        <f>0*$H$123</f>
        <v>0</v>
      </c>
      <c r="I185">
        <f>-5.983*$I$123</f>
        <v>0</v>
      </c>
      <c r="J185">
        <f>3.19*$J$123</f>
        <v>0</v>
      </c>
      <c r="K185">
        <f>-4.254*$K$123</f>
        <v>0</v>
      </c>
      <c r="L185">
        <f>-1.547*$L$123</f>
        <v>0</v>
      </c>
      <c r="M185">
        <f>0+D185+E185+G185+H185+I185+J185+K185+L185</f>
        <v>0</v>
      </c>
      <c r="N185">
        <f>0+D185+F185+G185+H185+I185+J185+K185+L185</f>
        <v>0</v>
      </c>
    </row>
    <row r="186" spans="3:14">
      <c r="C186" t="s">
        <v>46</v>
      </c>
      <c r="D186">
        <f>-26.919*$D$123</f>
        <v>0</v>
      </c>
      <c r="E186">
        <f>160.057*$E$123</f>
        <v>0</v>
      </c>
      <c r="F186">
        <f>-186.838*$F$123</f>
        <v>0</v>
      </c>
      <c r="G186">
        <f>-5.886*$G$123</f>
        <v>0</v>
      </c>
      <c r="H186">
        <f>0*$H$123</f>
        <v>0</v>
      </c>
      <c r="I186">
        <f>-4.005*$I$123</f>
        <v>0</v>
      </c>
      <c r="J186">
        <f>5.294*$J$123</f>
        <v>0</v>
      </c>
      <c r="K186">
        <f>-7.059*$K$123</f>
        <v>0</v>
      </c>
      <c r="L186">
        <f>-1.676*$L$123</f>
        <v>0</v>
      </c>
      <c r="M186">
        <f>0+D186+E186+G186+H186+I186+J186+K186+L186</f>
        <v>0</v>
      </c>
      <c r="N186">
        <f>0+D186+F186+G186+H186+I186+J186+K186+L186</f>
        <v>0</v>
      </c>
    </row>
    <row r="187" spans="3:14">
      <c r="C187" t="s">
        <v>46</v>
      </c>
      <c r="D187">
        <f>-28.026*$D$123</f>
        <v>0</v>
      </c>
      <c r="E187">
        <f>171.574*$E$123</f>
        <v>0</v>
      </c>
      <c r="F187">
        <f>-172.743*$F$123</f>
        <v>0</v>
      </c>
      <c r="G187">
        <f>-5.711*$G$123</f>
        <v>0</v>
      </c>
      <c r="H187">
        <f>0*$H$123</f>
        <v>0</v>
      </c>
      <c r="I187">
        <f>-1.999*$I$123</f>
        <v>0</v>
      </c>
      <c r="J187">
        <f>8.013*$J$123</f>
        <v>0</v>
      </c>
      <c r="K187">
        <f>-10.684*$K$123</f>
        <v>0</v>
      </c>
      <c r="L187">
        <f>-1.833*$L$123</f>
        <v>0</v>
      </c>
      <c r="M187">
        <f>0+D187+E187+G187+H187+I187+J187+K187+L187</f>
        <v>0</v>
      </c>
      <c r="N187">
        <f>0+D187+F187+G187+H187+I187+J187+K187+L187</f>
        <v>0</v>
      </c>
    </row>
    <row r="188" spans="3:14">
      <c r="C188" t="s">
        <v>47</v>
      </c>
      <c r="D188">
        <f>-3.118*$D$123</f>
        <v>0</v>
      </c>
      <c r="E188">
        <f>180.547*$E$123</f>
        <v>0</v>
      </c>
      <c r="F188">
        <f>-161.268*$F$123</f>
        <v>0</v>
      </c>
      <c r="G188">
        <f>-5.013*$G$123</f>
        <v>0</v>
      </c>
      <c r="H188">
        <f>0*$H$123</f>
        <v>0</v>
      </c>
      <c r="I188">
        <f>-0.021*$I$123</f>
        <v>0</v>
      </c>
      <c r="J188">
        <f>8.528*$J$123</f>
        <v>0</v>
      </c>
      <c r="K188">
        <f>-11.37*$K$123</f>
        <v>0</v>
      </c>
      <c r="L188">
        <f>-1.964*$L$123</f>
        <v>0</v>
      </c>
      <c r="M188">
        <f>0+D188+E188+G188+H188+I188+J188+K188+L188</f>
        <v>0</v>
      </c>
      <c r="N188">
        <f>0+D188+F188+G188+H188+I188+J188+K188+L188</f>
        <v>0</v>
      </c>
    </row>
    <row r="189" spans="3:14">
      <c r="C189" t="s">
        <v>47</v>
      </c>
      <c r="D189">
        <f>3.634*$D$123</f>
        <v>0</v>
      </c>
      <c r="E189">
        <f>161.037*$E$123</f>
        <v>0</v>
      </c>
      <c r="F189">
        <f>-182.813*$F$123</f>
        <v>0</v>
      </c>
      <c r="G189">
        <f>5.189*$G$123</f>
        <v>0</v>
      </c>
      <c r="H189">
        <f>0*$H$123</f>
        <v>0</v>
      </c>
      <c r="I189">
        <f>0.09*$I$123</f>
        <v>0</v>
      </c>
      <c r="J189">
        <f>-7.701*$J$123</f>
        <v>0</v>
      </c>
      <c r="K189">
        <f>10.268*$K$123</f>
        <v>0</v>
      </c>
      <c r="L189">
        <f>-2.673*$L$123</f>
        <v>0</v>
      </c>
      <c r="M189">
        <f>0+D189+E189+G189+H189+I189+J189+K189+L189</f>
        <v>0</v>
      </c>
      <c r="N189">
        <f>0+D189+F189+G189+H189+I189+J189+K189+L189</f>
        <v>0</v>
      </c>
    </row>
    <row r="190" spans="3:14">
      <c r="C190" t="s">
        <v>48</v>
      </c>
      <c r="D190">
        <f>28.529*$D$123</f>
        <v>0</v>
      </c>
      <c r="E190">
        <f>172.428*$E$123</f>
        <v>0</v>
      </c>
      <c r="F190">
        <f>-175.974*$F$123</f>
        <v>0</v>
      </c>
      <c r="G190">
        <f>5.889*$G$123</f>
        <v>0</v>
      </c>
      <c r="H190">
        <f>0*$H$123</f>
        <v>0</v>
      </c>
      <c r="I190">
        <f>2.066*$I$123</f>
        <v>0</v>
      </c>
      <c r="J190">
        <f>-7.167*$J$123</f>
        <v>0</v>
      </c>
      <c r="K190">
        <f>9.557*$K$123</f>
        <v>0</v>
      </c>
      <c r="L190">
        <f>-2.838*$L$123</f>
        <v>0</v>
      </c>
      <c r="M190">
        <f>0+D190+E190+G190+H190+I190+J190+K190+L190</f>
        <v>0</v>
      </c>
      <c r="N190">
        <f>0+D190+F190+G190+H190+I190+J190+K190+L190</f>
        <v>0</v>
      </c>
    </row>
    <row r="191" spans="3:14">
      <c r="C191" t="s">
        <v>48</v>
      </c>
      <c r="D191">
        <f>27.408*$D$123</f>
        <v>0</v>
      </c>
      <c r="E191">
        <f>186.489*$E$123</f>
        <v>0</v>
      </c>
      <c r="F191">
        <f>-157.696*$F$123</f>
        <v>0</v>
      </c>
      <c r="G191">
        <f>6.067*$G$123</f>
        <v>0</v>
      </c>
      <c r="H191">
        <f>0*$H$123</f>
        <v>0</v>
      </c>
      <c r="I191">
        <f>4.07*$I$123</f>
        <v>0</v>
      </c>
      <c r="J191">
        <f>-4.419*$J$123</f>
        <v>0</v>
      </c>
      <c r="K191">
        <f>5.892*$K$123</f>
        <v>0</v>
      </c>
      <c r="L191">
        <f>-3.086*$L$123</f>
        <v>0</v>
      </c>
      <c r="M191">
        <f>0+D191+E191+G191+H191+I191+J191+K191+L191</f>
        <v>0</v>
      </c>
      <c r="N191">
        <f>0+D191+F191+G191+H191+I191+J191+K191+L191</f>
        <v>0</v>
      </c>
    </row>
    <row r="192" spans="3:14">
      <c r="C192" t="s">
        <v>49</v>
      </c>
      <c r="D192">
        <f>52.229*$D$123</f>
        <v>0</v>
      </c>
      <c r="E192">
        <f>197.97*$E$123</f>
        <v>0</v>
      </c>
      <c r="F192">
        <f>-147.741*$F$123</f>
        <v>0</v>
      </c>
      <c r="G192">
        <f>6.487*$G$123</f>
        <v>0</v>
      </c>
      <c r="H192">
        <f>0*$H$123</f>
        <v>0</v>
      </c>
      <c r="I192">
        <f>6.044*$I$123</f>
        <v>0</v>
      </c>
      <c r="J192">
        <f>-2.269*$J$123</f>
        <v>0</v>
      </c>
      <c r="K192">
        <f>3.025*$K$123</f>
        <v>0</v>
      </c>
      <c r="L192">
        <f>-3.326*$L$123</f>
        <v>0</v>
      </c>
      <c r="M192">
        <f>0+D192+E192+G192+H192+I192+J192+K192+L192</f>
        <v>0</v>
      </c>
      <c r="N192">
        <f>0+D192+F192+G192+H192+I192+J192+K192+L192</f>
        <v>0</v>
      </c>
    </row>
    <row r="193" spans="3:14">
      <c r="C193" t="s">
        <v>49</v>
      </c>
      <c r="D193">
        <f>51.122*$D$123</f>
        <v>0</v>
      </c>
      <c r="E193">
        <f>212.226*$E$123</f>
        <v>0</v>
      </c>
      <c r="F193">
        <f>-134.258*$F$123</f>
        <v>0</v>
      </c>
      <c r="G193">
        <f>6.564*$G$123</f>
        <v>0</v>
      </c>
      <c r="H193">
        <f>0*$H$123</f>
        <v>0</v>
      </c>
      <c r="I193">
        <f>8.051*$I$123</f>
        <v>0</v>
      </c>
      <c r="J193">
        <f>1.04*$J$123</f>
        <v>0</v>
      </c>
      <c r="K193">
        <f>-1.386*$K$123</f>
        <v>0</v>
      </c>
      <c r="L193">
        <f>-3.614*$L$123</f>
        <v>0</v>
      </c>
      <c r="M193">
        <f>0+D193+E193+G193+H193+I193+J193+K193+L193</f>
        <v>0</v>
      </c>
      <c r="N193">
        <f>0+D193+F193+G193+H193+I193+J193+K193+L193</f>
        <v>0</v>
      </c>
    </row>
    <row r="194" spans="3:14">
      <c r="C194" t="s">
        <v>50</v>
      </c>
      <c r="D194">
        <f>76.02*$D$123</f>
        <v>0</v>
      </c>
      <c r="E194">
        <f>224.39*$E$123</f>
        <v>0</v>
      </c>
      <c r="F194">
        <f>-124.806*$F$123</f>
        <v>0</v>
      </c>
      <c r="G194">
        <f>6.821*$G$123</f>
        <v>0</v>
      </c>
      <c r="H194">
        <f>0*$H$123</f>
        <v>0</v>
      </c>
      <c r="I194">
        <f>10.047*$I$123</f>
        <v>0</v>
      </c>
      <c r="J194">
        <f>3.804*$J$123</f>
        <v>0</v>
      </c>
      <c r="K194">
        <f>-5.072*$K$123</f>
        <v>0</v>
      </c>
      <c r="L194">
        <f>-3.857*$L$123</f>
        <v>0</v>
      </c>
      <c r="M194">
        <f>0+D194+E194+G194+H194+I194+J194+K194+L194</f>
        <v>0</v>
      </c>
      <c r="N194">
        <f>0+D194+F194+G194+H194+I194+J194+K194+L194</f>
        <v>0</v>
      </c>
    </row>
    <row r="195" spans="3:14">
      <c r="C195" t="s">
        <v>50</v>
      </c>
      <c r="D195">
        <f>75.127*$D$123</f>
        <v>0</v>
      </c>
      <c r="E195">
        <f>239.339*$E$123</f>
        <v>0</v>
      </c>
      <c r="F195">
        <f>-111.996*$F$123</f>
        <v>0</v>
      </c>
      <c r="G195">
        <f>6.893*$G$123</f>
        <v>0</v>
      </c>
      <c r="H195">
        <f>0*$H$123</f>
        <v>0</v>
      </c>
      <c r="I195">
        <f>12.069*$I$123</f>
        <v>0</v>
      </c>
      <c r="J195">
        <f>6.953*$J$123</f>
        <v>0</v>
      </c>
      <c r="K195">
        <f>-9.271*$K$123</f>
        <v>0</v>
      </c>
      <c r="L195">
        <f>-4.113*$L$123</f>
        <v>0</v>
      </c>
      <c r="M195">
        <f>0+D195+E195+G195+H195+I195+J195+K195+L195</f>
        <v>0</v>
      </c>
      <c r="N195">
        <f>0+D195+F195+G195+H195+I195+J195+K195+L195</f>
        <v>0</v>
      </c>
    </row>
    <row r="196" spans="3:14">
      <c r="C196" t="s">
        <v>51</v>
      </c>
      <c r="D196">
        <f>100.15*$D$123</f>
        <v>0</v>
      </c>
      <c r="E196">
        <f>251.932*$E$123</f>
        <v>0</v>
      </c>
      <c r="F196">
        <f>-103.287*$F$123</f>
        <v>0</v>
      </c>
      <c r="G196">
        <f>7.295*$G$123</f>
        <v>0</v>
      </c>
      <c r="H196">
        <f>0*$H$123</f>
        <v>0</v>
      </c>
      <c r="I196">
        <f>14.073*$I$123</f>
        <v>0</v>
      </c>
      <c r="J196">
        <f>8.743*$J$123</f>
        <v>0</v>
      </c>
      <c r="K196">
        <f>-11.658*$K$123</f>
        <v>0</v>
      </c>
      <c r="L196">
        <f>-4.265*$L$123</f>
        <v>0</v>
      </c>
      <c r="M196">
        <f>0+D196+E196+G196+H196+I196+J196+K196+L196</f>
        <v>0</v>
      </c>
      <c r="N196">
        <f>0+D196+F196+G196+H196+I196+J196+K196+L196</f>
        <v>0</v>
      </c>
    </row>
    <row r="197" spans="3:14">
      <c r="C197" t="s">
        <v>51</v>
      </c>
      <c r="D197">
        <f>99.345*$D$123</f>
        <v>0</v>
      </c>
      <c r="E197">
        <f>270.567*$E$123</f>
        <v>0</v>
      </c>
      <c r="F197">
        <f>-91.245*$F$123</f>
        <v>0</v>
      </c>
      <c r="G197">
        <f>7.453*$G$123</f>
        <v>0</v>
      </c>
      <c r="H197">
        <f>0*$H$123</f>
        <v>0</v>
      </c>
      <c r="I197">
        <f>16.12*$I$123</f>
        <v>0</v>
      </c>
      <c r="J197">
        <f>11.024*$J$123</f>
        <v>0</v>
      </c>
      <c r="K197">
        <f>-14.698*$K$123</f>
        <v>0</v>
      </c>
      <c r="L197">
        <f>-4.433*$L$123</f>
        <v>0</v>
      </c>
      <c r="M197">
        <f>0+D197+E197+G197+H197+I197+J197+K197+L197</f>
        <v>0</v>
      </c>
      <c r="N197">
        <f>0+D197+F197+G197+H197+I197+J197+K197+L197</f>
        <v>0</v>
      </c>
    </row>
    <row r="198" spans="3:14">
      <c r="C198" t="s">
        <v>52</v>
      </c>
      <c r="D198">
        <f>124.593*$D$123</f>
        <v>0</v>
      </c>
      <c r="E198">
        <f>281.251*$E$123</f>
        <v>0</v>
      </c>
      <c r="F198">
        <f>-83.751*$F$123</f>
        <v>0</v>
      </c>
      <c r="G198">
        <f>8.104*$G$123</f>
        <v>0</v>
      </c>
      <c r="H198">
        <f>0*$H$123</f>
        <v>0</v>
      </c>
      <c r="I198">
        <f>18.149*$I$123</f>
        <v>0</v>
      </c>
      <c r="J198">
        <f>10.894*$J$123</f>
        <v>0</v>
      </c>
      <c r="K198">
        <f>-14.526*$K$123</f>
        <v>0</v>
      </c>
      <c r="L198">
        <f>-4.524*$L$123</f>
        <v>0</v>
      </c>
      <c r="M198">
        <f>0+D198+E198+G198+H198+I198+J198+K198+L198</f>
        <v>0</v>
      </c>
      <c r="N198">
        <f>0+D198+F198+G198+H198+I198+J198+K198+L198</f>
        <v>0</v>
      </c>
    </row>
    <row r="199" spans="3:14">
      <c r="C199" t="s">
        <v>52</v>
      </c>
      <c r="D199">
        <f>139.283*$D$123</f>
        <v>0</v>
      </c>
      <c r="E199">
        <f>276.519*$E$123</f>
        <v>0</v>
      </c>
      <c r="F199">
        <f>-117.101*$F$123</f>
        <v>0</v>
      </c>
      <c r="G199">
        <f>16.971*$G$123</f>
        <v>0</v>
      </c>
      <c r="H199">
        <f>0*$H$123</f>
        <v>0</v>
      </c>
      <c r="I199">
        <f>19.381*$I$123</f>
        <v>0</v>
      </c>
      <c r="J199">
        <f>-21.737*$J$123</f>
        <v>0</v>
      </c>
      <c r="K199">
        <f>28.983*$K$123</f>
        <v>0</v>
      </c>
      <c r="L199">
        <f>3.649*$L$123</f>
        <v>0</v>
      </c>
      <c r="M199">
        <f>0+D199+E199+G199+H199+I199+J199+K199+L199</f>
        <v>0</v>
      </c>
      <c r="N199">
        <f>0+D199+F199+G199+H199+I199+J199+K199+L199</f>
        <v>0</v>
      </c>
    </row>
    <row r="200" spans="3:14">
      <c r="C200" t="s">
        <v>53</v>
      </c>
      <c r="D200">
        <f>162.578*$D$123</f>
        <v>0</v>
      </c>
      <c r="E200">
        <f>288.561*$E$123</f>
        <v>0</v>
      </c>
      <c r="F200">
        <f>-107.396*$F$123</f>
        <v>0</v>
      </c>
      <c r="G200">
        <f>17.587*$G$123</f>
        <v>0</v>
      </c>
      <c r="H200">
        <f>0*$H$123</f>
        <v>0</v>
      </c>
      <c r="I200">
        <f>21.271*$I$123</f>
        <v>0</v>
      </c>
      <c r="J200">
        <f>-22.706*$J$123</f>
        <v>0</v>
      </c>
      <c r="K200">
        <f>30.274*$K$123</f>
        <v>0</v>
      </c>
      <c r="L200">
        <f>3.896*$L$123</f>
        <v>0</v>
      </c>
      <c r="M200">
        <f>0+D200+E200+G200+H200+I200+J200+K200+L200</f>
        <v>0</v>
      </c>
      <c r="N200">
        <f>0+D200+F200+G200+H200+I200+J200+K200+L200</f>
        <v>0</v>
      </c>
    </row>
    <row r="201" spans="3:14">
      <c r="C201" t="s">
        <v>53</v>
      </c>
      <c r="D201">
        <f>155.95*$D$123</f>
        <v>0</v>
      </c>
      <c r="E201">
        <f>294.974*$E$123</f>
        <v>0</v>
      </c>
      <c r="F201">
        <f>-97.091*$F$123</f>
        <v>0</v>
      </c>
      <c r="G201">
        <f>17.137*$G$123</f>
        <v>0</v>
      </c>
      <c r="H201">
        <f>0*$H$123</f>
        <v>0</v>
      </c>
      <c r="I201">
        <f>22.277*$I$123</f>
        <v>0</v>
      </c>
      <c r="J201">
        <f>-29.325*$J$123</f>
        <v>0</v>
      </c>
      <c r="K201">
        <f>39.1*$K$123</f>
        <v>0</v>
      </c>
      <c r="L201">
        <f>4.057*$L$123</f>
        <v>0</v>
      </c>
      <c r="M201">
        <f>0+D201+E201+G201+H201+I201+J201+K201+L201</f>
        <v>0</v>
      </c>
      <c r="N201">
        <f>0+D201+F201+G201+H201+I201+J201+K201+L201</f>
        <v>0</v>
      </c>
    </row>
    <row r="202" spans="3:14">
      <c r="C202" t="s">
        <v>54</v>
      </c>
      <c r="D202">
        <f>179.489*$D$123</f>
        <v>0</v>
      </c>
      <c r="E202">
        <f>307.83*$E$123</f>
        <v>0</v>
      </c>
      <c r="F202">
        <f>-85.919*$F$123</f>
        <v>0</v>
      </c>
      <c r="G202">
        <f>17.506*$G$123</f>
        <v>0</v>
      </c>
      <c r="H202">
        <f>0*$H$123</f>
        <v>0</v>
      </c>
      <c r="I202">
        <f>24.21*$I$123</f>
        <v>0</v>
      </c>
      <c r="J202">
        <f>-29.228*$J$123</f>
        <v>0</v>
      </c>
      <c r="K202">
        <f>38.971*$K$123</f>
        <v>0</v>
      </c>
      <c r="L202">
        <f>4.765*$L$123</f>
        <v>0</v>
      </c>
      <c r="M202">
        <f>0+D202+E202+G202+H202+I202+J202+K202+L202</f>
        <v>0</v>
      </c>
      <c r="N202">
        <f>0+D202+F202+G202+H202+I202+J202+K202+L202</f>
        <v>0</v>
      </c>
    </row>
    <row r="203" spans="3:14">
      <c r="C203" t="s">
        <v>54</v>
      </c>
      <c r="D203">
        <f>180.406*$D$123</f>
        <v>0</v>
      </c>
      <c r="E203">
        <f>325.475*$E$123</f>
        <v>0</v>
      </c>
      <c r="F203">
        <f>-70.15*$F$123</f>
        <v>0</v>
      </c>
      <c r="G203">
        <f>17.607*$G$123</f>
        <v>0</v>
      </c>
      <c r="H203">
        <f>0*$H$123</f>
        <v>0</v>
      </c>
      <c r="I203">
        <f>26.309*$I$123</f>
        <v>0</v>
      </c>
      <c r="J203">
        <f>-29.293*$J$123</f>
        <v>0</v>
      </c>
      <c r="K203">
        <f>39.057*$K$123</f>
        <v>0</v>
      </c>
      <c r="L203">
        <f>5.883*$L$123</f>
        <v>0</v>
      </c>
      <c r="M203">
        <f>0+D203+E203+G203+H203+I203+J203+K203+L203</f>
        <v>0</v>
      </c>
      <c r="N203">
        <f>0+D203+F203+G203+H203+I203+J203+K203+L203</f>
        <v>0</v>
      </c>
    </row>
    <row r="204" spans="3:14">
      <c r="C204" t="s">
        <v>55</v>
      </c>
      <c r="D204">
        <f>204.319*$D$123</f>
        <v>0</v>
      </c>
      <c r="E204">
        <f>340.49*$E$123</f>
        <v>0</v>
      </c>
      <c r="F204">
        <f>-57.338*$F$123</f>
        <v>0</v>
      </c>
      <c r="G204">
        <f>17.795*$G$123</f>
        <v>0</v>
      </c>
      <c r="H204">
        <f>0*$H$123</f>
        <v>0</v>
      </c>
      <c r="I204">
        <f>28.306*$I$123</f>
        <v>0</v>
      </c>
      <c r="J204">
        <f>-29.018*$J$123</f>
        <v>0</v>
      </c>
      <c r="K204">
        <f>38.691*$K$123</f>
        <v>0</v>
      </c>
      <c r="L204">
        <f>7.239*$L$123</f>
        <v>0</v>
      </c>
      <c r="M204">
        <f>0+D204+E204+G204+H204+I204+J204+K204+L204</f>
        <v>0</v>
      </c>
      <c r="N204">
        <f>0+D204+F204+G204+H204+I204+J204+K204+L204</f>
        <v>0</v>
      </c>
    </row>
    <row r="205" spans="3:14">
      <c r="C205" t="s">
        <v>55</v>
      </c>
      <c r="D205">
        <f>206.907*$D$123</f>
        <v>0</v>
      </c>
      <c r="E205">
        <f>362.048*$E$123</f>
        <v>0</v>
      </c>
      <c r="F205">
        <f>-45.015*$F$123</f>
        <v>0</v>
      </c>
      <c r="G205">
        <f>17.937*$G$123</f>
        <v>0</v>
      </c>
      <c r="H205">
        <f>0*$H$123</f>
        <v>0</v>
      </c>
      <c r="I205">
        <f>30.65*$I$123</f>
        <v>0</v>
      </c>
      <c r="J205">
        <f>-29.259*$J$123</f>
        <v>0</v>
      </c>
      <c r="K205">
        <f>39.013*$K$123</f>
        <v>0</v>
      </c>
      <c r="L205">
        <f>9.434*$L$123</f>
        <v>0</v>
      </c>
      <c r="M205">
        <f>0+D205+E205+G205+H205+I205+J205+K205+L205</f>
        <v>0</v>
      </c>
      <c r="N205">
        <f>0+D205+F205+G205+H205+I205+J205+K205+L205</f>
        <v>0</v>
      </c>
    </row>
    <row r="206" spans="3:14">
      <c r="C206" t="s">
        <v>56</v>
      </c>
      <c r="D206">
        <f>231.557*$D$123</f>
        <v>0</v>
      </c>
      <c r="E206">
        <f>380.371*$E$123</f>
        <v>0</v>
      </c>
      <c r="F206">
        <f>-36.639*$F$123</f>
        <v>0</v>
      </c>
      <c r="G206">
        <f>18.145*$G$123</f>
        <v>0</v>
      </c>
      <c r="H206">
        <f>0*$H$123</f>
        <v>0</v>
      </c>
      <c r="I206">
        <f>32.747*$I$123</f>
        <v>0</v>
      </c>
      <c r="J206">
        <f>-31.203*$J$123</f>
        <v>0</v>
      </c>
      <c r="K206">
        <f>41.604*$K$123</f>
        <v>0</v>
      </c>
      <c r="L206">
        <f>12.15*$L$123</f>
        <v>0</v>
      </c>
      <c r="M206">
        <f>0+D206+E206+G206+H206+I206+J206+K206+L206</f>
        <v>0</v>
      </c>
      <c r="N206">
        <f>0+D206+F206+G206+H206+I206+J206+K206+L206</f>
        <v>0</v>
      </c>
    </row>
    <row r="207" spans="3:14">
      <c r="C207" t="s">
        <v>56</v>
      </c>
      <c r="D207">
        <f>236.015*$D$123</f>
        <v>0</v>
      </c>
      <c r="E207">
        <f>407.879*$E$123</f>
        <v>0</v>
      </c>
      <c r="F207">
        <f>-20.541*$F$123</f>
        <v>0</v>
      </c>
      <c r="G207">
        <f>18.294*$G$123</f>
        <v>0</v>
      </c>
      <c r="H207">
        <f>0*$H$123</f>
        <v>0</v>
      </c>
      <c r="I207">
        <f>35.346*$I$123</f>
        <v>0</v>
      </c>
      <c r="J207">
        <f>-34.307*$J$123</f>
        <v>0</v>
      </c>
      <c r="K207">
        <f>45.743*$K$123</f>
        <v>0</v>
      </c>
      <c r="L207">
        <f>16.325*$L$123</f>
        <v>0</v>
      </c>
      <c r="M207">
        <f>0+D207+E207+G207+H207+I207+J207+K207+L207</f>
        <v>0</v>
      </c>
      <c r="N207">
        <f>0+D207+F207+G207+H207+I207+J207+K207+L207</f>
        <v>0</v>
      </c>
    </row>
    <row r="208" spans="3:14">
      <c r="C208" t="s">
        <v>57</v>
      </c>
      <c r="D208">
        <f>262.011*$D$123</f>
        <v>0</v>
      </c>
      <c r="E208">
        <f>432.949*$E$123</f>
        <v>0</v>
      </c>
      <c r="F208">
        <f>-13.4*$F$123</f>
        <v>0</v>
      </c>
      <c r="G208">
        <f>18.506*$G$123</f>
        <v>0</v>
      </c>
      <c r="H208">
        <f>0*$H$123</f>
        <v>0</v>
      </c>
      <c r="I208">
        <f>37.626*$I$123</f>
        <v>0</v>
      </c>
      <c r="J208">
        <f>-41.891*$J$123</f>
        <v>0</v>
      </c>
      <c r="K208">
        <f>55.854*$K$123</f>
        <v>0</v>
      </c>
      <c r="L208">
        <f>21.858*$L$123</f>
        <v>0</v>
      </c>
      <c r="M208">
        <f>0+D208+E208+G208+H208+I208+J208+K208+L208</f>
        <v>0</v>
      </c>
      <c r="N208">
        <f>0+D208+F208+G208+H208+I208+J208+K208+L208</f>
        <v>0</v>
      </c>
    </row>
    <row r="209" spans="3:14">
      <c r="C209" t="s">
        <v>57</v>
      </c>
      <c r="D209">
        <f>-21.731*$D$123</f>
        <v>0</v>
      </c>
      <c r="E209">
        <f>15.094*$E$123</f>
        <v>0</v>
      </c>
      <c r="F209">
        <f>-219.067*$F$123</f>
        <v>0</v>
      </c>
      <c r="G209">
        <f>0.897*$G$123</f>
        <v>0</v>
      </c>
      <c r="H209">
        <f>0*$H$123</f>
        <v>0</v>
      </c>
      <c r="I209">
        <f>-2.425*$I$123</f>
        <v>0</v>
      </c>
      <c r="J209">
        <f>12.895*$J$123</f>
        <v>0</v>
      </c>
      <c r="K209">
        <f>-17.193*$K$123</f>
        <v>0</v>
      </c>
      <c r="L209">
        <f>-14.321*$L$123</f>
        <v>0</v>
      </c>
      <c r="M209">
        <f>0+D209+E209+G209+H209+I209+J209+K209+L209</f>
        <v>0</v>
      </c>
      <c r="N209">
        <f>0+D209+F209+G209+H209+I209+J209+K209+L209</f>
        <v>0</v>
      </c>
    </row>
    <row r="210" spans="3:14">
      <c r="C210" t="s">
        <v>58</v>
      </c>
      <c r="D210">
        <f>-9.979*$D$123</f>
        <v>0</v>
      </c>
      <c r="E210">
        <f>15.094*$E$123</f>
        <v>0</v>
      </c>
      <c r="F210">
        <f>-219.273*$F$123</f>
        <v>0</v>
      </c>
      <c r="G210">
        <f>0.897*$G$123</f>
        <v>0</v>
      </c>
      <c r="H210">
        <f>0*$H$123</f>
        <v>0</v>
      </c>
      <c r="I210">
        <f>-2.425*$I$123</f>
        <v>0</v>
      </c>
      <c r="J210">
        <f>12.895*$J$123</f>
        <v>0</v>
      </c>
      <c r="K210">
        <f>-17.193*$K$123</f>
        <v>0</v>
      </c>
      <c r="L210">
        <f>-14.321*$L$123</f>
        <v>0</v>
      </c>
      <c r="M210">
        <f>0+D210+E210+G210+H210+I210+J210+K210+L210</f>
        <v>0</v>
      </c>
      <c r="N210">
        <f>0+D210+F210+G210+H210+I210+J210+K210+L210</f>
        <v>0</v>
      </c>
    </row>
    <row r="211" spans="3:14">
      <c r="C211" t="s">
        <v>58</v>
      </c>
      <c r="D211">
        <f>9.449*$D$123</f>
        <v>0</v>
      </c>
      <c r="E211">
        <f>24.857*$E$123</f>
        <v>0</v>
      </c>
      <c r="F211">
        <f>-11.427*$F$123</f>
        <v>0</v>
      </c>
      <c r="G211">
        <f>-0.412*$G$123</f>
        <v>0</v>
      </c>
      <c r="H211">
        <f>0*$H$123</f>
        <v>0</v>
      </c>
      <c r="I211">
        <f>2.329*$I$123</f>
        <v>0</v>
      </c>
      <c r="J211">
        <f>0.281*$J$123</f>
        <v>0</v>
      </c>
      <c r="K211">
        <f>-0.375*$K$123</f>
        <v>0</v>
      </c>
      <c r="L211">
        <f>2.156*$L$123</f>
        <v>0</v>
      </c>
      <c r="M211">
        <f>0+D211+E211+G211+H211+I211+J211+K211+L211</f>
        <v>0</v>
      </c>
      <c r="N211">
        <f>0+D211+F211+G211+H211+I211+J211+K211+L211</f>
        <v>0</v>
      </c>
    </row>
    <row r="212" spans="3:14">
      <c r="C212" t="s">
        <v>59</v>
      </c>
      <c r="D212">
        <f>21.201*$D$123</f>
        <v>0</v>
      </c>
      <c r="E212">
        <f>24.857*$E$123</f>
        <v>0</v>
      </c>
      <c r="F212">
        <f>-11.427*$F$123</f>
        <v>0</v>
      </c>
      <c r="G212">
        <f>-0.412*$G$123</f>
        <v>0</v>
      </c>
      <c r="H212">
        <f>0*$H$123</f>
        <v>0</v>
      </c>
      <c r="I212">
        <f>2.329*$I$123</f>
        <v>0</v>
      </c>
      <c r="J212">
        <f>0.281*$J$123</f>
        <v>0</v>
      </c>
      <c r="K212">
        <f>-0.375*$K$123</f>
        <v>0</v>
      </c>
      <c r="L212">
        <f>2.156*$L$123</f>
        <v>0</v>
      </c>
      <c r="M212">
        <f>0+D212+E212+G212+H212+I212+J212+K212+L212</f>
        <v>0</v>
      </c>
      <c r="N212">
        <f>0+D212+F212+G212+H212+I212+J212+K212+L212</f>
        <v>0</v>
      </c>
    </row>
    <row r="213" spans="3:14">
      <c r="C213" t="s">
        <v>59</v>
      </c>
      <c r="D213">
        <f>-142.183*$D$123</f>
        <v>0</v>
      </c>
      <c r="E213">
        <f>12.771*$E$123</f>
        <v>0</v>
      </c>
      <c r="F213">
        <f>-338.502*$F$123</f>
        <v>0</v>
      </c>
      <c r="G213">
        <f>-4.449*$G$123</f>
        <v>0</v>
      </c>
      <c r="H213">
        <f>0*$H$123</f>
        <v>0</v>
      </c>
      <c r="I213">
        <f>-20.69*$I$123</f>
        <v>0</v>
      </c>
      <c r="J213">
        <f>67.921*$J$123</f>
        <v>0</v>
      </c>
      <c r="K213">
        <f>-90.561*$K$123</f>
        <v>0</v>
      </c>
      <c r="L213">
        <f>-118.18*$L$123</f>
        <v>0</v>
      </c>
      <c r="M213">
        <f>0+D213+E213+G213+H213+I213+J213+K213+L213</f>
        <v>0</v>
      </c>
      <c r="N213">
        <f>0+D213+F213+G213+H213+I213+J213+K213+L213</f>
        <v>0</v>
      </c>
    </row>
    <row r="214" spans="3:14">
      <c r="C214" t="s">
        <v>60</v>
      </c>
      <c r="D214">
        <f>-115.735*$D$123</f>
        <v>0</v>
      </c>
      <c r="E214">
        <f>20.259*$E$123</f>
        <v>0</v>
      </c>
      <c r="F214">
        <f>-309.045*$F$123</f>
        <v>0</v>
      </c>
      <c r="G214">
        <f>-4.272*$G$123</f>
        <v>0</v>
      </c>
      <c r="H214">
        <f>0*$H$123</f>
        <v>0</v>
      </c>
      <c r="I214">
        <f>-18.341*$I$123</f>
        <v>0</v>
      </c>
      <c r="J214">
        <f>59.685*$J$123</f>
        <v>0</v>
      </c>
      <c r="K214">
        <f>-79.579*$K$123</f>
        <v>0</v>
      </c>
      <c r="L214">
        <f>-111.105*$L$123</f>
        <v>0</v>
      </c>
      <c r="M214">
        <f>0+D214+E214+G214+H214+I214+J214+K214+L214</f>
        <v>0</v>
      </c>
      <c r="N214">
        <f>0+D214+F214+G214+H214+I214+J214+K214+L214</f>
        <v>0</v>
      </c>
    </row>
    <row r="215" spans="3:14">
      <c r="C215" t="s">
        <v>60</v>
      </c>
      <c r="D215">
        <f>-113.328*$D$123</f>
        <v>0</v>
      </c>
      <c r="E215">
        <f>31.158*$E$123</f>
        <v>0</v>
      </c>
      <c r="F215">
        <f>-280.052*$F$123</f>
        <v>0</v>
      </c>
      <c r="G215">
        <f>-4.35*$G$123</f>
        <v>0</v>
      </c>
      <c r="H215">
        <f>0*$H$123</f>
        <v>0</v>
      </c>
      <c r="I215">
        <f>-16.032*$I$123</f>
        <v>0</v>
      </c>
      <c r="J215">
        <f>51.152*$J$123</f>
        <v>0</v>
      </c>
      <c r="K215">
        <f>-68.203*$K$123</f>
        <v>0</v>
      </c>
      <c r="L215">
        <f>-103.394*$L$123</f>
        <v>0</v>
      </c>
      <c r="M215">
        <f>0+D215+E215+G215+H215+I215+J215+K215+L215</f>
        <v>0</v>
      </c>
      <c r="N215">
        <f>0+D215+F215+G215+H215+I215+J215+K215+L215</f>
        <v>0</v>
      </c>
    </row>
    <row r="216" spans="3:14">
      <c r="C216" t="s">
        <v>61</v>
      </c>
      <c r="D216">
        <f>-88.346*$D$123</f>
        <v>0</v>
      </c>
      <c r="E216">
        <f>40.101*$E$123</f>
        <v>0</v>
      </c>
      <c r="F216">
        <f>-256.784*$F$123</f>
        <v>0</v>
      </c>
      <c r="G216">
        <f>-4.162*$G$123</f>
        <v>0</v>
      </c>
      <c r="H216">
        <f>0*$H$123</f>
        <v>0</v>
      </c>
      <c r="I216">
        <f>-13.886*$I$123</f>
        <v>0</v>
      </c>
      <c r="J216">
        <f>48.853*$J$123</f>
        <v>0</v>
      </c>
      <c r="K216">
        <f>-65.138*$K$123</f>
        <v>0</v>
      </c>
      <c r="L216">
        <f>-93.663*$L$123</f>
        <v>0</v>
      </c>
      <c r="M216">
        <f>0+D216+E216+G216+H216+I216+J216+K216+L216</f>
        <v>0</v>
      </c>
      <c r="N216">
        <f>0+D216+F216+G216+H216+I216+J216+K216+L216</f>
        <v>0</v>
      </c>
    </row>
    <row r="217" spans="3:14">
      <c r="C217" t="s">
        <v>61</v>
      </c>
      <c r="D217">
        <f>-89.666*$D$123</f>
        <v>0</v>
      </c>
      <c r="E217">
        <f>61.146*$E$123</f>
        <v>0</v>
      </c>
      <c r="F217">
        <f>-238.777*$F$123</f>
        <v>0</v>
      </c>
      <c r="G217">
        <f>-4.336*$G$123</f>
        <v>0</v>
      </c>
      <c r="H217">
        <f>0*$H$123</f>
        <v>0</v>
      </c>
      <c r="I217">
        <f>-12.117*$I$123</f>
        <v>0</v>
      </c>
      <c r="J217">
        <f>37.3*$J$123</f>
        <v>0</v>
      </c>
      <c r="K217">
        <f>-49.733*$K$123</f>
        <v>0</v>
      </c>
      <c r="L217">
        <f>-87.812*$L$123</f>
        <v>0</v>
      </c>
      <c r="M217">
        <f>0+D217+E217+G217+H217+I217+J217+K217+L217</f>
        <v>0</v>
      </c>
      <c r="N217">
        <f>0+D217+F217+G217+H217+I217+J217+K217+L217</f>
        <v>0</v>
      </c>
    </row>
    <row r="218" spans="3:14">
      <c r="C218" t="s">
        <v>62</v>
      </c>
      <c r="D218">
        <f>-65.448*$D$123</f>
        <v>0</v>
      </c>
      <c r="E218">
        <f>70.748*$E$123</f>
        <v>0</v>
      </c>
      <c r="F218">
        <f>-219.877*$F$123</f>
        <v>0</v>
      </c>
      <c r="G218">
        <f>-4.149*$G$123</f>
        <v>0</v>
      </c>
      <c r="H218">
        <f>0*$H$123</f>
        <v>0</v>
      </c>
      <c r="I218">
        <f>-10.076*$I$123</f>
        <v>0</v>
      </c>
      <c r="J218">
        <f>37.342*$J$123</f>
        <v>0</v>
      </c>
      <c r="K218">
        <f>-49.789*$K$123</f>
        <v>0</v>
      </c>
      <c r="L218">
        <f>-77.761*$L$123</f>
        <v>0</v>
      </c>
      <c r="M218">
        <f>0+D218+E218+G218+H218+I218+J218+K218+L218</f>
        <v>0</v>
      </c>
      <c r="N218">
        <f>0+D218+F218+G218+H218+I218+J218+K218+L218</f>
        <v>0</v>
      </c>
    </row>
    <row r="219" spans="3:14">
      <c r="C219" t="s">
        <v>62</v>
      </c>
      <c r="D219">
        <f>-64.943*$D$123</f>
        <v>0</v>
      </c>
      <c r="E219">
        <f>89.98*$E$123</f>
        <v>0</v>
      </c>
      <c r="F219">
        <f>-199.771*$F$123</f>
        <v>0</v>
      </c>
      <c r="G219">
        <f>-4.116*$G$123</f>
        <v>0</v>
      </c>
      <c r="H219">
        <f>0*$H$123</f>
        <v>0</v>
      </c>
      <c r="I219">
        <f>-8.039*$I$123</f>
        <v>0</v>
      </c>
      <c r="J219">
        <f>38.198*$J$123</f>
        <v>0</v>
      </c>
      <c r="K219">
        <f>-50.93*$K$123</f>
        <v>0</v>
      </c>
      <c r="L219">
        <f>-69.167*$L$123</f>
        <v>0</v>
      </c>
      <c r="M219">
        <f>0+D219+E219+G219+H219+I219+J219+K219+L219</f>
        <v>0</v>
      </c>
      <c r="N219">
        <f>0+D219+F219+G219+H219+I219+J219+K219+L219</f>
        <v>0</v>
      </c>
    </row>
    <row r="220" spans="3:14">
      <c r="C220" t="s">
        <v>63</v>
      </c>
      <c r="D220">
        <f>-41.109*$D$123</f>
        <v>0</v>
      </c>
      <c r="E220">
        <f>105.093*$E$123</f>
        <v>0</v>
      </c>
      <c r="F220">
        <f>-183.207*$F$123</f>
        <v>0</v>
      </c>
      <c r="G220">
        <f>-3.761*$G$123</f>
        <v>0</v>
      </c>
      <c r="H220">
        <f>0*$H$123</f>
        <v>0</v>
      </c>
      <c r="I220">
        <f>-6.063*$I$123</f>
        <v>0</v>
      </c>
      <c r="J220">
        <f>37.86*$J$123</f>
        <v>0</v>
      </c>
      <c r="K220">
        <f>-50.481*$K$123</f>
        <v>0</v>
      </c>
      <c r="L220">
        <f>-58.928*$L$123</f>
        <v>0</v>
      </c>
      <c r="M220">
        <f>0+D220+E220+G220+H220+I220+J220+K220+L220</f>
        <v>0</v>
      </c>
      <c r="N220">
        <f>0+D220+F220+G220+H220+I220+J220+K220+L220</f>
        <v>0</v>
      </c>
    </row>
    <row r="221" spans="3:14">
      <c r="C221" t="s">
        <v>63</v>
      </c>
      <c r="D221">
        <f>-41.003*$D$123</f>
        <v>0</v>
      </c>
      <c r="E221">
        <f>130.177*$E$123</f>
        <v>0</v>
      </c>
      <c r="F221">
        <f>-165.124*$F$123</f>
        <v>0</v>
      </c>
      <c r="G221">
        <f>-3.632*$G$123</f>
        <v>0</v>
      </c>
      <c r="H221">
        <f>0*$H$123</f>
        <v>0</v>
      </c>
      <c r="I221">
        <f>-4.08*$I$123</f>
        <v>0</v>
      </c>
      <c r="J221">
        <f>38.675*$J$123</f>
        <v>0</v>
      </c>
      <c r="K221">
        <f>-51.567*$K$123</f>
        <v>0</v>
      </c>
      <c r="L221">
        <f>-50.975*$L$123</f>
        <v>0</v>
      </c>
      <c r="M221">
        <f>0+D221+E221+G221+H221+I221+J221+K221+L221</f>
        <v>0</v>
      </c>
      <c r="N221">
        <f>0+D221+F221+G221+H221+I221+J221+K221+L221</f>
        <v>0</v>
      </c>
    </row>
    <row r="222" spans="3:14">
      <c r="C222" t="s">
        <v>64</v>
      </c>
      <c r="D222">
        <f>-17.472*$D$123</f>
        <v>0</v>
      </c>
      <c r="E222">
        <f>134.74*$E$123</f>
        <v>0</v>
      </c>
      <c r="F222">
        <f>-150.063*$F$123</f>
        <v>0</v>
      </c>
      <c r="G222">
        <f>-3.06*$G$123</f>
        <v>0</v>
      </c>
      <c r="H222">
        <f>0*$H$123</f>
        <v>0</v>
      </c>
      <c r="I222">
        <f>-2.154*$I$123</f>
        <v>0</v>
      </c>
      <c r="J222">
        <f>36.932*$J$123</f>
        <v>0</v>
      </c>
      <c r="K222">
        <f>-49.243*$K$123</f>
        <v>0</v>
      </c>
      <c r="L222">
        <f>-42.013*$L$123</f>
        <v>0</v>
      </c>
      <c r="M222">
        <f>0+D222+E222+G222+H222+I222+J222+K222+L222</f>
        <v>0</v>
      </c>
      <c r="N222">
        <f>0+D222+F222+G222+H222+I222+J222+K222+L222</f>
        <v>0</v>
      </c>
    </row>
    <row r="223" spans="3:14">
      <c r="C223" t="s">
        <v>64</v>
      </c>
      <c r="D223">
        <f>0.901*$D$123</f>
        <v>0</v>
      </c>
      <c r="E223">
        <f>131.896*$E$123</f>
        <v>0</v>
      </c>
      <c r="F223">
        <f>-154.067*$F$123</f>
        <v>0</v>
      </c>
      <c r="G223">
        <f>3.115*$G$123</f>
        <v>0</v>
      </c>
      <c r="H223">
        <f>0*$H$123</f>
        <v>0</v>
      </c>
      <c r="I223">
        <f>-0.233*$I$123</f>
        <v>0</v>
      </c>
      <c r="J223">
        <f>-26.848*$J$123</f>
        <v>0</v>
      </c>
      <c r="K223">
        <f>35.797*$K$123</f>
        <v>0</v>
      </c>
      <c r="L223">
        <f>34.473*$L$123</f>
        <v>0</v>
      </c>
      <c r="M223">
        <f>0+D223+E223+G223+H223+I223+J223+K223+L223</f>
        <v>0</v>
      </c>
      <c r="N223">
        <f>0+D223+F223+G223+H223+I223+J223+K223+L223</f>
        <v>0</v>
      </c>
    </row>
    <row r="224" spans="3:14">
      <c r="C224" t="s">
        <v>65</v>
      </c>
      <c r="D224">
        <f>26.538*$D$123</f>
        <v>0</v>
      </c>
      <c r="E224">
        <f>147.87*$E$123</f>
        <v>0</v>
      </c>
      <c r="F224">
        <f>-139.02*$F$123</f>
        <v>0</v>
      </c>
      <c r="G224">
        <f>3.676*$G$123</f>
        <v>0</v>
      </c>
      <c r="H224">
        <f>0*$H$123</f>
        <v>0</v>
      </c>
      <c r="I224">
        <f>1.858*$I$123</f>
        <v>0</v>
      </c>
      <c r="J224">
        <f>-28.524*$J$123</f>
        <v>0</v>
      </c>
      <c r="K224">
        <f>38.033*$K$123</f>
        <v>0</v>
      </c>
      <c r="L224">
        <f>44.036*$L$123</f>
        <v>0</v>
      </c>
      <c r="M224">
        <f>0+D224+E224+G224+H224+I224+J224+K224+L224</f>
        <v>0</v>
      </c>
      <c r="N224">
        <f>0+D224+F224+G224+H224+I224+J224+K224+L224</f>
        <v>0</v>
      </c>
    </row>
    <row r="225" spans="3:14">
      <c r="C225" t="s">
        <v>65</v>
      </c>
      <c r="D225">
        <f>26.35*$D$123</f>
        <v>0</v>
      </c>
      <c r="E225">
        <f>166.227*$E$123</f>
        <v>0</v>
      </c>
      <c r="F225">
        <f>-120.119*$F$123</f>
        <v>0</v>
      </c>
      <c r="G225">
        <f>3.793*$G$123</f>
        <v>0</v>
      </c>
      <c r="H225">
        <f>0*$H$123</f>
        <v>0</v>
      </c>
      <c r="I225">
        <f>3.996*$I$123</f>
        <v>0</v>
      </c>
      <c r="J225">
        <f>-27.646*$J$123</f>
        <v>0</v>
      </c>
      <c r="K225">
        <f>36.862*$K$123</f>
        <v>0</v>
      </c>
      <c r="L225">
        <f>52.571*$L$123</f>
        <v>0</v>
      </c>
      <c r="M225">
        <f>0+D225+E225+G225+H225+I225+J225+K225+L225</f>
        <v>0</v>
      </c>
      <c r="N225">
        <f>0+D225+F225+G225+H225+I225+J225+K225+L225</f>
        <v>0</v>
      </c>
    </row>
    <row r="226" spans="3:14">
      <c r="C226" t="s">
        <v>66</v>
      </c>
      <c r="D226">
        <f>52.033*$D$123</f>
        <v>0</v>
      </c>
      <c r="E226">
        <f>183.251*$E$123</f>
        <v>0</v>
      </c>
      <c r="F226">
        <f>-104.841*$F$123</f>
        <v>0</v>
      </c>
      <c r="G226">
        <f>4.093*$G$123</f>
        <v>0</v>
      </c>
      <c r="H226">
        <f>0*$H$123</f>
        <v>0</v>
      </c>
      <c r="I226">
        <f>6.103*$I$123</f>
        <v>0</v>
      </c>
      <c r="J226">
        <f>-27.967*$J$123</f>
        <v>0</v>
      </c>
      <c r="K226">
        <f>37.289*$K$123</f>
        <v>0</v>
      </c>
      <c r="L226">
        <f>63.086*$L$123</f>
        <v>0</v>
      </c>
      <c r="M226">
        <f>0+D226+E226+G226+H226+I226+J226+K226+L226</f>
        <v>0</v>
      </c>
      <c r="N226">
        <f>0+D226+F226+G226+H226+I226+J226+K226+L226</f>
        <v>0</v>
      </c>
    </row>
    <row r="227" spans="3:14">
      <c r="C227" t="s">
        <v>66</v>
      </c>
      <c r="D227">
        <f>51.917*$D$123</f>
        <v>0</v>
      </c>
      <c r="E227">
        <f>203.343*$E$123</f>
        <v>0</v>
      </c>
      <c r="F227">
        <f>-85.628*$F$123</f>
        <v>0</v>
      </c>
      <c r="G227">
        <f>4.055*$G$123</f>
        <v>0</v>
      </c>
      <c r="H227">
        <f>0*$H$123</f>
        <v>0</v>
      </c>
      <c r="I227">
        <f>8.255*$I$123</f>
        <v>0</v>
      </c>
      <c r="J227">
        <f>-27.266*$J$123</f>
        <v>0</v>
      </c>
      <c r="K227">
        <f>36.354*$K$123</f>
        <v>0</v>
      </c>
      <c r="L227">
        <f>71.514*$L$123</f>
        <v>0</v>
      </c>
      <c r="M227">
        <f>0+D227+E227+G227+H227+I227+J227+K227+L227</f>
        <v>0</v>
      </c>
      <c r="N227">
        <f>0+D227+F227+G227+H227+I227+J227+K227+L227</f>
        <v>0</v>
      </c>
    </row>
    <row r="228" spans="3:14">
      <c r="C228" t="s">
        <v>67</v>
      </c>
      <c r="D228">
        <f>77.681*$D$123</f>
        <v>0</v>
      </c>
      <c r="E228">
        <f>222.038*$E$123</f>
        <v>0</v>
      </c>
      <c r="F228">
        <f>-68.717*$F$123</f>
        <v>0</v>
      </c>
      <c r="G228">
        <f>4.131*$G$123</f>
        <v>0</v>
      </c>
      <c r="H228">
        <f>0*$H$123</f>
        <v>0</v>
      </c>
      <c r="I228">
        <f>10.389*$I$123</f>
        <v>0</v>
      </c>
      <c r="J228">
        <f>-27.82*$J$123</f>
        <v>0</v>
      </c>
      <c r="K228">
        <f>37.094*$K$123</f>
        <v>0</v>
      </c>
      <c r="L228">
        <f>80.947*$L$123</f>
        <v>0</v>
      </c>
      <c r="M228">
        <f>0+D228+E228+G228+H228+I228+J228+K228+L228</f>
        <v>0</v>
      </c>
      <c r="N228">
        <f>0+D228+F228+G228+H228+I228+J228+K228+L228</f>
        <v>0</v>
      </c>
    </row>
    <row r="229" spans="3:14">
      <c r="C229" t="s">
        <v>67</v>
      </c>
      <c r="D229">
        <f>73.471*$D$123</f>
        <v>0</v>
      </c>
      <c r="E229">
        <f>235.052*$E$123</f>
        <v>0</v>
      </c>
      <c r="F229">
        <f>-54.713*$F$123</f>
        <v>0</v>
      </c>
      <c r="G229">
        <f>3.76*$G$123</f>
        <v>0</v>
      </c>
      <c r="H229">
        <f>0*$H$123</f>
        <v>0</v>
      </c>
      <c r="I229">
        <f>11.934*$I$123</f>
        <v>0</v>
      </c>
      <c r="J229">
        <f>-44.389*$J$123</f>
        <v>0</v>
      </c>
      <c r="K229">
        <f>59.186*$K$123</f>
        <v>0</v>
      </c>
      <c r="L229">
        <f>83.769*$L$123</f>
        <v>0</v>
      </c>
      <c r="M229">
        <f>0+D229+E229+G229+H229+I229+J229+K229+L229</f>
        <v>0</v>
      </c>
      <c r="N229">
        <f>0+D229+F229+G229+H229+I229+J229+K229+L229</f>
        <v>0</v>
      </c>
    </row>
    <row r="230" spans="3:14">
      <c r="C230" t="s">
        <v>68</v>
      </c>
      <c r="D230">
        <f>99.389*$D$123</f>
        <v>0</v>
      </c>
      <c r="E230">
        <f>258.712*$E$123</f>
        <v>0</v>
      </c>
      <c r="F230">
        <f>-41.435*$F$123</f>
        <v>0</v>
      </c>
      <c r="G230">
        <f>3.735*$G$123</f>
        <v>0</v>
      </c>
      <c r="H230">
        <f>0*$H$123</f>
        <v>0</v>
      </c>
      <c r="I230">
        <f>14.097*$I$123</f>
        <v>0</v>
      </c>
      <c r="J230">
        <f>-48.995*$J$123</f>
        <v>0</v>
      </c>
      <c r="K230">
        <f>65.327*$K$123</f>
        <v>0</v>
      </c>
      <c r="L230">
        <f>91.265*$L$123</f>
        <v>0</v>
      </c>
      <c r="M230">
        <f>0+D230+E230+G230+H230+I230+J230+K230+L230</f>
        <v>0</v>
      </c>
      <c r="N230">
        <f>0+D230+F230+G230+H230+I230+J230+K230+L230</f>
        <v>0</v>
      </c>
    </row>
    <row r="231" spans="3:14">
      <c r="C231" t="s">
        <v>68</v>
      </c>
      <c r="D231">
        <f>101.767*$D$123</f>
        <v>0</v>
      </c>
      <c r="E231">
        <f>290.484*$E$123</f>
        <v>0</v>
      </c>
      <c r="F231">
        <f>-22.39*$F$123</f>
        <v>0</v>
      </c>
      <c r="G231">
        <f>3.478*$G$123</f>
        <v>0</v>
      </c>
      <c r="H231">
        <f>0*$H$123</f>
        <v>0</v>
      </c>
      <c r="I231">
        <f>16.644*$I$123</f>
        <v>0</v>
      </c>
      <c r="J231">
        <f>-54.812*$J$123</f>
        <v>0</v>
      </c>
      <c r="K231">
        <f>73.083*$K$123</f>
        <v>0</v>
      </c>
      <c r="L231">
        <f>97.264*$L$123</f>
        <v>0</v>
      </c>
      <c r="M231">
        <f>0+D231+E231+G231+H231+I231+J231+K231+L231</f>
        <v>0</v>
      </c>
      <c r="N231">
        <f>0+D231+F231+G231+H231+I231+J231+K231+L231</f>
        <v>0</v>
      </c>
    </row>
    <row r="232" spans="3:14">
      <c r="C232" t="s">
        <v>69</v>
      </c>
      <c r="D232">
        <f>127.867*$D$123</f>
        <v>0</v>
      </c>
      <c r="E232">
        <f>319.195*$E$123</f>
        <v>0</v>
      </c>
      <c r="F232">
        <f>-2.996*$F$123</f>
        <v>0</v>
      </c>
      <c r="G232">
        <f>3.426*$G$123</f>
        <v>0</v>
      </c>
      <c r="H232">
        <f>0*$H$123</f>
        <v>0</v>
      </c>
      <c r="I232">
        <f>18.835*$I$123</f>
        <v>0</v>
      </c>
      <c r="J232">
        <f>-61.032*$J$123</f>
        <v>0</v>
      </c>
      <c r="K232">
        <f>81.376*$K$123</f>
        <v>0</v>
      </c>
      <c r="L232">
        <f>101.995*$L$123</f>
        <v>0</v>
      </c>
      <c r="M232">
        <f>0+D232+E232+G232+H232+I232+J232+K232+L232</f>
        <v>0</v>
      </c>
      <c r="N232">
        <f>0+D232+F232+G232+H232+I232+J232+K232+L232</f>
        <v>0</v>
      </c>
    </row>
    <row r="237" spans="3:14">
      <c r="C237" t="s">
        <v>71</v>
      </c>
    </row>
    <row r="239" spans="3:14">
      <c r="C239" t="s">
        <v>2</v>
      </c>
    </row>
    <row r="240" spans="3:14">
      <c r="C240" t="s">
        <v>3</v>
      </c>
      <c r="D240" t="s">
        <v>4</v>
      </c>
      <c r="E240" t="s">
        <v>5</v>
      </c>
      <c r="F240" t="s">
        <v>6</v>
      </c>
      <c r="G240" t="s">
        <v>7</v>
      </c>
      <c r="H240" t="s">
        <v>8</v>
      </c>
      <c r="I240" t="s">
        <v>9</v>
      </c>
      <c r="J240" t="s">
        <v>10</v>
      </c>
      <c r="K240" t="s">
        <v>11</v>
      </c>
      <c r="L240" t="s">
        <v>12</v>
      </c>
      <c r="M240" t="s">
        <v>13</v>
      </c>
      <c r="N240" t="s">
        <v>14</v>
      </c>
    </row>
    <row r="241" spans="3:14">
      <c r="C241" t="s">
        <v>76</v>
      </c>
      <c r="D241">
        <f>-2.8163*$D$239</f>
        <v>0</v>
      </c>
      <c r="E241">
        <f>24.8262*$E$239</f>
        <v>0</v>
      </c>
      <c r="F241">
        <f>-29.4432*$F$239</f>
        <v>0</v>
      </c>
      <c r="G241">
        <f>-0.9056*$G$239</f>
        <v>0</v>
      </c>
      <c r="H241">
        <f>0*$H$239</f>
        <v>0</v>
      </c>
      <c r="I241">
        <f>-0.3824*$I$239</f>
        <v>0</v>
      </c>
      <c r="J241">
        <f>-60.7256*$J$239</f>
        <v>0</v>
      </c>
      <c r="K241">
        <f>80.9675*$K$239</f>
        <v>0</v>
      </c>
      <c r="L241">
        <f>0.0121*$L$239</f>
        <v>0</v>
      </c>
      <c r="M241">
        <f>0+D241+E241+G241+H241+I241+J241+K241+L241</f>
        <v>0</v>
      </c>
      <c r="N241">
        <f>0+D241+F241+G241+H241+I241+J241+K241+L241</f>
        <v>0</v>
      </c>
    </row>
    <row r="242" spans="3:14">
      <c r="C242" t="s">
        <v>16</v>
      </c>
      <c r="D242">
        <f>5.3586*$D$239</f>
        <v>0</v>
      </c>
      <c r="E242">
        <f>50.7763*$E$239</f>
        <v>0</v>
      </c>
      <c r="F242">
        <f>-50.8461*$F$239</f>
        <v>0</v>
      </c>
      <c r="G242">
        <f>2.9873*$G$239</f>
        <v>0</v>
      </c>
      <c r="H242">
        <f>0*$H$239</f>
        <v>0</v>
      </c>
      <c r="I242">
        <f>0.6647*$I$239</f>
        <v>0</v>
      </c>
      <c r="J242">
        <f>140.8493*$J$239</f>
        <v>0</v>
      </c>
      <c r="K242">
        <f>-187.7991*$K$239</f>
        <v>0</v>
      </c>
      <c r="L242">
        <f>0.0248*$L$239</f>
        <v>0</v>
      </c>
      <c r="M242">
        <f>0+D242+E242+G242+H242+I242+J242+K242+L242</f>
        <v>0</v>
      </c>
      <c r="N242">
        <f>0+D242+F242+G242+H242+I242+J242+K242+L242</f>
        <v>0</v>
      </c>
    </row>
    <row r="243" spans="3:14">
      <c r="C243" t="s">
        <v>16</v>
      </c>
      <c r="D243">
        <f>-5.7887*$D$239</f>
        <v>0</v>
      </c>
      <c r="E243">
        <f>41.1088*$E$239</f>
        <v>0</v>
      </c>
      <c r="F243">
        <f>-44.4144*$F$239</f>
        <v>0</v>
      </c>
      <c r="G243">
        <f>-2.1491*$G$239</f>
        <v>0</v>
      </c>
      <c r="H243">
        <f>0*$H$239</f>
        <v>0</v>
      </c>
      <c r="I243">
        <f>-0.6036*$I$239</f>
        <v>0</v>
      </c>
      <c r="J243">
        <f>7.9559*$J$239</f>
        <v>0</v>
      </c>
      <c r="K243">
        <f>-10.6078*$K$239</f>
        <v>0</v>
      </c>
      <c r="L243">
        <f>-0.0028*$L$239</f>
        <v>0</v>
      </c>
      <c r="M243">
        <f>0+D243+E243+G243+H243+I243+J243+K243+L243</f>
        <v>0</v>
      </c>
      <c r="N243">
        <f>0+D243+F243+G243+H243+I243+J243+K243+L243</f>
        <v>0</v>
      </c>
    </row>
    <row r="244" spans="3:14">
      <c r="C244" t="s">
        <v>17</v>
      </c>
      <c r="D244">
        <f>4.3362*$D$239</f>
        <v>0</v>
      </c>
      <c r="E244">
        <f>41.7389*$E$239</f>
        <v>0</v>
      </c>
      <c r="F244">
        <f>-33.4316*$F$239</f>
        <v>0</v>
      </c>
      <c r="G244">
        <f>1.6788*$G$239</f>
        <v>0</v>
      </c>
      <c r="H244">
        <f>0*$H$239</f>
        <v>0</v>
      </c>
      <c r="I244">
        <f>0.6151*$I$239</f>
        <v>0</v>
      </c>
      <c r="J244">
        <f>74.4276*$J$239</f>
        <v>0</v>
      </c>
      <c r="K244">
        <f>-99.2368*$K$239</f>
        <v>0</v>
      </c>
      <c r="L244">
        <f>0.0171*$L$239</f>
        <v>0</v>
      </c>
      <c r="M244">
        <f>0+D244+E244+G244+H244+I244+J244+K244+L244</f>
        <v>0</v>
      </c>
      <c r="N244">
        <f>0+D244+F244+G244+H244+I244+J244+K244+L244</f>
        <v>0</v>
      </c>
    </row>
    <row r="245" spans="3:14">
      <c r="C245" t="s">
        <v>17</v>
      </c>
      <c r="D245">
        <f>-11.3005*$D$239</f>
        <v>0</v>
      </c>
      <c r="E245">
        <f>80.3795*$E$239</f>
        <v>0</v>
      </c>
      <c r="F245">
        <f>-86.9537*$F$239</f>
        <v>0</v>
      </c>
      <c r="G245">
        <f>-5.0236*$G$239</f>
        <v>0</v>
      </c>
      <c r="H245">
        <f>0*$H$239</f>
        <v>0</v>
      </c>
      <c r="I245">
        <f>-1.258*$I$239</f>
        <v>0</v>
      </c>
      <c r="J245">
        <f>-5.1709*$J$239</f>
        <v>0</v>
      </c>
      <c r="K245">
        <f>6.8945*$K$239</f>
        <v>0</v>
      </c>
      <c r="L245">
        <f>-0.0055*$L$239</f>
        <v>0</v>
      </c>
      <c r="M245">
        <f>0+D245+E245+G245+H245+I245+J245+K245+L245</f>
        <v>0</v>
      </c>
      <c r="N245">
        <f>0+D245+F245+G245+H245+I245+J245+K245+L245</f>
        <v>0</v>
      </c>
    </row>
    <row r="246" spans="3:14">
      <c r="C246" t="s">
        <v>18</v>
      </c>
      <c r="D246">
        <f>3.0543*$D$239</f>
        <v>0</v>
      </c>
      <c r="E246">
        <f>61.7014*$E$239</f>
        <v>0</v>
      </c>
      <c r="F246">
        <f>-54.3224*$F$239</f>
        <v>0</v>
      </c>
      <c r="G246">
        <f>0.1725*$G$239</f>
        <v>0</v>
      </c>
      <c r="H246">
        <f>0*$H$239</f>
        <v>0</v>
      </c>
      <c r="I246">
        <f>0.503*$I$239</f>
        <v>0</v>
      </c>
      <c r="J246">
        <f>34.0137*$J$239</f>
        <v>0</v>
      </c>
      <c r="K246">
        <f>-45.3517*$K$239</f>
        <v>0</v>
      </c>
      <c r="L246">
        <f>0.0158*$L$239</f>
        <v>0</v>
      </c>
      <c r="M246">
        <f>0+D246+E246+G246+H246+I246+J246+K246+L246</f>
        <v>0</v>
      </c>
      <c r="N246">
        <f>0+D246+F246+G246+H246+I246+J246+K246+L246</f>
        <v>0</v>
      </c>
    </row>
    <row r="247" spans="3:14">
      <c r="C247" t="s">
        <v>18</v>
      </c>
      <c r="D247">
        <f>-13.1646*$D$239</f>
        <v>0</v>
      </c>
      <c r="E247">
        <f>107.4298*$E$239</f>
        <v>0</v>
      </c>
      <c r="F247">
        <f>-115.3517*$F$239</f>
        <v>0</v>
      </c>
      <c r="G247">
        <f>-7.6749*$G$239</f>
        <v>0</v>
      </c>
      <c r="H247">
        <f>0*$H$239</f>
        <v>0</v>
      </c>
      <c r="I247">
        <f>-1.4053*$I$239</f>
        <v>0</v>
      </c>
      <c r="J247">
        <f>6.9459*$J$239</f>
        <v>0</v>
      </c>
      <c r="K247">
        <f>-9.2612*$K$239</f>
        <v>0</v>
      </c>
      <c r="L247">
        <f>-0.0067*$L$239</f>
        <v>0</v>
      </c>
      <c r="M247">
        <f>0+D247+E247+G247+H247+I247+J247+K247+L247</f>
        <v>0</v>
      </c>
      <c r="N247">
        <f>0+D247+F247+G247+H247+I247+J247+K247+L247</f>
        <v>0</v>
      </c>
    </row>
    <row r="248" spans="3:14">
      <c r="C248" t="s">
        <v>19</v>
      </c>
      <c r="D248">
        <f>1.9921*$D$239</f>
        <v>0</v>
      </c>
      <c r="E248">
        <f>80.6959*$E$239</f>
        <v>0</v>
      </c>
      <c r="F248">
        <f>-74.6532*$F$239</f>
        <v>0</v>
      </c>
      <c r="G248">
        <f>-1.384*$G$239</f>
        <v>0</v>
      </c>
      <c r="H248">
        <f>0*$H$239</f>
        <v>0</v>
      </c>
      <c r="I248">
        <f>0.4292*$I$239</f>
        <v>0</v>
      </c>
      <c r="J248">
        <f>19.434*$J$239</f>
        <v>0</v>
      </c>
      <c r="K248">
        <f>-25.912*$K$239</f>
        <v>0</v>
      </c>
      <c r="L248">
        <f>0.0144*$L$239</f>
        <v>0</v>
      </c>
      <c r="M248">
        <f>0+D248+E248+G248+H248+I248+J248+K248+L248</f>
        <v>0</v>
      </c>
      <c r="N248">
        <f>0+D248+F248+G248+H248+I248+J248+K248+L248</f>
        <v>0</v>
      </c>
    </row>
    <row r="249" spans="3:14">
      <c r="C249" t="s">
        <v>19</v>
      </c>
      <c r="D249">
        <f>-12.6317*$D$239</f>
        <v>0</v>
      </c>
      <c r="E249">
        <f>130.3623*$E$239</f>
        <v>0</v>
      </c>
      <c r="F249">
        <f>-139.7329*$F$239</f>
        <v>0</v>
      </c>
      <c r="G249">
        <f>-9.277*$G$239</f>
        <v>0</v>
      </c>
      <c r="H249">
        <f>0*$H$239</f>
        <v>0</v>
      </c>
      <c r="I249">
        <f>-1.265*$I$239</f>
        <v>0</v>
      </c>
      <c r="J249">
        <f>23.5754*$J$239</f>
        <v>0</v>
      </c>
      <c r="K249">
        <f>-31.4339*$K$239</f>
        <v>0</v>
      </c>
      <c r="L249">
        <f>-0.0114*$L$239</f>
        <v>0</v>
      </c>
      <c r="M249">
        <f>0+D249+E249+G249+H249+I249+J249+K249+L249</f>
        <v>0</v>
      </c>
      <c r="N249">
        <f>0+D249+F249+G249+H249+I249+J249+K249+L249</f>
        <v>0</v>
      </c>
    </row>
    <row r="250" spans="3:14">
      <c r="C250" t="s">
        <v>20</v>
      </c>
      <c r="D250">
        <f>-2.4728*$D$239</f>
        <v>0</v>
      </c>
      <c r="E250">
        <f>94.1377*$E$239</f>
        <v>0</v>
      </c>
      <c r="F250">
        <f>-99.0965*$F$239</f>
        <v>0</v>
      </c>
      <c r="G250">
        <f>0.7837*$G$239</f>
        <v>0</v>
      </c>
      <c r="H250">
        <f>0*$H$239</f>
        <v>0</v>
      </c>
      <c r="I250">
        <f>-0.4351*$I$239</f>
        <v>0</v>
      </c>
      <c r="J250">
        <f>-19.6387*$J$239</f>
        <v>0</v>
      </c>
      <c r="K250">
        <f>26.1849*$K$239</f>
        <v>0</v>
      </c>
      <c r="L250">
        <f>0.0016*$L$239</f>
        <v>0</v>
      </c>
      <c r="M250">
        <f>0+D250+E250+G250+H250+I250+J250+K250+L250</f>
        <v>0</v>
      </c>
      <c r="N250">
        <f>0+D250+F250+G250+H250+I250+J250+K250+L250</f>
        <v>0</v>
      </c>
    </row>
    <row r="251" spans="3:14">
      <c r="C251" t="s">
        <v>20</v>
      </c>
      <c r="D251">
        <f>-18.4668*$D$239</f>
        <v>0</v>
      </c>
      <c r="E251">
        <f>108.3773*$E$239</f>
        <v>0</v>
      </c>
      <c r="F251">
        <f>-130.8664*$F$239</f>
        <v>0</v>
      </c>
      <c r="G251">
        <f>-3.3834*$G$239</f>
        <v>0</v>
      </c>
      <c r="H251">
        <f>0*$H$239</f>
        <v>0</v>
      </c>
      <c r="I251">
        <f>-2.5561*$I$239</f>
        <v>0</v>
      </c>
      <c r="J251">
        <f>-26.9257*$J$239</f>
        <v>0</v>
      </c>
      <c r="K251">
        <f>35.901*$K$239</f>
        <v>0</v>
      </c>
      <c r="L251">
        <f>0.000794*$L$239</f>
        <v>0</v>
      </c>
      <c r="M251">
        <f>0+D251+E251+G251+H251+I251+J251+K251+L251</f>
        <v>0</v>
      </c>
      <c r="N251">
        <f>0+D251+F251+G251+H251+I251+J251+K251+L251</f>
        <v>0</v>
      </c>
    </row>
    <row r="252" spans="3:14">
      <c r="C252" t="s">
        <v>21</v>
      </c>
      <c r="D252">
        <f>2.1925*$D$239</f>
        <v>0</v>
      </c>
      <c r="E252">
        <f>115.0699*$E$239</f>
        <v>0</v>
      </c>
      <c r="F252">
        <f>-108.2502*$F$239</f>
        <v>0</v>
      </c>
      <c r="G252">
        <f>-3.9047*$G$239</f>
        <v>0</v>
      </c>
      <c r="H252">
        <f>0*$H$239</f>
        <v>0</v>
      </c>
      <c r="I252">
        <f>0.5934*$I$239</f>
        <v>0</v>
      </c>
      <c r="J252">
        <f>35.0335*$J$239</f>
        <v>0</v>
      </c>
      <c r="K252">
        <f>-46.7114*$K$239</f>
        <v>0</v>
      </c>
      <c r="L252">
        <f>0.0145*$L$239</f>
        <v>0</v>
      </c>
      <c r="M252">
        <f>0+D252+E252+G252+H252+I252+J252+K252+L252</f>
        <v>0</v>
      </c>
      <c r="N252">
        <f>0+D252+F252+G252+H252+I252+J252+K252+L252</f>
        <v>0</v>
      </c>
    </row>
    <row r="253" spans="3:14">
      <c r="C253" t="s">
        <v>21</v>
      </c>
      <c r="D253">
        <f>-11.9544*$D$239</f>
        <v>0</v>
      </c>
      <c r="E253">
        <f>151.791*$E$239</f>
        <v>0</v>
      </c>
      <c r="F253">
        <f>-164.9314*$F$239</f>
        <v>0</v>
      </c>
      <c r="G253">
        <f>-5.9876*$G$239</f>
        <v>0</v>
      </c>
      <c r="H253">
        <f>0*$H$239</f>
        <v>0</v>
      </c>
      <c r="I253">
        <f>-1.3696*$I$239</f>
        <v>0</v>
      </c>
      <c r="J253">
        <f>-5.3121*$J$239</f>
        <v>0</v>
      </c>
      <c r="K253">
        <f>7.0827*$K$239</f>
        <v>0</v>
      </c>
      <c r="L253">
        <f>-0.0112*$L$239</f>
        <v>0</v>
      </c>
      <c r="M253">
        <f>0+D253+E253+G253+H253+I253+J253+K253+L253</f>
        <v>0</v>
      </c>
      <c r="N253">
        <f>0+D253+F253+G253+H253+I253+J253+K253+L253</f>
        <v>0</v>
      </c>
    </row>
    <row r="254" spans="3:14">
      <c r="C254" t="s">
        <v>22</v>
      </c>
      <c r="D254">
        <f>0.1619*$D$239</f>
        <v>0</v>
      </c>
      <c r="E254">
        <f>129.9396*$E$239</f>
        <v>0</v>
      </c>
      <c r="F254">
        <f>-126.817*$F$239</f>
        <v>0</v>
      </c>
      <c r="G254">
        <f>-2.8023*$G$239</f>
        <v>0</v>
      </c>
      <c r="H254">
        <f>0*$H$239</f>
        <v>0</v>
      </c>
      <c r="I254">
        <f>0.2396*$I$239</f>
        <v>0</v>
      </c>
      <c r="J254">
        <f>14.9447*$J$239</f>
        <v>0</v>
      </c>
      <c r="K254">
        <f>-19.9263*$K$239</f>
        <v>0</v>
      </c>
      <c r="L254">
        <f>0.0097*$L$239</f>
        <v>0</v>
      </c>
      <c r="M254">
        <f>0+D254+E254+G254+H254+I254+J254+K254+L254</f>
        <v>0</v>
      </c>
      <c r="N254">
        <f>0+D254+F254+G254+H254+I254+J254+K254+L254</f>
        <v>0</v>
      </c>
    </row>
    <row r="255" spans="3:14">
      <c r="C255" t="s">
        <v>22</v>
      </c>
      <c r="D255">
        <f>-9.0559*$D$239</f>
        <v>0</v>
      </c>
      <c r="E255">
        <f>166.899*$E$239</f>
        <v>0</v>
      </c>
      <c r="F255">
        <f>-177.2663*$F$239</f>
        <v>0</v>
      </c>
      <c r="G255">
        <f>-4.9727*$G$239</f>
        <v>0</v>
      </c>
      <c r="H255">
        <f>0*$H$239</f>
        <v>0</v>
      </c>
      <c r="I255">
        <f>-1.0032*$I$239</f>
        <v>0</v>
      </c>
      <c r="J255">
        <f>-7.5062*$J$239</f>
        <v>0</v>
      </c>
      <c r="K255">
        <f>10.0083*$K$239</f>
        <v>0</v>
      </c>
      <c r="L255">
        <f>-0.012*$L$239</f>
        <v>0</v>
      </c>
      <c r="M255">
        <f>0+D255+E255+G255+H255+I255+J255+K255+L255</f>
        <v>0</v>
      </c>
      <c r="N255">
        <f>0+D255+F255+G255+H255+I255+J255+K255+L255</f>
        <v>0</v>
      </c>
    </row>
    <row r="256" spans="3:14">
      <c r="C256" t="s">
        <v>23</v>
      </c>
      <c r="D256">
        <f>-2.4215*$D$239</f>
        <v>0</v>
      </c>
      <c r="E256">
        <f>134.4711*$E$239</f>
        <v>0</v>
      </c>
      <c r="F256">
        <f>-135.5405*$F$239</f>
        <v>0</v>
      </c>
      <c r="G256">
        <f>-1.7404*$G$239</f>
        <v>0</v>
      </c>
      <c r="H256">
        <f>0*$H$239</f>
        <v>0</v>
      </c>
      <c r="I256">
        <f>-0.2071*$I$239</f>
        <v>0</v>
      </c>
      <c r="J256">
        <f>3.3677*$J$239</f>
        <v>0</v>
      </c>
      <c r="K256">
        <f>-4.4903*$K$239</f>
        <v>0</v>
      </c>
      <c r="L256">
        <f>0.009*$L$239</f>
        <v>0</v>
      </c>
      <c r="M256">
        <f>0+D256+E256+G256+H256+I256+J256+K256+L256</f>
        <v>0</v>
      </c>
      <c r="N256">
        <f>0+D256+F256+G256+H256+I256+J256+K256+L256</f>
        <v>0</v>
      </c>
    </row>
    <row r="257" spans="3:14">
      <c r="C257" t="s">
        <v>23</v>
      </c>
      <c r="D257">
        <f>-5.9291*$D$239</f>
        <v>0</v>
      </c>
      <c r="E257">
        <f>177.8583*$E$239</f>
        <v>0</v>
      </c>
      <c r="F257">
        <f>-183.9082*$F$239</f>
        <v>0</v>
      </c>
      <c r="G257">
        <f>-5.1523*$G$239</f>
        <v>0</v>
      </c>
      <c r="H257">
        <f>0*$H$239</f>
        <v>0</v>
      </c>
      <c r="I257">
        <f>-0.5278*$I$239</f>
        <v>0</v>
      </c>
      <c r="J257">
        <f>2.9272*$J$239</f>
        <v>0</v>
      </c>
      <c r="K257">
        <f>-3.903*$K$239</f>
        <v>0</v>
      </c>
      <c r="L257">
        <f>-0.0129*$L$239</f>
        <v>0</v>
      </c>
      <c r="M257">
        <f>0+D257+E257+G257+H257+I257+J257+K257+L257</f>
        <v>0</v>
      </c>
      <c r="N257">
        <f>0+D257+F257+G257+H257+I257+J257+K257+L257</f>
        <v>0</v>
      </c>
    </row>
    <row r="258" spans="3:14">
      <c r="C258" t="s">
        <v>24</v>
      </c>
      <c r="D258">
        <f>-5.2414*$D$239</f>
        <v>0</v>
      </c>
      <c r="E258">
        <f>133.4901*$E$239</f>
        <v>0</v>
      </c>
      <c r="F258">
        <f>-138.5815*$F$239</f>
        <v>0</v>
      </c>
      <c r="G258">
        <f>-1.7495*$G$239</f>
        <v>0</v>
      </c>
      <c r="H258">
        <f>0*$H$239</f>
        <v>0</v>
      </c>
      <c r="I258">
        <f>-0.6236*$I$239</f>
        <v>0</v>
      </c>
      <c r="J258">
        <f>6.3743*$J$239</f>
        <v>0</v>
      </c>
      <c r="K258">
        <f>-8.4991*$K$239</f>
        <v>0</v>
      </c>
      <c r="L258">
        <f>0.0084*$L$239</f>
        <v>0</v>
      </c>
      <c r="M258">
        <f>0+D258+E258+G258+H258+I258+J258+K258+L258</f>
        <v>0</v>
      </c>
      <c r="N258">
        <f>0+D258+F258+G258+H258+I258+J258+K258+L258</f>
        <v>0</v>
      </c>
    </row>
    <row r="259" spans="3:14">
      <c r="C259" t="s">
        <v>24</v>
      </c>
      <c r="D259">
        <f>-3.2183*$D$239</f>
        <v>0</v>
      </c>
      <c r="E259">
        <f>183.3094*$E$239</f>
        <v>0</v>
      </c>
      <c r="F259">
        <f>-185.6443*$F$239</f>
        <v>0</v>
      </c>
      <c r="G259">
        <f>-5.66*$G$239</f>
        <v>0</v>
      </c>
      <c r="H259">
        <f>0*$H$239</f>
        <v>0</v>
      </c>
      <c r="I259">
        <f>-0.1063*$I$239</f>
        <v>0</v>
      </c>
      <c r="J259">
        <f>19.3442*$J$239</f>
        <v>0</v>
      </c>
      <c r="K259">
        <f>-25.7923*$K$239</f>
        <v>0</v>
      </c>
      <c r="L259">
        <f>-0.0182*$L$239</f>
        <v>0</v>
      </c>
      <c r="M259">
        <f>0+D259+E259+G259+H259+I259+J259+K259+L259</f>
        <v>0</v>
      </c>
      <c r="N259">
        <f>0+D259+F259+G259+H259+I259+J259+K259+L259</f>
        <v>0</v>
      </c>
    </row>
    <row r="260" spans="3:14">
      <c r="C260" t="s">
        <v>25</v>
      </c>
      <c r="D260">
        <f>-13.3973*$D$239</f>
        <v>0</v>
      </c>
      <c r="E260">
        <f>119.09*$E$239</f>
        <v>0</v>
      </c>
      <c r="F260">
        <f>-138.8385*$F$239</f>
        <v>0</v>
      </c>
      <c r="G260">
        <f>3.4374*$G$239</f>
        <v>0</v>
      </c>
      <c r="H260">
        <f>0*$H$239</f>
        <v>0</v>
      </c>
      <c r="I260">
        <f>-2.2274*$I$239</f>
        <v>0</v>
      </c>
      <c r="J260">
        <f>4.8378*$J$239</f>
        <v>0</v>
      </c>
      <c r="K260">
        <f>-6.4505*$K$239</f>
        <v>0</v>
      </c>
      <c r="L260">
        <f>-0.0069*$L$239</f>
        <v>0</v>
      </c>
      <c r="M260">
        <f>0+D260+E260+G260+H260+I260+J260+K260+L260</f>
        <v>0</v>
      </c>
      <c r="N260">
        <f>0+D260+F260+G260+H260+I260+J260+K260+L260</f>
        <v>0</v>
      </c>
    </row>
    <row r="261" spans="3:14">
      <c r="C261" t="s">
        <v>25</v>
      </c>
      <c r="D261">
        <f>-9.5235*$D$239</f>
        <v>0</v>
      </c>
      <c r="E261">
        <f>162.6152*$E$239</f>
        <v>0</v>
      </c>
      <c r="F261">
        <f>-175.8766*$F$239</f>
        <v>0</v>
      </c>
      <c r="G261">
        <f>3.2987*$G$239</f>
        <v>0</v>
      </c>
      <c r="H261">
        <f>0*$H$239</f>
        <v>0</v>
      </c>
      <c r="I261">
        <f>-1.6673*$I$239</f>
        <v>0</v>
      </c>
      <c r="J261">
        <f>1.6216*$J$239</f>
        <v>0</v>
      </c>
      <c r="K261">
        <f>-2.1622*$K$239</f>
        <v>0</v>
      </c>
      <c r="L261">
        <f>-0.0018*$L$239</f>
        <v>0</v>
      </c>
      <c r="M261">
        <f>0+D261+E261+G261+H261+I261+J261+K261+L261</f>
        <v>0</v>
      </c>
      <c r="N261">
        <f>0+D261+F261+G261+H261+I261+J261+K261+L261</f>
        <v>0</v>
      </c>
    </row>
    <row r="262" spans="3:14">
      <c r="C262" t="s">
        <v>26</v>
      </c>
      <c r="D262">
        <f>-6.6912*$D$239</f>
        <v>0</v>
      </c>
      <c r="E262">
        <f>139.076*$E$239</f>
        <v>0</v>
      </c>
      <c r="F262">
        <f>-144.016*$F$239</f>
        <v>0</v>
      </c>
      <c r="G262">
        <f>-4.8955*$G$239</f>
        <v>0</v>
      </c>
      <c r="H262">
        <f>0*$H$239</f>
        <v>0</v>
      </c>
      <c r="I262">
        <f>-0.6537*$I$239</f>
        <v>0</v>
      </c>
      <c r="J262">
        <f>28.3625*$J$239</f>
        <v>0</v>
      </c>
      <c r="K262">
        <f>-37.8166*$K$239</f>
        <v>0</v>
      </c>
      <c r="L262">
        <f>0.0112*$L$239</f>
        <v>0</v>
      </c>
      <c r="M262">
        <f>0+D262+E262+G262+H262+I262+J262+K262+L262</f>
        <v>0</v>
      </c>
      <c r="N262">
        <f>0+D262+F262+G262+H262+I262+J262+K262+L262</f>
        <v>0</v>
      </c>
    </row>
    <row r="263" spans="3:14">
      <c r="C263" t="s">
        <v>26</v>
      </c>
      <c r="D263">
        <f>-2.5994*$D$239</f>
        <v>0</v>
      </c>
      <c r="E263">
        <f>177.3584*$E$239</f>
        <v>0</v>
      </c>
      <c r="F263">
        <f>-180.1614*$F$239</f>
        <v>0</v>
      </c>
      <c r="G263">
        <f>-1.7956*$G$239</f>
        <v>0</v>
      </c>
      <c r="H263">
        <f>0*$H$239</f>
        <v>0</v>
      </c>
      <c r="I263">
        <f>-0.2437*$I$239</f>
        <v>0</v>
      </c>
      <c r="J263">
        <f>4.4353*$J$239</f>
        <v>0</v>
      </c>
      <c r="K263">
        <f>-5.9137*$K$239</f>
        <v>0</v>
      </c>
      <c r="L263">
        <f>-0.0154*$L$239</f>
        <v>0</v>
      </c>
      <c r="M263">
        <f>0+D263+E263+G263+H263+I263+J263+K263+L263</f>
        <v>0</v>
      </c>
      <c r="N263">
        <f>0+D263+F263+G263+H263+I263+J263+K263+L263</f>
        <v>0</v>
      </c>
    </row>
    <row r="264" spans="3:14">
      <c r="C264" t="s">
        <v>27</v>
      </c>
      <c r="D264">
        <f>-9.8484*$D$239</f>
        <v>0</v>
      </c>
      <c r="E264">
        <f>133.8134*$E$239</f>
        <v>0</v>
      </c>
      <c r="F264">
        <f>-143.5209*$F$239</f>
        <v>0</v>
      </c>
      <c r="G264">
        <f>-3.9605*$G$239</f>
        <v>0</v>
      </c>
      <c r="H264">
        <f>0*$H$239</f>
        <v>0</v>
      </c>
      <c r="I264">
        <f>-1.1677*$I$239</f>
        <v>0</v>
      </c>
      <c r="J264">
        <f>15.7668*$J$239</f>
        <v>0</v>
      </c>
      <c r="K264">
        <f>-21.0224*$K$239</f>
        <v>0</v>
      </c>
      <c r="L264">
        <f>0.0062*$L$239</f>
        <v>0</v>
      </c>
      <c r="M264">
        <f>0+D264+E264+G264+H264+I264+J264+K264+L264</f>
        <v>0</v>
      </c>
      <c r="N264">
        <f>0+D264+F264+G264+H264+I264+J264+K264+L264</f>
        <v>0</v>
      </c>
    </row>
    <row r="265" spans="3:14">
      <c r="C265" t="s">
        <v>27</v>
      </c>
      <c r="D265">
        <f>-0.791*$D$239</f>
        <v>0</v>
      </c>
      <c r="E265">
        <f>176.7406*$E$239</f>
        <v>0</v>
      </c>
      <c r="F265">
        <f>-177.7902*$F$239</f>
        <v>0</v>
      </c>
      <c r="G265">
        <f>-1.6748*$G$239</f>
        <v>0</v>
      </c>
      <c r="H265">
        <f>0*$H$239</f>
        <v>0</v>
      </c>
      <c r="I265">
        <f>0.0225*$I$239</f>
        <v>0</v>
      </c>
      <c r="J265">
        <f>2.7514*$J$239</f>
        <v>0</v>
      </c>
      <c r="K265">
        <f>-3.6685*$K$239</f>
        <v>0</v>
      </c>
      <c r="L265">
        <f>-0.015*$L$239</f>
        <v>0</v>
      </c>
      <c r="M265">
        <f>0+D265+E265+G265+H265+I265+J265+K265+L265</f>
        <v>0</v>
      </c>
      <c r="N265">
        <f>0+D265+F265+G265+H265+I265+J265+K265+L265</f>
        <v>0</v>
      </c>
    </row>
    <row r="266" spans="3:14">
      <c r="C266" t="s">
        <v>28</v>
      </c>
      <c r="D266">
        <f>-13.1381*$D$239</f>
        <v>0</v>
      </c>
      <c r="E266">
        <f>123.0532*$E$239</f>
        <v>0</v>
      </c>
      <c r="F266">
        <f>-137.9137*$F$239</f>
        <v>0</v>
      </c>
      <c r="G266">
        <f>-3.2384*$G$239</f>
        <v>0</v>
      </c>
      <c r="H266">
        <f>0*$H$239</f>
        <v>0</v>
      </c>
      <c r="I266">
        <f>-1.7031*$I$239</f>
        <v>0</v>
      </c>
      <c r="J266">
        <f>9.5102*$J$239</f>
        <v>0</v>
      </c>
      <c r="K266">
        <f>-12.6802*$K$239</f>
        <v>0</v>
      </c>
      <c r="L266">
        <f>0.0062*$L$239</f>
        <v>0</v>
      </c>
      <c r="M266">
        <f>0+D266+E266+G266+H266+I266+J266+K266+L266</f>
        <v>0</v>
      </c>
      <c r="N266">
        <f>0+D266+F266+G266+H266+I266+J266+K266+L266</f>
        <v>0</v>
      </c>
    </row>
    <row r="267" spans="3:14">
      <c r="C267" t="s">
        <v>28</v>
      </c>
      <c r="D267">
        <f>0.1973*$D$239</f>
        <v>0</v>
      </c>
      <c r="E267">
        <f>170.8175*$E$239</f>
        <v>0</v>
      </c>
      <c r="F267">
        <f>-169.5436*$F$239</f>
        <v>0</v>
      </c>
      <c r="G267">
        <f>-2.8352*$G$239</f>
        <v>0</v>
      </c>
      <c r="H267">
        <f>0*$H$239</f>
        <v>0</v>
      </c>
      <c r="I267">
        <f>0.2516*$I$239</f>
        <v>0</v>
      </c>
      <c r="J267">
        <f>13.498*$J$239</f>
        <v>0</v>
      </c>
      <c r="K267">
        <f>-17.9974*$K$239</f>
        <v>0</v>
      </c>
      <c r="L267">
        <f>-0.0145*$L$239</f>
        <v>0</v>
      </c>
      <c r="M267">
        <f>0+D267+E267+G267+H267+I267+J267+K267+L267</f>
        <v>0</v>
      </c>
      <c r="N267">
        <f>0+D267+F267+G267+H267+I267+J267+K267+L267</f>
        <v>0</v>
      </c>
    </row>
    <row r="268" spans="3:14">
      <c r="C268" t="s">
        <v>29</v>
      </c>
      <c r="D268">
        <f>-16.1798*$D$239</f>
        <v>0</v>
      </c>
      <c r="E268">
        <f>107.6843*$E$239</f>
        <v>0</v>
      </c>
      <c r="F268">
        <f>-126.2481*$F$239</f>
        <v>0</v>
      </c>
      <c r="G268">
        <f>-3.6936*$G$239</f>
        <v>0</v>
      </c>
      <c r="H268">
        <f>0*$H$239</f>
        <v>0</v>
      </c>
      <c r="I268">
        <f>-2.1276*$I$239</f>
        <v>0</v>
      </c>
      <c r="J268">
        <f>14.8235*$J$239</f>
        <v>0</v>
      </c>
      <c r="K268">
        <f>-19.7647*$K$239</f>
        <v>0</v>
      </c>
      <c r="L268">
        <f>0.0069*$L$239</f>
        <v>0</v>
      </c>
      <c r="M268">
        <f>0+D268+E268+G268+H268+I268+J268+K268+L268</f>
        <v>0</v>
      </c>
      <c r="N268">
        <f>0+D268+F268+G268+H268+I268+J268+K268+L268</f>
        <v>0</v>
      </c>
    </row>
    <row r="269" spans="3:14">
      <c r="C269" t="s">
        <v>29</v>
      </c>
      <c r="D269">
        <f>0.1649*$D$239</f>
        <v>0</v>
      </c>
      <c r="E269">
        <f>153.5297*$E$239</f>
        <v>0</v>
      </c>
      <c r="F269">
        <f>-150.9365*$F$239</f>
        <v>0</v>
      </c>
      <c r="G269">
        <f>-4.1604*$G$239</f>
        <v>0</v>
      </c>
      <c r="H269">
        <f>0*$H$239</f>
        <v>0</v>
      </c>
      <c r="I269">
        <f>0.3303*$I$239</f>
        <v>0</v>
      </c>
      <c r="J269">
        <f>31.1186*$J$239</f>
        <v>0</v>
      </c>
      <c r="K269">
        <f>-41.4914*$K$239</f>
        <v>0</v>
      </c>
      <c r="L269">
        <f>-0.0189*$L$239</f>
        <v>0</v>
      </c>
      <c r="M269">
        <f>0+D269+E269+G269+H269+I269+J269+K269+L269</f>
        <v>0</v>
      </c>
      <c r="N269">
        <f>0+D269+F269+G269+H269+I269+J269+K269+L269</f>
        <v>0</v>
      </c>
    </row>
    <row r="270" spans="3:14">
      <c r="C270" t="s">
        <v>30</v>
      </c>
      <c r="D270">
        <f>-18.0605*$D$239</f>
        <v>0</v>
      </c>
      <c r="E270">
        <f>68.0722*$E$239</f>
        <v>0</v>
      </c>
      <c r="F270">
        <f>-94.4351*$F$239</f>
        <v>0</v>
      </c>
      <c r="G270">
        <f>0.9908*$G$239</f>
        <v>0</v>
      </c>
      <c r="H270">
        <f>0*$H$239</f>
        <v>0</v>
      </c>
      <c r="I270">
        <f>-2.8072*$I$239</f>
        <v>0</v>
      </c>
      <c r="J270">
        <f>8.0723*$J$239</f>
        <v>0</v>
      </c>
      <c r="K270">
        <f>-10.7631*$K$239</f>
        <v>0</v>
      </c>
      <c r="L270">
        <f>-0.0077*$L$239</f>
        <v>0</v>
      </c>
      <c r="M270">
        <f>0+D270+E270+G270+H270+I270+J270+K270+L270</f>
        <v>0</v>
      </c>
      <c r="N270">
        <f>0+D270+F270+G270+H270+I270+J270+K270+L270</f>
        <v>0</v>
      </c>
    </row>
    <row r="271" spans="3:14">
      <c r="C271" t="s">
        <v>30</v>
      </c>
      <c r="D271">
        <f>3.1281*$D$239</f>
        <v>0</v>
      </c>
      <c r="E271">
        <f>139.5219*$E$239</f>
        <v>0</v>
      </c>
      <c r="F271">
        <f>-138.6503*$F$239</f>
        <v>0</v>
      </c>
      <c r="G271">
        <f>3.0299*$G$239</f>
        <v>0</v>
      </c>
      <c r="H271">
        <f>0*$H$239</f>
        <v>0</v>
      </c>
      <c r="I271">
        <f>0.1898*$I$239</f>
        <v>0</v>
      </c>
      <c r="J271">
        <f>-0.879*$J$239</f>
        <v>0</v>
      </c>
      <c r="K271">
        <f>1.172*$K$239</f>
        <v>0</v>
      </c>
      <c r="L271">
        <f>0.0014*$L$239</f>
        <v>0</v>
      </c>
      <c r="M271">
        <f>0+D271+E271+G271+H271+I271+J271+K271+L271</f>
        <v>0</v>
      </c>
      <c r="N271">
        <f>0+D271+F271+G271+H271+I271+J271+K271+L271</f>
        <v>0</v>
      </c>
    </row>
    <row r="272" spans="3:14">
      <c r="C272" t="s">
        <v>31</v>
      </c>
      <c r="D272">
        <f>-18.1562*$D$239</f>
        <v>0</v>
      </c>
      <c r="E272">
        <f>88.6028*$E$239</f>
        <v>0</v>
      </c>
      <c r="F272">
        <f>-106.1342*$F$239</f>
        <v>0</v>
      </c>
      <c r="G272">
        <f>-6.7105*$G$239</f>
        <v>0</v>
      </c>
      <c r="H272">
        <f>0*$H$239</f>
        <v>0</v>
      </c>
      <c r="I272">
        <f>-2.2193*$I$239</f>
        <v>0</v>
      </c>
      <c r="J272">
        <f>36.3289*$J$239</f>
        <v>0</v>
      </c>
      <c r="K272">
        <f>-48.4386*$K$239</f>
        <v>0</v>
      </c>
      <c r="L272">
        <f>0.0107*$L$239</f>
        <v>0</v>
      </c>
      <c r="M272">
        <f>0+D272+E272+G272+H272+I272+J272+K272+L272</f>
        <v>0</v>
      </c>
      <c r="N272">
        <f>0+D272+F272+G272+H272+I272+J272+K272+L272</f>
        <v>0</v>
      </c>
    </row>
    <row r="273" spans="3:14">
      <c r="C273" t="s">
        <v>31</v>
      </c>
      <c r="D273">
        <f>-2.0411*$D$239</f>
        <v>0</v>
      </c>
      <c r="E273">
        <f>116.0781*$E$239</f>
        <v>0</v>
      </c>
      <c r="F273">
        <f>-116.9051*$F$239</f>
        <v>0</v>
      </c>
      <c r="G273">
        <f>-1.8378*$G$239</f>
        <v>0</v>
      </c>
      <c r="H273">
        <f>0*$H$239</f>
        <v>0</v>
      </c>
      <c r="I273">
        <f>-0.1196*$I$239</f>
        <v>0</v>
      </c>
      <c r="J273">
        <f>16.0632*$J$239</f>
        <v>0</v>
      </c>
      <c r="K273">
        <f>-21.4176*$K$239</f>
        <v>0</v>
      </c>
      <c r="L273">
        <f>-0.0139*$L$239</f>
        <v>0</v>
      </c>
      <c r="M273">
        <f>0+D273+E273+G273+H273+I273+J273+K273+L273</f>
        <v>0</v>
      </c>
      <c r="N273">
        <f>0+D273+F273+G273+H273+I273+J273+K273+L273</f>
        <v>0</v>
      </c>
    </row>
    <row r="274" spans="3:14">
      <c r="C274" t="s">
        <v>32</v>
      </c>
      <c r="D274">
        <f>-18.9048*$D$239</f>
        <v>0</v>
      </c>
      <c r="E274">
        <f>68.1095*$E$239</f>
        <v>0</v>
      </c>
      <c r="F274">
        <f>-84.8067*$F$239</f>
        <v>0</v>
      </c>
      <c r="G274">
        <f>-5.6188*$G$239</f>
        <v>0</v>
      </c>
      <c r="H274">
        <f>0*$H$239</f>
        <v>0</v>
      </c>
      <c r="I274">
        <f>-2.3643*$I$239</f>
        <v>0</v>
      </c>
      <c r="J274">
        <f>21.3487*$J$239</f>
        <v>0</v>
      </c>
      <c r="K274">
        <f>-28.465*$K$239</f>
        <v>0</v>
      </c>
      <c r="L274">
        <f>0.0039*$L$239</f>
        <v>0</v>
      </c>
      <c r="M274">
        <f>0+D274+E274+G274+H274+I274+J274+K274+L274</f>
        <v>0</v>
      </c>
      <c r="N274">
        <f>0+D274+F274+G274+H274+I274+J274+K274+L274</f>
        <v>0</v>
      </c>
    </row>
    <row r="275" spans="3:14">
      <c r="C275" t="s">
        <v>32</v>
      </c>
      <c r="D275">
        <f>-5.3142*$D$239</f>
        <v>0</v>
      </c>
      <c r="E275">
        <f>97.2801*$E$239</f>
        <v>0</v>
      </c>
      <c r="F275">
        <f>-99.735*$F$239</f>
        <v>0</v>
      </c>
      <c r="G275">
        <f>-1.5576*$G$239</f>
        <v>0</v>
      </c>
      <c r="H275">
        <f>0*$H$239</f>
        <v>0</v>
      </c>
      <c r="I275">
        <f>-0.5749*$I$239</f>
        <v>0</v>
      </c>
      <c r="J275">
        <f>17.1589*$J$239</f>
        <v>0</v>
      </c>
      <c r="K275">
        <f>-22.8785*$K$239</f>
        <v>0</v>
      </c>
      <c r="L275">
        <f>-0.0155*$L$239</f>
        <v>0</v>
      </c>
      <c r="M275">
        <f>0+D275+E275+G275+H275+I275+J275+K275+L275</f>
        <v>0</v>
      </c>
      <c r="N275">
        <f>0+D275+F275+G275+H275+I275+J275+K275+L275</f>
        <v>0</v>
      </c>
    </row>
    <row r="276" spans="3:14">
      <c r="C276" t="s">
        <v>33</v>
      </c>
      <c r="D276">
        <f>-16.8076*$D$239</f>
        <v>0</v>
      </c>
      <c r="E276">
        <f>49.7165*$E$239</f>
        <v>0</v>
      </c>
      <c r="F276">
        <f>-63.7688*$F$239</f>
        <v>0</v>
      </c>
      <c r="G276">
        <f>-3.7332*$G$239</f>
        <v>0</v>
      </c>
      <c r="H276">
        <f>0*$H$239</f>
        <v>0</v>
      </c>
      <c r="I276">
        <f>-2.1571*$I$239</f>
        <v>0</v>
      </c>
      <c r="J276">
        <f>5.8886*$J$239</f>
        <v>0</v>
      </c>
      <c r="K276">
        <f>-7.8515*$K$239</f>
        <v>0</v>
      </c>
      <c r="L276">
        <f>0.0019*$L$239</f>
        <v>0</v>
      </c>
      <c r="M276">
        <f>0+D276+E276+G276+H276+I276+J276+K276+L276</f>
        <v>0</v>
      </c>
      <c r="N276">
        <f>0+D276+F276+G276+H276+I276+J276+K276+L276</f>
        <v>0</v>
      </c>
    </row>
    <row r="277" spans="3:14">
      <c r="C277" t="s">
        <v>33</v>
      </c>
      <c r="D277">
        <f>-10.3409*$D$239</f>
        <v>0</v>
      </c>
      <c r="E277">
        <f>69.849*$E$239</f>
        <v>0</v>
      </c>
      <c r="F277">
        <f>-77.7765*$F$239</f>
        <v>0</v>
      </c>
      <c r="G277">
        <f>-1.8249*$G$239</f>
        <v>0</v>
      </c>
      <c r="H277">
        <f>0*$H$239</f>
        <v>0</v>
      </c>
      <c r="I277">
        <f>-1.2423*$I$239</f>
        <v>0</v>
      </c>
      <c r="J277">
        <f>31.6956*$J$239</f>
        <v>0</v>
      </c>
      <c r="K277">
        <f>-42.2608*$K$239</f>
        <v>0</v>
      </c>
      <c r="L277">
        <f>-0.0181*$L$239</f>
        <v>0</v>
      </c>
      <c r="M277">
        <f>0+D277+E277+G277+H277+I277+J277+K277+L277</f>
        <v>0</v>
      </c>
      <c r="N277">
        <f>0+D277+F277+G277+H277+I277+J277+K277+L277</f>
        <v>0</v>
      </c>
    </row>
    <row r="278" spans="3:14">
      <c r="C278" t="s">
        <v>34</v>
      </c>
      <c r="D278">
        <f>-11.1399*$D$239</f>
        <v>0</v>
      </c>
      <c r="E278">
        <f>31.7248*$E$239</f>
        <v>0</v>
      </c>
      <c r="F278">
        <f>-41.8683*$F$239</f>
        <v>0</v>
      </c>
      <c r="G278">
        <f>-1.8902*$G$239</f>
        <v>0</v>
      </c>
      <c r="H278">
        <f>0*$H$239</f>
        <v>0</v>
      </c>
      <c r="I278">
        <f>-1.4388*$I$239</f>
        <v>0</v>
      </c>
      <c r="J278">
        <f>-4.9602*$J$239</f>
        <v>0</v>
      </c>
      <c r="K278">
        <f>6.6137*$K$239</f>
        <v>0</v>
      </c>
      <c r="L278">
        <f>0.000243*$L$239</f>
        <v>0</v>
      </c>
      <c r="M278">
        <f>0+D278+E278+G278+H278+I278+J278+K278+L278</f>
        <v>0</v>
      </c>
      <c r="N278">
        <f>0+D278+F278+G278+H278+I278+J278+K278+L278</f>
        <v>0</v>
      </c>
    </row>
    <row r="279" spans="3:14">
      <c r="C279" t="s">
        <v>34</v>
      </c>
      <c r="D279">
        <f>-15.9959*$D$239</f>
        <v>0</v>
      </c>
      <c r="E279">
        <f>23.4552*$E$239</f>
        <v>0</v>
      </c>
      <c r="F279">
        <f>-40.6607*$F$239</f>
        <v>0</v>
      </c>
      <c r="G279">
        <f>-1.9714*$G$239</f>
        <v>0</v>
      </c>
      <c r="H279">
        <f>0*$H$239</f>
        <v>0</v>
      </c>
      <c r="I279">
        <f>-2.0417*$I$239</f>
        <v>0</v>
      </c>
      <c r="J279">
        <f>50.5205*$J$239</f>
        <v>0</v>
      </c>
      <c r="K279">
        <f>-67.3606*$K$239</f>
        <v>0</v>
      </c>
      <c r="L279">
        <f>-0.0267*$L$239</f>
        <v>0</v>
      </c>
      <c r="M279">
        <f>0+D279+E279+G279+H279+I279+J279+K279+L279</f>
        <v>0</v>
      </c>
      <c r="N279">
        <f>0+D279+F279+G279+H279+I279+J279+K279+L279</f>
        <v>0</v>
      </c>
    </row>
    <row r="280" spans="3:14">
      <c r="C280" t="s">
        <v>35</v>
      </c>
      <c r="D280">
        <f>13.3624*$D$239</f>
        <v>0</v>
      </c>
      <c r="E280">
        <f>49.4484*$E$239</f>
        <v>0</v>
      </c>
      <c r="F280">
        <f>-36.9989*$F$239</f>
        <v>0</v>
      </c>
      <c r="G280">
        <f>2.813*$G$239</f>
        <v>0</v>
      </c>
      <c r="H280">
        <f>0*$H$239</f>
        <v>0</v>
      </c>
      <c r="I280">
        <f>1.6412*$I$239</f>
        <v>0</v>
      </c>
      <c r="J280">
        <f>-57.9336*$J$239</f>
        <v>0</v>
      </c>
      <c r="K280">
        <f>77.2448*$K$239</f>
        <v>0</v>
      </c>
      <c r="L280">
        <f>0.0006122*$L$239</f>
        <v>0</v>
      </c>
      <c r="M280">
        <f>0+D280+E280+G280+H280+I280+J280+K280+L280</f>
        <v>0</v>
      </c>
      <c r="N280">
        <f>0+D280+F280+G280+H280+I280+J280+K280+L280</f>
        <v>0</v>
      </c>
    </row>
    <row r="281" spans="3:14">
      <c r="C281" t="s">
        <v>35</v>
      </c>
      <c r="D281">
        <f>10.4635*$D$239</f>
        <v>0</v>
      </c>
      <c r="E281">
        <f>23.817*$E$239</f>
        <v>0</v>
      </c>
      <c r="F281">
        <f>-13.2694*$F$239</f>
        <v>0</v>
      </c>
      <c r="G281">
        <f>1.1585*$G$239</f>
        <v>0</v>
      </c>
      <c r="H281">
        <f>0*$H$239</f>
        <v>0</v>
      </c>
      <c r="I281">
        <f>1.381*$I$239</f>
        <v>0</v>
      </c>
      <c r="J281">
        <f>-24.3924*$J$239</f>
        <v>0</v>
      </c>
      <c r="K281">
        <f>32.5232*$K$239</f>
        <v>0</v>
      </c>
      <c r="L281">
        <f>0.0108*$L$239</f>
        <v>0</v>
      </c>
      <c r="M281">
        <f>0+D281+E281+G281+H281+I281+J281+K281+L281</f>
        <v>0</v>
      </c>
      <c r="N281">
        <f>0+D281+F281+G281+H281+I281+J281+K281+L281</f>
        <v>0</v>
      </c>
    </row>
    <row r="282" spans="3:14">
      <c r="C282" t="s">
        <v>36</v>
      </c>
      <c r="D282">
        <f>3.8851*$D$239</f>
        <v>0</v>
      </c>
      <c r="E282">
        <f>6.3292*$E$239</f>
        <v>0</v>
      </c>
      <c r="F282">
        <f>-3.4607*$F$239</f>
        <v>0</v>
      </c>
      <c r="G282">
        <f>0.5895*$G$239</f>
        <v>0</v>
      </c>
      <c r="H282">
        <f>0*$H$239</f>
        <v>0</v>
      </c>
      <c r="I282">
        <f>0.5048*$I$239</f>
        <v>0</v>
      </c>
      <c r="J282">
        <f>-16.8076*$J$239</f>
        <v>0</v>
      </c>
      <c r="K282">
        <f>22.4102*$K$239</f>
        <v>0</v>
      </c>
      <c r="L282">
        <f>0.0083*$L$239</f>
        <v>0</v>
      </c>
      <c r="M282">
        <f>0+D282+E282+G282+H282+I282+J282+K282+L282</f>
        <v>0</v>
      </c>
      <c r="N282">
        <f>0+D282+F282+G282+H282+I282+J282+K282+L282</f>
        <v>0</v>
      </c>
    </row>
    <row r="283" spans="3:14">
      <c r="C283" t="s">
        <v>36</v>
      </c>
      <c r="D283">
        <f>4.2477*$D$239</f>
        <v>0</v>
      </c>
      <c r="E283">
        <f>12.8801*$E$239</f>
        <v>0</v>
      </c>
      <c r="F283">
        <f>-9.4973*$F$239</f>
        <v>0</v>
      </c>
      <c r="G283">
        <f>0.4956*$G$239</f>
        <v>0</v>
      </c>
      <c r="H283">
        <f>0*$H$239</f>
        <v>0</v>
      </c>
      <c r="I283">
        <f>0.5627*$I$239</f>
        <v>0</v>
      </c>
      <c r="J283">
        <f>-17.842*$J$239</f>
        <v>0</v>
      </c>
      <c r="K283">
        <f>23.7894*$K$239</f>
        <v>0</v>
      </c>
      <c r="L283">
        <f>-0.253*$L$239</f>
        <v>0</v>
      </c>
      <c r="M283">
        <f>0+D283+E283+G283+H283+I283+J283+K283+L283</f>
        <v>0</v>
      </c>
      <c r="N283">
        <f>0+D283+F283+G283+H283+I283+J283+K283+L283</f>
        <v>0</v>
      </c>
    </row>
    <row r="284" spans="3:14">
      <c r="C284" t="s">
        <v>37</v>
      </c>
      <c r="D284">
        <f>10.6659*$D$239</f>
        <v>0</v>
      </c>
      <c r="E284">
        <f>25.0469*$E$239</f>
        <v>0</v>
      </c>
      <c r="F284">
        <f>-15.2386*$F$239</f>
        <v>0</v>
      </c>
      <c r="G284">
        <f>1.0915*$G$239</f>
        <v>0</v>
      </c>
      <c r="H284">
        <f>0*$H$239</f>
        <v>0</v>
      </c>
      <c r="I284">
        <f>1.4145*$I$239</f>
        <v>0</v>
      </c>
      <c r="J284">
        <f>-25.102*$J$239</f>
        <v>0</v>
      </c>
      <c r="K284">
        <f>33.4693*$K$239</f>
        <v>0</v>
      </c>
      <c r="L284">
        <f>-0.3014*$L$239</f>
        <v>0</v>
      </c>
      <c r="M284">
        <f>0+D284+E284+G284+H284+I284+J284+K284+L284</f>
        <v>0</v>
      </c>
      <c r="N284">
        <f>0+D284+F284+G284+H284+I284+J284+K284+L284</f>
        <v>0</v>
      </c>
    </row>
    <row r="285" spans="3:14">
      <c r="C285" t="s">
        <v>37</v>
      </c>
      <c r="D285">
        <f>14.8532*$D$239</f>
        <v>0</v>
      </c>
      <c r="E285">
        <f>27.6128*$E$239</f>
        <v>0</v>
      </c>
      <c r="F285">
        <f>-15.5907*$F$239</f>
        <v>0</v>
      </c>
      <c r="G285">
        <f>2.5711*$G$239</f>
        <v>0</v>
      </c>
      <c r="H285">
        <f>0*$H$239</f>
        <v>0</v>
      </c>
      <c r="I285">
        <f>1.8704*$I$239</f>
        <v>0</v>
      </c>
      <c r="J285">
        <f>-60.8176*$J$239</f>
        <v>0</v>
      </c>
      <c r="K285">
        <f>81.0902*$K$239</f>
        <v>0</v>
      </c>
      <c r="L285">
        <f>0.0815*$L$239</f>
        <v>0</v>
      </c>
      <c r="M285">
        <f>0+D285+E285+G285+H285+I285+J285+K285+L285</f>
        <v>0</v>
      </c>
      <c r="N285">
        <f>0+D285+F285+G285+H285+I285+J285+K285+L285</f>
        <v>0</v>
      </c>
    </row>
    <row r="286" spans="3:14">
      <c r="C286" t="s">
        <v>38</v>
      </c>
      <c r="D286">
        <f>-16.3277*$D$239</f>
        <v>0</v>
      </c>
      <c r="E286">
        <f>21.5934*$E$239</f>
        <v>0</v>
      </c>
      <c r="F286">
        <f>-33.5865*$F$239</f>
        <v>0</v>
      </c>
      <c r="G286">
        <f>-1.8701*$G$239</f>
        <v>0</v>
      </c>
      <c r="H286">
        <f>0*$H$239</f>
        <v>0</v>
      </c>
      <c r="I286">
        <f>-2.0947*$I$239</f>
        <v>0</v>
      </c>
      <c r="J286">
        <f>51.6504*$J$239</f>
        <v>0</v>
      </c>
      <c r="K286">
        <f>-68.8672*$K$239</f>
        <v>0</v>
      </c>
      <c r="L286">
        <f>0.4492*$L$239</f>
        <v>0</v>
      </c>
      <c r="M286">
        <f>0+D286+E286+G286+H286+I286+J286+K286+L286</f>
        <v>0</v>
      </c>
      <c r="N286">
        <f>0+D286+F286+G286+H286+I286+J286+K286+L286</f>
        <v>0</v>
      </c>
    </row>
    <row r="287" spans="3:14">
      <c r="C287" t="s">
        <v>38</v>
      </c>
      <c r="D287">
        <f>-10.2467*$D$239</f>
        <v>0</v>
      </c>
      <c r="E287">
        <f>35.5304*$E$239</f>
        <v>0</v>
      </c>
      <c r="F287">
        <f>-44.0653*$F$239</f>
        <v>0</v>
      </c>
      <c r="G287">
        <f>-2.0488*$G$239</f>
        <v>0</v>
      </c>
      <c r="H287">
        <f>0*$H$239</f>
        <v>0</v>
      </c>
      <c r="I287">
        <f>-1.3003*$I$239</f>
        <v>0</v>
      </c>
      <c r="J287">
        <f>-6.8911*$J$239</f>
        <v>0</v>
      </c>
      <c r="K287">
        <f>9.1882*$K$239</f>
        <v>0</v>
      </c>
      <c r="L287">
        <f>0.0822*$L$239</f>
        <v>0</v>
      </c>
      <c r="M287">
        <f>0+D287+E287+G287+H287+I287+J287+K287+L287</f>
        <v>0</v>
      </c>
      <c r="N287">
        <f>0+D287+F287+G287+H287+I287+J287+K287+L287</f>
        <v>0</v>
      </c>
    </row>
    <row r="288" spans="3:14">
      <c r="C288" t="s">
        <v>39</v>
      </c>
      <c r="D288">
        <f>-11.3296*$D$239</f>
        <v>0</v>
      </c>
      <c r="E288">
        <f>46.931*$E$239</f>
        <v>0</v>
      </c>
      <c r="F288">
        <f>-54.9588*$F$239</f>
        <v>0</v>
      </c>
      <c r="G288">
        <f>-1.7127*$G$239</f>
        <v>0</v>
      </c>
      <c r="H288">
        <f>0*$H$239</f>
        <v>0</v>
      </c>
      <c r="I288">
        <f>-1.3893*$I$239</f>
        <v>0</v>
      </c>
      <c r="J288">
        <f>33.1571*$J$239</f>
        <v>0</v>
      </c>
      <c r="K288">
        <f>-44.2095*$K$239</f>
        <v>0</v>
      </c>
      <c r="L288">
        <f>0.1761*$L$239</f>
        <v>0</v>
      </c>
      <c r="M288">
        <f>0+D288+E288+G288+H288+I288+J288+K288+L288</f>
        <v>0</v>
      </c>
      <c r="N288">
        <f>0+D288+F288+G288+H288+I288+J288+K288+L288</f>
        <v>0</v>
      </c>
    </row>
    <row r="289" spans="3:14">
      <c r="C289" t="s">
        <v>39</v>
      </c>
      <c r="D289">
        <f>-15.8225*$D$239</f>
        <v>0</v>
      </c>
      <c r="E289">
        <f>59.1423*$E$239</f>
        <v>0</v>
      </c>
      <c r="F289">
        <f>-72.8799*$F$239</f>
        <v>0</v>
      </c>
      <c r="G289">
        <f>-3.8813*$G$239</f>
        <v>0</v>
      </c>
      <c r="H289">
        <f>0*$H$239</f>
        <v>0</v>
      </c>
      <c r="I289">
        <f>-2.005*$I$239</f>
        <v>0</v>
      </c>
      <c r="J289">
        <f>3.943*$J$239</f>
        <v>0</v>
      </c>
      <c r="K289">
        <f>-5.2574*$K$239</f>
        <v>0</v>
      </c>
      <c r="L289">
        <f>0.0953*$L$239</f>
        <v>0</v>
      </c>
      <c r="M289">
        <f>0+D289+E289+G289+H289+I289+J289+K289+L289</f>
        <v>0</v>
      </c>
      <c r="N289">
        <f>0+D289+F289+G289+H289+I289+J289+K289+L289</f>
        <v>0</v>
      </c>
    </row>
    <row r="290" spans="3:14">
      <c r="C290" t="s">
        <v>40</v>
      </c>
      <c r="D290">
        <f>-6.1756*$D$239</f>
        <v>0</v>
      </c>
      <c r="E290">
        <f>72.391*$E$239</f>
        <v>0</v>
      </c>
      <c r="F290">
        <f>-74.5843*$F$239</f>
        <v>0</v>
      </c>
      <c r="G290">
        <f>-1.5073*$G$239</f>
        <v>0</v>
      </c>
      <c r="H290">
        <f>0*$H$239</f>
        <v>0</v>
      </c>
      <c r="I290">
        <f>-0.6983*$I$239</f>
        <v>0</v>
      </c>
      <c r="J290">
        <f>17.9692*$J$239</f>
        <v>0</v>
      </c>
      <c r="K290">
        <f>-23.9589*$K$239</f>
        <v>0</v>
      </c>
      <c r="L290">
        <f>-0.0443*$L$239</f>
        <v>0</v>
      </c>
      <c r="M290">
        <f>0+D290+E290+G290+H290+I290+J290+K290+L290</f>
        <v>0</v>
      </c>
      <c r="N290">
        <f>0+D290+F290+G290+H290+I290+J290+K290+L290</f>
        <v>0</v>
      </c>
    </row>
    <row r="291" spans="3:14">
      <c r="C291" t="s">
        <v>40</v>
      </c>
      <c r="D291">
        <f>-17.4722*$D$239</f>
        <v>0</v>
      </c>
      <c r="E291">
        <f>79.9423*$E$239</f>
        <v>0</v>
      </c>
      <c r="F291">
        <f>-95.1256*$F$239</f>
        <v>0</v>
      </c>
      <c r="G291">
        <f>-5.7898*$G$239</f>
        <v>0</v>
      </c>
      <c r="H291">
        <f>0*$H$239</f>
        <v>0</v>
      </c>
      <c r="I291">
        <f>-2.1456*$I$239</f>
        <v>0</v>
      </c>
      <c r="J291">
        <f>18.977*$J$239</f>
        <v>0</v>
      </c>
      <c r="K291">
        <f>-25.3027*$K$239</f>
        <v>0</v>
      </c>
      <c r="L291">
        <f>0.0151*$L$239</f>
        <v>0</v>
      </c>
      <c r="M291">
        <f>0+D291+E291+G291+H291+I291+J291+K291+L291</f>
        <v>0</v>
      </c>
      <c r="N291">
        <f>0+D291+F291+G291+H291+I291+J291+K291+L291</f>
        <v>0</v>
      </c>
    </row>
    <row r="292" spans="3:14">
      <c r="C292" t="s">
        <v>41</v>
      </c>
      <c r="D292">
        <f>-2.6264*$D$239</f>
        <v>0</v>
      </c>
      <c r="E292">
        <f>90.1261*$E$239</f>
        <v>0</v>
      </c>
      <c r="F292">
        <f>-89.2163*$F$239</f>
        <v>0</v>
      </c>
      <c r="G292">
        <f>-1.8605*$G$239</f>
        <v>0</v>
      </c>
      <c r="H292">
        <f>0*$H$239</f>
        <v>0</v>
      </c>
      <c r="I292">
        <f>-0.1973*$I$239</f>
        <v>0</v>
      </c>
      <c r="J292">
        <f>16.0679*$J$239</f>
        <v>0</v>
      </c>
      <c r="K292">
        <f>-21.4238*$K$239</f>
        <v>0</v>
      </c>
      <c r="L292">
        <f>-0.3029*$L$239</f>
        <v>0</v>
      </c>
      <c r="M292">
        <f>0+D292+E292+G292+H292+I292+J292+K292+L292</f>
        <v>0</v>
      </c>
      <c r="N292">
        <f>0+D292+F292+G292+H292+I292+J292+K292+L292</f>
        <v>0</v>
      </c>
    </row>
    <row r="293" spans="3:14">
      <c r="C293" t="s">
        <v>41</v>
      </c>
      <c r="D293">
        <f>-16.4335*$D$239</f>
        <v>0</v>
      </c>
      <c r="E293">
        <f>101.4739*$E$239</f>
        <v>0</v>
      </c>
      <c r="F293">
        <f>-116.3644*$F$239</f>
        <v>0</v>
      </c>
      <c r="G293">
        <f>-6.9229*$G$239</f>
        <v>0</v>
      </c>
      <c r="H293">
        <f>0*$H$239</f>
        <v>0</v>
      </c>
      <c r="I293">
        <f>-1.9555*$I$239</f>
        <v>0</v>
      </c>
      <c r="J293">
        <f>33.4418*$J$239</f>
        <v>0</v>
      </c>
      <c r="K293">
        <f>-44.5891*$K$239</f>
        <v>0</v>
      </c>
      <c r="L293">
        <f>-0.2892*$L$239</f>
        <v>0</v>
      </c>
      <c r="M293">
        <f>0+D293+E293+G293+H293+I293+J293+K293+L293</f>
        <v>0</v>
      </c>
      <c r="N293">
        <f>0+D293+F293+G293+H293+I293+J293+K293+L293</f>
        <v>0</v>
      </c>
    </row>
    <row r="294" spans="3:14">
      <c r="C294" t="s">
        <v>42</v>
      </c>
      <c r="D294">
        <f>3.1319*$D$239</f>
        <v>0</v>
      </c>
      <c r="E294">
        <f>111.9816*$E$239</f>
        <v>0</v>
      </c>
      <c r="F294">
        <f>-113.9829*$F$239</f>
        <v>0</v>
      </c>
      <c r="G294">
        <f>2.8144*$G$239</f>
        <v>0</v>
      </c>
      <c r="H294">
        <f>0*$H$239</f>
        <v>0</v>
      </c>
      <c r="I294">
        <f>0.2112*$I$239</f>
        <v>0</v>
      </c>
      <c r="J294">
        <f>-2.9386*$J$239</f>
        <v>0</v>
      </c>
      <c r="K294">
        <f>3.9181*$K$239</f>
        <v>0</v>
      </c>
      <c r="L294">
        <f>-1.2056*$L$239</f>
        <v>0</v>
      </c>
      <c r="M294">
        <f>0+D294+E294+G294+H294+I294+J294+K294+L294</f>
        <v>0</v>
      </c>
      <c r="N294">
        <f>0+D294+F294+G294+H294+I294+J294+K294+L294</f>
        <v>0</v>
      </c>
    </row>
    <row r="295" spans="3:14">
      <c r="C295" t="s">
        <v>42</v>
      </c>
      <c r="D295">
        <f>-15.0927*$D$239</f>
        <v>0</v>
      </c>
      <c r="E295">
        <f>78.205*$E$239</f>
        <v>0</v>
      </c>
      <c r="F295">
        <f>-101.9534*$F$239</f>
        <v>0</v>
      </c>
      <c r="G295">
        <f>0.6702*$G$239</f>
        <v>0</v>
      </c>
      <c r="H295">
        <f>0*$H$239</f>
        <v>0</v>
      </c>
      <c r="I295">
        <f>-2.3565*$I$239</f>
        <v>0</v>
      </c>
      <c r="J295">
        <f>3.6799*$J$239</f>
        <v>0</v>
      </c>
      <c r="K295">
        <f>-4.9066*$K$239</f>
        <v>0</v>
      </c>
      <c r="L295">
        <f>0.0656*$L$239</f>
        <v>0</v>
      </c>
      <c r="M295">
        <f>0+D295+E295+G295+H295+I295+J295+K295+L295</f>
        <v>0</v>
      </c>
      <c r="N295">
        <f>0+D295+F295+G295+H295+I295+J295+K295+L295</f>
        <v>0</v>
      </c>
    </row>
    <row r="296" spans="3:14">
      <c r="C296" t="s">
        <v>43</v>
      </c>
      <c r="D296">
        <f>-0.9201*$D$239</f>
        <v>0</v>
      </c>
      <c r="E296">
        <f>121.2896*$E$239</f>
        <v>0</v>
      </c>
      <c r="F296">
        <f>-117.1364*$F$239</f>
        <v>0</v>
      </c>
      <c r="G296">
        <f>-4.1368*$G$239</f>
        <v>0</v>
      </c>
      <c r="H296">
        <f>0*$H$239</f>
        <v>0</v>
      </c>
      <c r="I296">
        <f>0.1799*$I$239</f>
        <v>0</v>
      </c>
      <c r="J296">
        <f>31.8298*$J$239</f>
        <v>0</v>
      </c>
      <c r="K296">
        <f>-42.4398*$K$239</f>
        <v>0</v>
      </c>
      <c r="L296">
        <f>-0.5668*$L$239</f>
        <v>0</v>
      </c>
      <c r="M296">
        <f>0+D296+E296+G296+H296+I296+J296+K296+L296</f>
        <v>0</v>
      </c>
      <c r="N296">
        <f>0+D296+F296+G296+H296+I296+J296+K296+L296</f>
        <v>0</v>
      </c>
    </row>
    <row r="297" spans="3:14">
      <c r="C297" t="s">
        <v>43</v>
      </c>
      <c r="D297">
        <f>-14.163*$D$239</f>
        <v>0</v>
      </c>
      <c r="E297">
        <f>119.7199*$E$239</f>
        <v>0</v>
      </c>
      <c r="F297">
        <f>-135.8133*$F$239</f>
        <v>0</v>
      </c>
      <c r="G297">
        <f>-3.9299*$G$239</f>
        <v>0</v>
      </c>
      <c r="H297">
        <f>0*$H$239</f>
        <v>0</v>
      </c>
      <c r="I297">
        <f>-1.8193*$I$239</f>
        <v>0</v>
      </c>
      <c r="J297">
        <f>11.6438*$J$239</f>
        <v>0</v>
      </c>
      <c r="K297">
        <f>-15.5251*$K$239</f>
        <v>0</v>
      </c>
      <c r="L297">
        <f>-0.4182*$L$239</f>
        <v>0</v>
      </c>
      <c r="M297">
        <f>0+D297+E297+G297+H297+I297+J297+K297+L297</f>
        <v>0</v>
      </c>
      <c r="N297">
        <f>0+D297+F297+G297+H297+I297+J297+K297+L297</f>
        <v>0</v>
      </c>
    </row>
    <row r="298" spans="3:14">
      <c r="C298" t="s">
        <v>44</v>
      </c>
      <c r="D298">
        <f>-1.2183*$D$239</f>
        <v>0</v>
      </c>
      <c r="E298">
        <f>137.3571*$E$239</f>
        <v>0</v>
      </c>
      <c r="F298">
        <f>-135.9135*$F$239</f>
        <v>0</v>
      </c>
      <c r="G298">
        <f>-2.7755*$G$239</f>
        <v>0</v>
      </c>
      <c r="H298">
        <f>0*$H$239</f>
        <v>0</v>
      </c>
      <c r="I298">
        <f>0.0523*$I$239</f>
        <v>0</v>
      </c>
      <c r="J298">
        <f>14.7339*$J$239</f>
        <v>0</v>
      </c>
      <c r="K298">
        <f>-19.6452*$K$239</f>
        <v>0</v>
      </c>
      <c r="L298">
        <f>-0.9856*$L$239</f>
        <v>0</v>
      </c>
      <c r="M298">
        <f>0+D298+E298+G298+H298+I298+J298+K298+L298</f>
        <v>0</v>
      </c>
      <c r="N298">
        <f>0+D298+F298+G298+H298+I298+J298+K298+L298</f>
        <v>0</v>
      </c>
    </row>
    <row r="299" spans="3:14">
      <c r="C299" t="s">
        <v>44</v>
      </c>
      <c r="D299">
        <f>-11.5274*$D$239</f>
        <v>0</v>
      </c>
      <c r="E299">
        <f>134.3017*$E$239</f>
        <v>0</v>
      </c>
      <c r="F299">
        <f>-146.7426*$F$239</f>
        <v>0</v>
      </c>
      <c r="G299">
        <f>-3.4342*$G$239</f>
        <v>0</v>
      </c>
      <c r="H299">
        <f>0*$H$239</f>
        <v>0</v>
      </c>
      <c r="I299">
        <f>-1.4557*$I$239</f>
        <v>0</v>
      </c>
      <c r="J299">
        <f>6.9338*$J$239</f>
        <v>0</v>
      </c>
      <c r="K299">
        <f>-9.2451*$K$239</f>
        <v>0</v>
      </c>
      <c r="L299">
        <f>-0.5169*$L$239</f>
        <v>0</v>
      </c>
      <c r="M299">
        <f>0+D299+E299+G299+H299+I299+J299+K299+L299</f>
        <v>0</v>
      </c>
      <c r="N299">
        <f>0+D299+F299+G299+H299+I299+J299+K299+L299</f>
        <v>0</v>
      </c>
    </row>
    <row r="300" spans="3:14">
      <c r="C300" t="s">
        <v>45</v>
      </c>
      <c r="D300">
        <f>-2.5823*$D$239</f>
        <v>0</v>
      </c>
      <c r="E300">
        <f>141.8558*$E$239</f>
        <v>0</v>
      </c>
      <c r="F300">
        <f>-143.6945*$F$239</f>
        <v>0</v>
      </c>
      <c r="G300">
        <f>-1.5103*$G$239</f>
        <v>0</v>
      </c>
      <c r="H300">
        <f>0*$H$239</f>
        <v>0</v>
      </c>
      <c r="I300">
        <f>-0.2367*$I$239</f>
        <v>0</v>
      </c>
      <c r="J300">
        <f>5.1795*$J$239</f>
        <v>0</v>
      </c>
      <c r="K300">
        <f>-6.9059*$K$239</f>
        <v>0</v>
      </c>
      <c r="L300">
        <f>-1.206*$L$239</f>
        <v>0</v>
      </c>
      <c r="M300">
        <f>0+D300+E300+G300+H300+I300+J300+K300+L300</f>
        <v>0</v>
      </c>
      <c r="N300">
        <f>0+D300+F300+G300+H300+I300+J300+K300+L300</f>
        <v>0</v>
      </c>
    </row>
    <row r="301" spans="3:14">
      <c r="C301" t="s">
        <v>45</v>
      </c>
      <c r="D301">
        <f>-8.7065*$D$239</f>
        <v>0</v>
      </c>
      <c r="E301">
        <f>144.8282*$E$239</f>
        <v>0</v>
      </c>
      <c r="F301">
        <f>-152.3986*$F$239</f>
        <v>0</v>
      </c>
      <c r="G301">
        <f>-4.118*$G$239</f>
        <v>0</v>
      </c>
      <c r="H301">
        <f>0*$H$239</f>
        <v>0</v>
      </c>
      <c r="I301">
        <f>-0.9895*$I$239</f>
        <v>0</v>
      </c>
      <c r="J301">
        <f>13.7791*$J$239</f>
        <v>0</v>
      </c>
      <c r="K301">
        <f>-18.3721*$K$239</f>
        <v>0</v>
      </c>
      <c r="L301">
        <f>-0.636*$L$239</f>
        <v>0</v>
      </c>
      <c r="M301">
        <f>0+D301+E301+G301+H301+I301+J301+K301+L301</f>
        <v>0</v>
      </c>
      <c r="N301">
        <f>0+D301+F301+G301+H301+I301+J301+K301+L301</f>
        <v>0</v>
      </c>
    </row>
    <row r="302" spans="3:14">
      <c r="C302" t="s">
        <v>46</v>
      </c>
      <c r="D302">
        <f>-4.8293*$D$239</f>
        <v>0</v>
      </c>
      <c r="E302">
        <f>140.6866*$E$239</f>
        <v>0</v>
      </c>
      <c r="F302">
        <f>-145.9578*$F$239</f>
        <v>0</v>
      </c>
      <c r="G302">
        <f>-1.4588*$G$239</f>
        <v>0</v>
      </c>
      <c r="H302">
        <f>0*$H$239</f>
        <v>0</v>
      </c>
      <c r="I302">
        <f>-0.5762*$I$239</f>
        <v>0</v>
      </c>
      <c r="J302">
        <f>8.6763*$J$239</f>
        <v>0</v>
      </c>
      <c r="K302">
        <f>-11.5684*$K$239</f>
        <v>0</v>
      </c>
      <c r="L302">
        <f>-1.3817*$L$239</f>
        <v>0</v>
      </c>
      <c r="M302">
        <f>0+D302+E302+G302+H302+I302+J302+K302+L302</f>
        <v>0</v>
      </c>
      <c r="N302">
        <f>0+D302+F302+G302+H302+I302+J302+K302+L302</f>
        <v>0</v>
      </c>
    </row>
    <row r="303" spans="3:14">
      <c r="C303" t="s">
        <v>46</v>
      </c>
      <c r="D303">
        <f>-6.0629*$D$239</f>
        <v>0</v>
      </c>
      <c r="E303">
        <f>150.5279*$E$239</f>
        <v>0</v>
      </c>
      <c r="F303">
        <f>-153.7652*$F$239</f>
        <v>0</v>
      </c>
      <c r="G303">
        <f>-5.0226*$G$239</f>
        <v>0</v>
      </c>
      <c r="H303">
        <f>0*$H$239</f>
        <v>0</v>
      </c>
      <c r="I303">
        <f>-0.5502*$I$239</f>
        <v>0</v>
      </c>
      <c r="J303">
        <f>26.8816*$J$239</f>
        <v>0</v>
      </c>
      <c r="K303">
        <f>-35.8421*$K$239</f>
        <v>0</v>
      </c>
      <c r="L303">
        <f>-0.9823*$L$239</f>
        <v>0</v>
      </c>
      <c r="M303">
        <f>0+D303+E303+G303+H303+I303+J303+K303+L303</f>
        <v>0</v>
      </c>
      <c r="N303">
        <f>0+D303+F303+G303+H303+I303+J303+K303+L303</f>
        <v>0</v>
      </c>
    </row>
    <row r="304" spans="3:14">
      <c r="C304" t="s">
        <v>47</v>
      </c>
      <c r="D304">
        <f>-12.1557*$D$239</f>
        <v>0</v>
      </c>
      <c r="E304">
        <f>125.7054*$E$239</f>
        <v>0</v>
      </c>
      <c r="F304">
        <f>-144.7361*$F$239</f>
        <v>0</v>
      </c>
      <c r="G304">
        <f>4.0921*$G$239</f>
        <v>0</v>
      </c>
      <c r="H304">
        <f>0*$H$239</f>
        <v>0</v>
      </c>
      <c r="I304">
        <f>-2.0891*$I$239</f>
        <v>0</v>
      </c>
      <c r="J304">
        <f>10.4085*$J$239</f>
        <v>0</v>
      </c>
      <c r="K304">
        <f>-13.878*$K$239</f>
        <v>0</v>
      </c>
      <c r="L304">
        <f>-1.945*$L$239</f>
        <v>0</v>
      </c>
      <c r="M304">
        <f>0+D304+E304+G304+H304+I304+J304+K304+L304</f>
        <v>0</v>
      </c>
      <c r="N304">
        <f>0+D304+F304+G304+H304+I304+J304+K304+L304</f>
        <v>0</v>
      </c>
    </row>
    <row r="305" spans="3:14">
      <c r="C305" t="s">
        <v>47</v>
      </c>
      <c r="D305">
        <f>-12.5974*$D$239</f>
        <v>0</v>
      </c>
      <c r="E305">
        <f>130.0155*$E$239</f>
        <v>0</v>
      </c>
      <c r="F305">
        <f>-147.2521*$F$239</f>
        <v>0</v>
      </c>
      <c r="G305">
        <f>3.944*$G$239</f>
        <v>0</v>
      </c>
      <c r="H305">
        <f>0*$H$239</f>
        <v>0</v>
      </c>
      <c r="I305">
        <f>-2.1481*$I$239</f>
        <v>0</v>
      </c>
      <c r="J305">
        <f>9.6916*$J$239</f>
        <v>0</v>
      </c>
      <c r="K305">
        <f>-12.9221*$K$239</f>
        <v>0</v>
      </c>
      <c r="L305">
        <f>0.1907*$L$239</f>
        <v>0</v>
      </c>
      <c r="M305">
        <f>0+D305+E305+G305+H305+I305+J305+K305+L305</f>
        <v>0</v>
      </c>
      <c r="N305">
        <f>0+D305+F305+G305+H305+I305+J305+K305+L305</f>
        <v>0</v>
      </c>
    </row>
    <row r="306" spans="3:14">
      <c r="C306" t="s">
        <v>48</v>
      </c>
      <c r="D306">
        <f>-6.2111*$D$239</f>
        <v>0</v>
      </c>
      <c r="E306">
        <f>146.6258*$E$239</f>
        <v>0</v>
      </c>
      <c r="F306">
        <f>-151.7291*$F$239</f>
        <v>0</v>
      </c>
      <c r="G306">
        <f>-4.8262*$G$239</f>
        <v>0</v>
      </c>
      <c r="H306">
        <f>0*$H$239</f>
        <v>0</v>
      </c>
      <c r="I306">
        <f>-0.5798*$I$239</f>
        <v>0</v>
      </c>
      <c r="J306">
        <f>28.3429*$J$239</f>
        <v>0</v>
      </c>
      <c r="K306">
        <f>-37.7906*$K$239</f>
        <v>0</v>
      </c>
      <c r="L306">
        <f>-1.4505*$L$239</f>
        <v>0</v>
      </c>
      <c r="M306">
        <f>0+D306+E306+G306+H306+I306+J306+K306+L306</f>
        <v>0</v>
      </c>
      <c r="N306">
        <f>0+D306+F306+G306+H306+I306+J306+K306+L306</f>
        <v>0</v>
      </c>
    </row>
    <row r="307" spans="3:14">
      <c r="C307" t="s">
        <v>48</v>
      </c>
      <c r="D307">
        <f>-5.2318*$D$239</f>
        <v>0</v>
      </c>
      <c r="E307">
        <f>145.6397*$E$239</f>
        <v>0</v>
      </c>
      <c r="F307">
        <f>-149.6813*$F$239</f>
        <v>0</v>
      </c>
      <c r="G307">
        <f>-1.5578*$G$239</f>
        <v>0</v>
      </c>
      <c r="H307">
        <f>0*$H$239</f>
        <v>0</v>
      </c>
      <c r="I307">
        <f>-0.6313*$I$239</f>
        <v>0</v>
      </c>
      <c r="J307">
        <f>8.2675*$J$239</f>
        <v>0</v>
      </c>
      <c r="K307">
        <f>-11.0233*$K$239</f>
        <v>0</v>
      </c>
      <c r="L307">
        <f>-0.9321*$L$239</f>
        <v>0</v>
      </c>
      <c r="M307">
        <f>0+D307+E307+G307+H307+I307+J307+K307+L307</f>
        <v>0</v>
      </c>
      <c r="N307">
        <f>0+D307+F307+G307+H307+I307+J307+K307+L307</f>
        <v>0</v>
      </c>
    </row>
    <row r="308" spans="3:14">
      <c r="C308" t="s">
        <v>49</v>
      </c>
      <c r="D308">
        <f>-9.1704*$D$239</f>
        <v>0</v>
      </c>
      <c r="E308">
        <f>141.4792*$E$239</f>
        <v>0</v>
      </c>
      <c r="F308">
        <f>-151.2137*$F$239</f>
        <v>0</v>
      </c>
      <c r="G308">
        <f>-3.868*$G$239</f>
        <v>0</v>
      </c>
      <c r="H308">
        <f>0*$H$239</f>
        <v>0</v>
      </c>
      <c r="I308">
        <f>-1.0675*$I$239</f>
        <v>0</v>
      </c>
      <c r="J308">
        <f>15.8262*$J$239</f>
        <v>0</v>
      </c>
      <c r="K308">
        <f>-21.1016*$K$239</f>
        <v>0</v>
      </c>
      <c r="L308">
        <f>-1.6416*$L$239</f>
        <v>0</v>
      </c>
      <c r="M308">
        <f>0+D308+E308+G308+H308+I308+J308+K308+L308</f>
        <v>0</v>
      </c>
      <c r="N308">
        <f>0+D308+F308+G308+H308+I308+J308+K308+L308</f>
        <v>0</v>
      </c>
    </row>
    <row r="309" spans="3:14">
      <c r="C309" t="s">
        <v>49</v>
      </c>
      <c r="D309">
        <f>-2.9508*$D$239</f>
        <v>0</v>
      </c>
      <c r="E309">
        <f>147.4566*$E$239</f>
        <v>0</v>
      </c>
      <c r="F309">
        <f>-148.3813*$F$239</f>
        <v>0</v>
      </c>
      <c r="G309">
        <f>-1.5649*$G$239</f>
        <v>0</v>
      </c>
      <c r="H309">
        <f>0*$H$239</f>
        <v>0</v>
      </c>
      <c r="I309">
        <f>-0.2886*$I$239</f>
        <v>0</v>
      </c>
      <c r="J309">
        <f>5.0539*$J$239</f>
        <v>0</v>
      </c>
      <c r="K309">
        <f>-6.7385*$K$239</f>
        <v>0</v>
      </c>
      <c r="L309">
        <f>-1.1926*$L$239</f>
        <v>0</v>
      </c>
      <c r="M309">
        <f>0+D309+E309+G309+H309+I309+J309+K309+L309</f>
        <v>0</v>
      </c>
      <c r="N309">
        <f>0+D309+F309+G309+H309+I309+J309+K309+L309</f>
        <v>0</v>
      </c>
    </row>
    <row r="310" spans="3:14">
      <c r="C310" t="s">
        <v>50</v>
      </c>
      <c r="D310">
        <f>-12.3832*$D$239</f>
        <v>0</v>
      </c>
      <c r="E310">
        <f>131.3127*$E$239</f>
        <v>0</v>
      </c>
      <c r="F310">
        <f>-146.2391*$F$239</f>
        <v>0</v>
      </c>
      <c r="G310">
        <f>-3.1324*$G$239</f>
        <v>0</v>
      </c>
      <c r="H310">
        <f>0*$H$239</f>
        <v>0</v>
      </c>
      <c r="I310">
        <f>-1.5932*$I$239</f>
        <v>0</v>
      </c>
      <c r="J310">
        <f>9.6065*$J$239</f>
        <v>0</v>
      </c>
      <c r="K310">
        <f>-12.8086*$K$239</f>
        <v>0</v>
      </c>
      <c r="L310">
        <f>-1.5971*$L$239</f>
        <v>0</v>
      </c>
      <c r="M310">
        <f>0+D310+E310+G310+H310+I310+J310+K310+L310</f>
        <v>0</v>
      </c>
      <c r="N310">
        <f>0+D310+F310+G310+H310+I310+J310+K310+L310</f>
        <v>0</v>
      </c>
    </row>
    <row r="311" spans="3:14">
      <c r="C311" t="s">
        <v>50</v>
      </c>
      <c r="D311">
        <f>-1.2518*$D$239</f>
        <v>0</v>
      </c>
      <c r="E311">
        <f>143.6703*$E$239</f>
        <v>0</v>
      </c>
      <c r="F311">
        <f>-141.6691*$F$239</f>
        <v>0</v>
      </c>
      <c r="G311">
        <f>-2.788*$G$239</f>
        <v>0</v>
      </c>
      <c r="H311">
        <f>0*$H$239</f>
        <v>0</v>
      </c>
      <c r="I311">
        <f>0.0479*$I$239</f>
        <v>0</v>
      </c>
      <c r="J311">
        <f>14.6672*$J$239</f>
        <v>0</v>
      </c>
      <c r="K311">
        <f>-19.5563*$K$239</f>
        <v>0</v>
      </c>
      <c r="L311">
        <f>-1.6915*$L$239</f>
        <v>0</v>
      </c>
      <c r="M311">
        <f>0+D311+E311+G311+H311+I311+J311+K311+L311</f>
        <v>0</v>
      </c>
      <c r="N311">
        <f>0+D311+F311+G311+H311+I311+J311+K311+L311</f>
        <v>0</v>
      </c>
    </row>
    <row r="312" spans="3:14">
      <c r="C312" t="s">
        <v>51</v>
      </c>
      <c r="D312">
        <f>-15.3226*$D$239</f>
        <v>0</v>
      </c>
      <c r="E312">
        <f>116.8486*$E$239</f>
        <v>0</v>
      </c>
      <c r="F312">
        <f>-135.6516*$F$239</f>
        <v>0</v>
      </c>
      <c r="G312">
        <f>-3.5824*$G$239</f>
        <v>0</v>
      </c>
      <c r="H312">
        <f>0*$H$239</f>
        <v>0</v>
      </c>
      <c r="I312">
        <f>-2.0031*$I$239</f>
        <v>0</v>
      </c>
      <c r="J312">
        <f>14.837*$J$239</f>
        <v>0</v>
      </c>
      <c r="K312">
        <f>-19.7827*$K$239</f>
        <v>0</v>
      </c>
      <c r="L312">
        <f>-1.7282*$L$239</f>
        <v>0</v>
      </c>
      <c r="M312">
        <f>0+D312+E312+G312+H312+I312+J312+K312+L312</f>
        <v>0</v>
      </c>
      <c r="N312">
        <f>0+D312+F312+G312+H312+I312+J312+K312+L312</f>
        <v>0</v>
      </c>
    </row>
    <row r="313" spans="3:14">
      <c r="C313" t="s">
        <v>51</v>
      </c>
      <c r="D313">
        <f>-0.3924*$D$239</f>
        <v>0</v>
      </c>
      <c r="E313">
        <f>128.182*$E$239</f>
        <v>0</v>
      </c>
      <c r="F313">
        <f>-123.8698*$F$239</f>
        <v>0</v>
      </c>
      <c r="G313">
        <f>-4.1083*$G$239</f>
        <v>0</v>
      </c>
      <c r="H313">
        <f>0*$H$239</f>
        <v>0</v>
      </c>
      <c r="I313">
        <f>0.2562*$I$239</f>
        <v>0</v>
      </c>
      <c r="J313">
        <f>31.6588*$J$239</f>
        <v>0</v>
      </c>
      <c r="K313">
        <f>-42.2118*$K$239</f>
        <v>0</v>
      </c>
      <c r="L313">
        <f>-2.6093*$L$239</f>
        <v>0</v>
      </c>
      <c r="M313">
        <f>0+D313+E313+G313+H313+I313+J313+K313+L313</f>
        <v>0</v>
      </c>
      <c r="N313">
        <f>0+D313+F313+G313+H313+I313+J313+K313+L313</f>
        <v>0</v>
      </c>
    </row>
    <row r="314" spans="3:14">
      <c r="C314" t="s">
        <v>52</v>
      </c>
      <c r="D314">
        <f>-18.4977*$D$239</f>
        <v>0</v>
      </c>
      <c r="E314">
        <f>74.9581*$E$239</f>
        <v>0</v>
      </c>
      <c r="F314">
        <f>-101.4902*$F$239</f>
        <v>0</v>
      </c>
      <c r="G314">
        <f>1.0317*$G$239</f>
        <v>0</v>
      </c>
      <c r="H314">
        <f>0*$H$239</f>
        <v>0</v>
      </c>
      <c r="I314">
        <f>-2.8701*$I$239</f>
        <v>0</v>
      </c>
      <c r="J314">
        <f>8.4944*$J$239</f>
        <v>0</v>
      </c>
      <c r="K314">
        <f>-11.3259*$K$239</f>
        <v>0</v>
      </c>
      <c r="L314">
        <f>-1.0421*$L$239</f>
        <v>0</v>
      </c>
      <c r="M314">
        <f>0+D314+E314+G314+H314+I314+J314+K314+L314</f>
        <v>0</v>
      </c>
      <c r="N314">
        <f>0+D314+F314+G314+H314+I314+J314+K314+L314</f>
        <v>0</v>
      </c>
    </row>
    <row r="315" spans="3:14">
      <c r="C315" t="s">
        <v>52</v>
      </c>
      <c r="D315">
        <f>0.1372*$D$239</f>
        <v>0</v>
      </c>
      <c r="E315">
        <f>118.7332*$E$239</f>
        <v>0</v>
      </c>
      <c r="F315">
        <f>-119.9139*$F$239</f>
        <v>0</v>
      </c>
      <c r="G315">
        <f>2.8061*$G$239</f>
        <v>0</v>
      </c>
      <c r="H315">
        <f>0*$H$239</f>
        <v>0</v>
      </c>
      <c r="I315">
        <f>-0.2276*$I$239</f>
        <v>0</v>
      </c>
      <c r="J315">
        <f>-0.9511*$J$239</f>
        <v>0</v>
      </c>
      <c r="K315">
        <f>1.2682*$K$239</f>
        <v>0</v>
      </c>
      <c r="L315">
        <f>1.1177*$L$239</f>
        <v>0</v>
      </c>
      <c r="M315">
        <f>0+D315+E315+G315+H315+I315+J315+K315+L315</f>
        <v>0</v>
      </c>
      <c r="N315">
        <f>0+D315+F315+G315+H315+I315+J315+K315+L315</f>
        <v>0</v>
      </c>
    </row>
    <row r="316" spans="3:14">
      <c r="C316" t="s">
        <v>53</v>
      </c>
      <c r="D316">
        <f>-16.6044*$D$239</f>
        <v>0</v>
      </c>
      <c r="E316">
        <f>99.8104*$E$239</f>
        <v>0</v>
      </c>
      <c r="F316">
        <f>-117.2988*$F$239</f>
        <v>0</v>
      </c>
      <c r="G316">
        <f>-6.5685*$G$239</f>
        <v>0</v>
      </c>
      <c r="H316">
        <f>0*$H$239</f>
        <v>0</v>
      </c>
      <c r="I316">
        <f>-1.9946*$I$239</f>
        <v>0</v>
      </c>
      <c r="J316">
        <f>36.0097*$J$239</f>
        <v>0</v>
      </c>
      <c r="K316">
        <f>-48.0129*$K$239</f>
        <v>0</v>
      </c>
      <c r="L316">
        <f>-1.6986*$L$239</f>
        <v>0</v>
      </c>
      <c r="M316">
        <f>0+D316+E316+G316+H316+I316+J316+K316+L316</f>
        <v>0</v>
      </c>
      <c r="N316">
        <f>0+D316+F316+G316+H316+I316+J316+K316+L316</f>
        <v>0</v>
      </c>
    </row>
    <row r="317" spans="3:14">
      <c r="C317" t="s">
        <v>53</v>
      </c>
      <c r="D317">
        <f>-1.9594*$D$239</f>
        <v>0</v>
      </c>
      <c r="E317">
        <f>97.5222*$E$239</f>
        <v>0</v>
      </c>
      <c r="F317">
        <f>-97.6832*$F$239</f>
        <v>0</v>
      </c>
      <c r="G317">
        <f>-1.7947*$G$239</f>
        <v>0</v>
      </c>
      <c r="H317">
        <f>0*$H$239</f>
        <v>0</v>
      </c>
      <c r="I317">
        <f>-0.1021*$I$239</f>
        <v>0</v>
      </c>
      <c r="J317">
        <f>16.0677*$J$239</f>
        <v>0</v>
      </c>
      <c r="K317">
        <f>-21.4236*$K$239</f>
        <v>0</v>
      </c>
      <c r="L317">
        <f>-1.902*$L$239</f>
        <v>0</v>
      </c>
      <c r="M317">
        <f>0+D317+E317+G317+H317+I317+J317+K317+L317</f>
        <v>0</v>
      </c>
      <c r="N317">
        <f>0+D317+F317+G317+H317+I317+J317+K317+L317</f>
        <v>0</v>
      </c>
    </row>
    <row r="318" spans="3:14">
      <c r="C318" t="s">
        <v>54</v>
      </c>
      <c r="D318">
        <f>-17.2539*$D$239</f>
        <v>0</v>
      </c>
      <c r="E318">
        <f>79.1751*$E$239</f>
        <v>0</v>
      </c>
      <c r="F318">
        <f>-95.9478*$F$239</f>
        <v>0</v>
      </c>
      <c r="G318">
        <f>-5.4619*$G$239</f>
        <v>0</v>
      </c>
      <c r="H318">
        <f>0*$H$239</f>
        <v>0</v>
      </c>
      <c r="I318">
        <f>-2.1268*$I$239</f>
        <v>0</v>
      </c>
      <c r="J318">
        <f>21.1072*$J$239</f>
        <v>0</v>
      </c>
      <c r="K318">
        <f>-28.143*$K$239</f>
        <v>0</v>
      </c>
      <c r="L318">
        <f>-0.889*$L$239</f>
        <v>0</v>
      </c>
      <c r="M318">
        <f>0+D318+E318+G318+H318+I318+J318+K318+L318</f>
        <v>0</v>
      </c>
      <c r="N318">
        <f>0+D318+F318+G318+H318+I318+J318+K318+L318</f>
        <v>0</v>
      </c>
    </row>
    <row r="319" spans="3:14">
      <c r="C319" t="s">
        <v>54</v>
      </c>
      <c r="D319">
        <f>-3.9613*$D$239</f>
        <v>0</v>
      </c>
      <c r="E319">
        <f>80.5204*$E$239</f>
        <v>0</v>
      </c>
      <c r="F319">
        <f>-82.805*$F$239</f>
        <v>0</v>
      </c>
      <c r="G319">
        <f>-1.4002*$G$239</f>
        <v>0</v>
      </c>
      <c r="H319">
        <f>0*$H$239</f>
        <v>0</v>
      </c>
      <c r="I319">
        <f>-0.378*$I$239</f>
        <v>0</v>
      </c>
      <c r="J319">
        <f>17.207*$J$239</f>
        <v>0</v>
      </c>
      <c r="K319">
        <f>-22.9427*$K$239</f>
        <v>0</v>
      </c>
      <c r="L319">
        <f>-2.2574*$L$239</f>
        <v>0</v>
      </c>
      <c r="M319">
        <f>0+D319+E319+G319+H319+I319+J319+K319+L319</f>
        <v>0</v>
      </c>
      <c r="N319">
        <f>0+D319+F319+G319+H319+I319+J319+K319+L319</f>
        <v>0</v>
      </c>
    </row>
    <row r="320" spans="3:14">
      <c r="C320" t="s">
        <v>55</v>
      </c>
      <c r="D320">
        <f>-15.4857*$D$239</f>
        <v>0</v>
      </c>
      <c r="E320">
        <f>59.1027*$E$239</f>
        <v>0</v>
      </c>
      <c r="F320">
        <f>-73.6468*$F$239</f>
        <v>0</v>
      </c>
      <c r="G320">
        <f>-3.6103*$G$239</f>
        <v>0</v>
      </c>
      <c r="H320">
        <f>0*$H$239</f>
        <v>0</v>
      </c>
      <c r="I320">
        <f>-1.9667*$I$239</f>
        <v>0</v>
      </c>
      <c r="J320">
        <f>5.6152*$J$239</f>
        <v>0</v>
      </c>
      <c r="K320">
        <f>-7.4869*$K$239</f>
        <v>0</v>
      </c>
      <c r="L320">
        <f>0.8348*$L$239</f>
        <v>0</v>
      </c>
      <c r="M320">
        <f>0+D320+E320+G320+H320+I320+J320+K320+L320</f>
        <v>0</v>
      </c>
      <c r="N320">
        <f>0+D320+F320+G320+H320+I320+J320+K320+L320</f>
        <v>0</v>
      </c>
    </row>
    <row r="321" spans="3:14">
      <c r="C321" t="s">
        <v>55</v>
      </c>
      <c r="D321">
        <f>-7.2785*$D$239</f>
        <v>0</v>
      </c>
      <c r="E321">
        <f>54.4432*$E$239</f>
        <v>0</v>
      </c>
      <c r="F321">
        <f>-61.531*$F$239</f>
        <v>0</v>
      </c>
      <c r="G321">
        <f>-1.5011*$G$239</f>
        <v>0</v>
      </c>
      <c r="H321">
        <f>0*$H$239</f>
        <v>0</v>
      </c>
      <c r="I321">
        <f>-0.8039*$I$239</f>
        <v>0</v>
      </c>
      <c r="J321">
        <f>31.8745*$J$239</f>
        <v>0</v>
      </c>
      <c r="K321">
        <f>-42.4993*$K$239</f>
        <v>0</v>
      </c>
      <c r="L321">
        <f>-2.9933*$L$239</f>
        <v>0</v>
      </c>
      <c r="M321">
        <f>0+D321+E321+G321+H321+I321+J321+K321+L321</f>
        <v>0</v>
      </c>
      <c r="N321">
        <f>0+D321+F321+G321+H321+I321+J321+K321+L321</f>
        <v>0</v>
      </c>
    </row>
    <row r="322" spans="3:14">
      <c r="C322" t="s">
        <v>56</v>
      </c>
      <c r="D322">
        <f>-10.3238*$D$239</f>
        <v>0</v>
      </c>
      <c r="E322">
        <f>33.5507*$E$239</f>
        <v>0</v>
      </c>
      <c r="F322">
        <f>-43.7585*$F$239</f>
        <v>0</v>
      </c>
      <c r="G322">
        <f>-1.8175*$G$239</f>
        <v>0</v>
      </c>
      <c r="H322">
        <f>0*$H$239</f>
        <v>0</v>
      </c>
      <c r="I322">
        <f>-1.3211*$I$239</f>
        <v>0</v>
      </c>
      <c r="J322">
        <f>-5.2047*$J$239</f>
        <v>0</v>
      </c>
      <c r="K322">
        <f>6.9396*$K$239</f>
        <v>0</v>
      </c>
      <c r="L322">
        <f>1.9149*$L$239</f>
        <v>0</v>
      </c>
      <c r="M322">
        <f>0+D322+E322+G322+H322+I322+J322+K322+L322</f>
        <v>0</v>
      </c>
      <c r="N322">
        <f>0+D322+F322+G322+H322+I322+J322+K322+L322</f>
        <v>0</v>
      </c>
    </row>
    <row r="323" spans="3:14">
      <c r="C323" t="s">
        <v>56</v>
      </c>
      <c r="D323">
        <f>-11.2236*$D$239</f>
        <v>0</v>
      </c>
      <c r="E323">
        <f>20.4725*$E$239</f>
        <v>0</v>
      </c>
      <c r="F323">
        <f>-31.6602*$F$239</f>
        <v>0</v>
      </c>
      <c r="G323">
        <f>-1.4689*$G$239</f>
        <v>0</v>
      </c>
      <c r="H323">
        <f>0*$H$239</f>
        <v>0</v>
      </c>
      <c r="I323">
        <f>-1.3624*$I$239</f>
        <v>0</v>
      </c>
      <c r="J323">
        <f>50.9656*$J$239</f>
        <v>0</v>
      </c>
      <c r="K323">
        <f>-67.9542*$K$239</f>
        <v>0</v>
      </c>
      <c r="L323">
        <f>-4.3058*$L$239</f>
        <v>0</v>
      </c>
      <c r="M323">
        <f>0+D323+E323+G323+H323+I323+J323+K323+L323</f>
        <v>0</v>
      </c>
      <c r="N323">
        <f>0+D323+F323+G323+H323+I323+J323+K323+L323</f>
        <v>0</v>
      </c>
    </row>
    <row r="324" spans="3:14">
      <c r="C324" t="s">
        <v>57</v>
      </c>
      <c r="D324">
        <f>8.9268*$D$239</f>
        <v>0</v>
      </c>
      <c r="E324">
        <f>31.3231*$E$239</f>
        <v>0</v>
      </c>
      <c r="F324">
        <f>-21.4535*$F$239</f>
        <v>0</v>
      </c>
      <c r="G324">
        <f>2.3671*$G$239</f>
        <v>0</v>
      </c>
      <c r="H324">
        <f>0*$H$239</f>
        <v>0</v>
      </c>
      <c r="I324">
        <f>1.0098*$I$239</f>
        <v>0</v>
      </c>
      <c r="J324">
        <f>-58.2073*$J$239</f>
        <v>0</v>
      </c>
      <c r="K324">
        <f>77.6097*$K$239</f>
        <v>0</v>
      </c>
      <c r="L324">
        <f>3.0464*$L$239</f>
        <v>0</v>
      </c>
      <c r="M324">
        <f>0+D324+E324+G324+H324+I324+J324+K324+L324</f>
        <v>0</v>
      </c>
      <c r="N324">
        <f>0+D324+F324+G324+H324+I324+J324+K324+L324</f>
        <v>0</v>
      </c>
    </row>
    <row r="325" spans="3:14">
      <c r="C325" t="s">
        <v>57</v>
      </c>
      <c r="D325">
        <f>7.9278*$D$239</f>
        <v>0</v>
      </c>
      <c r="E325">
        <f>25.1903*$E$239</f>
        <v>0</v>
      </c>
      <c r="F325">
        <f>-15.8312*$F$239</f>
        <v>0</v>
      </c>
      <c r="G325">
        <f>0.8948*$G$239</f>
        <v>0</v>
      </c>
      <c r="H325">
        <f>0*$H$239</f>
        <v>0</v>
      </c>
      <c r="I325">
        <f>1.021*$I$239</f>
        <v>0</v>
      </c>
      <c r="J325">
        <f>-24.6155*$J$239</f>
        <v>0</v>
      </c>
      <c r="K325">
        <f>32.8207*$K$239</f>
        <v>0</v>
      </c>
      <c r="L325">
        <f>1.1592*$L$239</f>
        <v>0</v>
      </c>
      <c r="M325">
        <f>0+D325+E325+G325+H325+I325+J325+K325+L325</f>
        <v>0</v>
      </c>
      <c r="N325">
        <f>0+D325+F325+G325+H325+I325+J325+K325+L325</f>
        <v>0</v>
      </c>
    </row>
    <row r="326" spans="3:14">
      <c r="C326" t="s">
        <v>58</v>
      </c>
      <c r="D326">
        <f>2.6401*$D$239</f>
        <v>0</v>
      </c>
      <c r="E326">
        <f>10.5195*$E$239</f>
        <v>0</v>
      </c>
      <c r="F326">
        <f>-8.1619*$F$239</f>
        <v>0</v>
      </c>
      <c r="G326">
        <f>0.4505*$G$239</f>
        <v>0</v>
      </c>
      <c r="H326">
        <f>0*$H$239</f>
        <v>0</v>
      </c>
      <c r="I326">
        <f>0.3288*$I$239</f>
        <v>0</v>
      </c>
      <c r="J326">
        <f>-17.0558*$J$239</f>
        <v>0</v>
      </c>
      <c r="K326">
        <f>22.741*$K$239</f>
        <v>0</v>
      </c>
      <c r="L326">
        <f>1.5201*$L$239</f>
        <v>0</v>
      </c>
      <c r="M326">
        <f>0+D326+E326+G326+H326+I326+J326+K326+L326</f>
        <v>0</v>
      </c>
      <c r="N326">
        <f>0+D326+F326+G326+H326+I326+J326+K326+L326</f>
        <v>0</v>
      </c>
    </row>
    <row r="327" spans="3:14">
      <c r="C327" t="s">
        <v>58</v>
      </c>
      <c r="D327">
        <f>3.6114*$D$239</f>
        <v>0</v>
      </c>
      <c r="E327">
        <f>6.0956*$E$239</f>
        <v>0</v>
      </c>
      <c r="F327">
        <f>-2.7163*$F$239</f>
        <v>0</v>
      </c>
      <c r="G327">
        <f>0.4799*$G$239</f>
        <v>0</v>
      </c>
      <c r="H327">
        <f>0*$H$239</f>
        <v>0</v>
      </c>
      <c r="I327">
        <f>0.4708*$I$239</f>
        <v>0</v>
      </c>
      <c r="J327">
        <f>-17.9019*$J$239</f>
        <v>0</v>
      </c>
      <c r="K327">
        <f>23.8693*$K$239</f>
        <v>0</v>
      </c>
      <c r="L327">
        <f>-2.4642*$L$239</f>
        <v>0</v>
      </c>
      <c r="M327">
        <f>0+D327+E327+G327+H327+I327+J327+K327+L327</f>
        <v>0</v>
      </c>
      <c r="N327">
        <f>0+D327+F327+G327+H327+I327+J327+K327+L327</f>
        <v>0</v>
      </c>
    </row>
    <row r="328" spans="3:14">
      <c r="C328" t="s">
        <v>59</v>
      </c>
      <c r="D328">
        <f>7.8503*$D$239</f>
        <v>0</v>
      </c>
      <c r="E328">
        <f>15.8338*$E$239</f>
        <v>0</v>
      </c>
      <c r="F328">
        <f>-7.3722*$F$239</f>
        <v>0</v>
      </c>
      <c r="G328">
        <f>0.9145*$G$239</f>
        <v>0</v>
      </c>
      <c r="H328">
        <f>0*$H$239</f>
        <v>0</v>
      </c>
      <c r="I328">
        <f>1.0047*$I$239</f>
        <v>0</v>
      </c>
      <c r="J328">
        <f>-23.1575*$J$239</f>
        <v>0</v>
      </c>
      <c r="K328">
        <f>30.8767*$K$239</f>
        <v>0</v>
      </c>
      <c r="L328">
        <f>-6.5258*$L$239</f>
        <v>0</v>
      </c>
      <c r="M328">
        <f>0+D328+E328+G328+H328+I328+J328+K328+L328</f>
        <v>0</v>
      </c>
      <c r="N328">
        <f>0+D328+F328+G328+H328+I328+J328+K328+L328</f>
        <v>0</v>
      </c>
    </row>
    <row r="329" spans="3:14">
      <c r="C329" t="s">
        <v>59</v>
      </c>
      <c r="D329">
        <f>13.1125*$D$239</f>
        <v>0</v>
      </c>
      <c r="E329">
        <f>20.8359*$E$239</f>
        <v>0</v>
      </c>
      <c r="F329">
        <f>-6.8988*$F$239</f>
        <v>0</v>
      </c>
      <c r="G329">
        <f>1.9559*$G$239</f>
        <v>0</v>
      </c>
      <c r="H329">
        <f>0*$H$239</f>
        <v>0</v>
      </c>
      <c r="I329">
        <f>1.6559*$I$239</f>
        <v>0</v>
      </c>
      <c r="J329">
        <f>-67.0251*$J$239</f>
        <v>0</v>
      </c>
      <c r="K329">
        <f>89.3668*$K$239</f>
        <v>0</v>
      </c>
      <c r="L329">
        <f>1.3123*$L$239</f>
        <v>0</v>
      </c>
      <c r="M329">
        <f>0+D329+E329+G329+H329+I329+J329+K329+L329</f>
        <v>0</v>
      </c>
      <c r="N329">
        <f>0+D329+F329+G329+H329+I329+J329+K329+L329</f>
        <v>0</v>
      </c>
    </row>
    <row r="330" spans="3:14">
      <c r="C330" t="s">
        <v>60</v>
      </c>
      <c r="D330">
        <f>-14.2445*$D$239</f>
        <v>0</v>
      </c>
      <c r="E330">
        <f>14.7029*$E$239</f>
        <v>0</v>
      </c>
      <c r="F330">
        <f>-30.2295*$F$239</f>
        <v>0</v>
      </c>
      <c r="G330">
        <f>-1.9714*$G$239</f>
        <v>0</v>
      </c>
      <c r="H330">
        <f>0*$H$239</f>
        <v>0</v>
      </c>
      <c r="I330">
        <f>-1.7918*$I$239</f>
        <v>0</v>
      </c>
      <c r="J330">
        <f>55.2742*$J$239</f>
        <v>0</v>
      </c>
      <c r="K330">
        <f>-73.699*$K$239</f>
        <v>0</v>
      </c>
      <c r="L330">
        <f>-22.8824*$L$239</f>
        <v>0</v>
      </c>
      <c r="M330">
        <f>0+D330+E330+G330+H330+I330+J330+K330+L330</f>
        <v>0</v>
      </c>
      <c r="N330">
        <f>0+D330+F330+G330+H330+I330+J330+K330+L330</f>
        <v>0</v>
      </c>
    </row>
    <row r="331" spans="3:14">
      <c r="C331" t="s">
        <v>60</v>
      </c>
      <c r="D331">
        <f>-3.6441*$D$239</f>
        <v>0</v>
      </c>
      <c r="E331">
        <f>33.1098*$E$239</f>
        <v>0</v>
      </c>
      <c r="F331">
        <f>-34.8161*$F$239</f>
        <v>0</v>
      </c>
      <c r="G331">
        <f>-2.3081*$G$239</f>
        <v>0</v>
      </c>
      <c r="H331">
        <f>0*$H$239</f>
        <v>0</v>
      </c>
      <c r="I331">
        <f>-0.2938*$I$239</f>
        <v>0</v>
      </c>
      <c r="J331">
        <f>-15.2554*$J$239</f>
        <v>0</v>
      </c>
      <c r="K331">
        <f>20.3405*$K$239</f>
        <v>0</v>
      </c>
      <c r="L331">
        <f>-52.3083*$L$239</f>
        <v>0</v>
      </c>
      <c r="M331">
        <f>0+D331+E331+G331+H331+I331+J331+K331+L331</f>
        <v>0</v>
      </c>
      <c r="N331">
        <f>0+D331+F331+G331+H331+I331+J331+K331+L331</f>
        <v>0</v>
      </c>
    </row>
    <row r="332" spans="3:14">
      <c r="C332" t="s">
        <v>61</v>
      </c>
      <c r="D332">
        <f>-10.5403*$D$239</f>
        <v>0</v>
      </c>
      <c r="E332">
        <f>38.1563*$E$239</f>
        <v>0</v>
      </c>
      <c r="F332">
        <f>-44.6197*$F$239</f>
        <v>0</v>
      </c>
      <c r="G332">
        <f>-2.3641*$G$239</f>
        <v>0</v>
      </c>
      <c r="H332">
        <f>0*$H$239</f>
        <v>0</v>
      </c>
      <c r="I332">
        <f>-1.2529*$I$239</f>
        <v>0</v>
      </c>
      <c r="J332">
        <f>38.799*$J$239</f>
        <v>0</v>
      </c>
      <c r="K332">
        <f>-51.732*$K$239</f>
        <v>0</v>
      </c>
      <c r="L332">
        <f>-63.6158*$L$239</f>
        <v>0</v>
      </c>
      <c r="M332">
        <f>0+D332+E332+G332+H332+I332+J332+K332+L332</f>
        <v>0</v>
      </c>
      <c r="N332">
        <f>0+D332+F332+G332+H332+I332+J332+K332+L332</f>
        <v>0</v>
      </c>
    </row>
    <row r="333" spans="3:14">
      <c r="C333" t="s">
        <v>61</v>
      </c>
      <c r="D333">
        <f>-5.4963*$D$239</f>
        <v>0</v>
      </c>
      <c r="E333">
        <f>50.9007*$E$239</f>
        <v>0</v>
      </c>
      <c r="F333">
        <f>-53.7467*$F$239</f>
        <v>0</v>
      </c>
      <c r="G333">
        <f>-4.0607*$G$239</f>
        <v>0</v>
      </c>
      <c r="H333">
        <f>0*$H$239</f>
        <v>0</v>
      </c>
      <c r="I333">
        <f>-0.4511*$I$239</f>
        <v>0</v>
      </c>
      <c r="J333">
        <f>-3.794*$J$239</f>
        <v>0</v>
      </c>
      <c r="K333">
        <f>5.0586*$K$239</f>
        <v>0</v>
      </c>
      <c r="L333">
        <f>-90.016*$L$239</f>
        <v>0</v>
      </c>
      <c r="M333">
        <f>0+D333+E333+G333+H333+I333+J333+K333+L333</f>
        <v>0</v>
      </c>
      <c r="N333">
        <f>0+D333+F333+G333+H333+I333+J333+K333+L333</f>
        <v>0</v>
      </c>
    </row>
    <row r="334" spans="3:14">
      <c r="C334" t="s">
        <v>62</v>
      </c>
      <c r="D334">
        <f>-6.2752*$D$239</f>
        <v>0</v>
      </c>
      <c r="E334">
        <f>52.0658*$E$239</f>
        <v>0</v>
      </c>
      <c r="F334">
        <f>-56.2881*$F$239</f>
        <v>0</v>
      </c>
      <c r="G334">
        <f>-2.7026*$G$239</f>
        <v>0</v>
      </c>
      <c r="H334">
        <f>0*$H$239</f>
        <v>0</v>
      </c>
      <c r="I334">
        <f>-0.669*$I$239</f>
        <v>0</v>
      </c>
      <c r="J334">
        <f>25.9822*$J$239</f>
        <v>0</v>
      </c>
      <c r="K334">
        <f>-34.6429*$K$239</f>
        <v>0</v>
      </c>
      <c r="L334">
        <f>-93.2499*$L$239</f>
        <v>0</v>
      </c>
      <c r="M334">
        <f>0+D334+E334+G334+H334+I334+J334+K334+L334</f>
        <v>0</v>
      </c>
      <c r="N334">
        <f>0+D334+F334+G334+H334+I334+J334+K334+L334</f>
        <v>0</v>
      </c>
    </row>
    <row r="335" spans="3:14">
      <c r="C335" t="s">
        <v>62</v>
      </c>
      <c r="D335">
        <f>-5.2142*$D$239</f>
        <v>0</v>
      </c>
      <c r="E335">
        <f>62.9715*$E$239</f>
        <v>0</v>
      </c>
      <c r="F335">
        <f>-65.3251*$F$239</f>
        <v>0</v>
      </c>
      <c r="G335">
        <f>-5.7473*$G$239</f>
        <v>0</v>
      </c>
      <c r="H335">
        <f>0*$H$239</f>
        <v>0</v>
      </c>
      <c r="I335">
        <f>-0.3209*$I$239</f>
        <v>0</v>
      </c>
      <c r="J335">
        <f>16.0379*$J$239</f>
        <v>0</v>
      </c>
      <c r="K335">
        <f>-21.3838*$K$239</f>
        <v>0</v>
      </c>
      <c r="L335">
        <f>-120.1861*$L$239</f>
        <v>0</v>
      </c>
      <c r="M335">
        <f>0+D335+E335+G335+H335+I335+J335+K335+L335</f>
        <v>0</v>
      </c>
      <c r="N335">
        <f>0+D335+F335+G335+H335+I335+J335+K335+L335</f>
        <v>0</v>
      </c>
    </row>
    <row r="336" spans="3:14">
      <c r="C336" t="s">
        <v>63</v>
      </c>
      <c r="D336">
        <f>-3.0026*$D$239</f>
        <v>0</v>
      </c>
      <c r="E336">
        <f>58.2285*$E$239</f>
        <v>0</v>
      </c>
      <c r="F336">
        <f>-59.6005*$F$239</f>
        <v>0</v>
      </c>
      <c r="G336">
        <f>-3.5762*$G$239</f>
        <v>0</v>
      </c>
      <c r="H336">
        <f>0*$H$239</f>
        <v>0</v>
      </c>
      <c r="I336">
        <f>-0.1843*$I$239</f>
        <v>0</v>
      </c>
      <c r="J336">
        <f>26.4989*$J$239</f>
        <v>0</v>
      </c>
      <c r="K336">
        <f>-35.3318*$K$239</f>
        <v>0</v>
      </c>
      <c r="L336">
        <f>-113.326*$L$239</f>
        <v>0</v>
      </c>
      <c r="M336">
        <f>0+D336+E336+G336+H336+I336+J336+K336+L336</f>
        <v>0</v>
      </c>
      <c r="N336">
        <f>0+D336+F336+G336+H336+I336+J336+K336+L336</f>
        <v>0</v>
      </c>
    </row>
    <row r="337" spans="3:14">
      <c r="C337" t="s">
        <v>63</v>
      </c>
      <c r="D337">
        <f>-3.6463*$D$239</f>
        <v>0</v>
      </c>
      <c r="E337">
        <f>68.2828*$E$239</f>
        <v>0</v>
      </c>
      <c r="F337">
        <f>-68.7253*$F$239</f>
        <v>0</v>
      </c>
      <c r="G337">
        <f>-6.715*$G$239</f>
        <v>0</v>
      </c>
      <c r="H337">
        <f>0*$H$239</f>
        <v>0</v>
      </c>
      <c r="I337">
        <f>-0.0652*$I$239</f>
        <v>0</v>
      </c>
      <c r="J337">
        <f>36.7267*$J$239</f>
        <v>0</v>
      </c>
      <c r="K337">
        <f>-48.9689*$K$239</f>
        <v>0</v>
      </c>
      <c r="L337">
        <f>-137.5757*$L$239</f>
        <v>0</v>
      </c>
      <c r="M337">
        <f>0+D337+E337+G337+H337+I337+J337+K337+L337</f>
        <v>0</v>
      </c>
      <c r="N337">
        <f>0+D337+F337+G337+H337+I337+J337+K337+L337</f>
        <v>0</v>
      </c>
    </row>
    <row r="338" spans="3:14">
      <c r="C338" t="s">
        <v>64</v>
      </c>
      <c r="D338">
        <f>2.3303*$D$239</f>
        <v>0</v>
      </c>
      <c r="E338">
        <f>50.895*$E$239</f>
        <v>0</v>
      </c>
      <c r="F338">
        <f>-53.5613*$F$239</f>
        <v>0</v>
      </c>
      <c r="G338">
        <f>-0.8774*$G$239</f>
        <v>0</v>
      </c>
      <c r="H338">
        <f>0*$H$239</f>
        <v>0</v>
      </c>
      <c r="I338">
        <f>0.2754*$I$239</f>
        <v>0</v>
      </c>
      <c r="J338">
        <f>-6.0583*$J$239</f>
        <v>0</v>
      </c>
      <c r="K338">
        <f>8.0778*$K$239</f>
        <v>0</v>
      </c>
      <c r="L338">
        <f>-101.9336*$L$239</f>
        <v>0</v>
      </c>
      <c r="M338">
        <f>0+D338+E338+G338+H338+I338+J338+K338+L338</f>
        <v>0</v>
      </c>
      <c r="N338">
        <f>0+D338+F338+G338+H338+I338+J338+K338+L338</f>
        <v>0</v>
      </c>
    </row>
    <row r="339" spans="3:14">
      <c r="C339" t="s">
        <v>64</v>
      </c>
      <c r="D339">
        <f>-0.7823*$D$239</f>
        <v>0</v>
      </c>
      <c r="E339">
        <f>51.7122*$E$239</f>
        <v>0</v>
      </c>
      <c r="F339">
        <f>-56.3741*$F$239</f>
        <v>0</v>
      </c>
      <c r="G339">
        <f>-2.0119*$G$239</f>
        <v>0</v>
      </c>
      <c r="H339">
        <f>0*$H$239</f>
        <v>0</v>
      </c>
      <c r="I339">
        <f>-0.0611*$I$239</f>
        <v>0</v>
      </c>
      <c r="J339">
        <f>-20.6769*$J$239</f>
        <v>0</v>
      </c>
      <c r="K339">
        <f>27.5692*$K$239</f>
        <v>0</v>
      </c>
      <c r="L339">
        <f>-111.6159*$L$239</f>
        <v>0</v>
      </c>
      <c r="M339">
        <f>0+D339+E339+G339+H339+I339+J339+K339+L339</f>
        <v>0</v>
      </c>
      <c r="N339">
        <f>0+D339+F339+G339+H339+I339+J339+K339+L339</f>
        <v>0</v>
      </c>
    </row>
    <row r="340" spans="3:14">
      <c r="C340" t="s">
        <v>65</v>
      </c>
      <c r="D340">
        <f>-1.2151*$D$239</f>
        <v>0</v>
      </c>
      <c r="E340">
        <f>68.5098*$E$239</f>
        <v>0</v>
      </c>
      <c r="F340">
        <f>-66.3207*$F$239</f>
        <v>0</v>
      </c>
      <c r="G340">
        <f>-6.1353*$G$239</f>
        <v>0</v>
      </c>
      <c r="H340">
        <f>0*$H$239</f>
        <v>0</v>
      </c>
      <c r="I340">
        <f>0.2248*$I$239</f>
        <v>0</v>
      </c>
      <c r="J340">
        <f>51.1192*$J$239</f>
        <v>0</v>
      </c>
      <c r="K340">
        <f>-68.1589*$K$239</f>
        <v>0</v>
      </c>
      <c r="L340">
        <f>-135.8265*$L$239</f>
        <v>0</v>
      </c>
      <c r="M340">
        <f>0+D340+E340+G340+H340+I340+J340+K340+L340</f>
        <v>0</v>
      </c>
      <c r="N340">
        <f>0+D340+F340+G340+H340+I340+J340+K340+L340</f>
        <v>0</v>
      </c>
    </row>
    <row r="341" spans="3:14">
      <c r="C341" t="s">
        <v>65</v>
      </c>
      <c r="D341">
        <f>-1.5819*$D$239</f>
        <v>0</v>
      </c>
      <c r="E341">
        <f>65.1289*$E$239</f>
        <v>0</v>
      </c>
      <c r="F341">
        <f>-64.4027*$F$239</f>
        <v>0</v>
      </c>
      <c r="G341">
        <f>-4.1193*$G$239</f>
        <v>0</v>
      </c>
      <c r="H341">
        <f>0*$H$239</f>
        <v>0</v>
      </c>
      <c r="I341">
        <f>0.0722*$I$239</f>
        <v>0</v>
      </c>
      <c r="J341">
        <f>19.0781*$J$239</f>
        <v>0</v>
      </c>
      <c r="K341">
        <f>-25.4374*$K$239</f>
        <v>0</v>
      </c>
      <c r="L341">
        <f>-125.0834*$L$239</f>
        <v>0</v>
      </c>
      <c r="M341">
        <f>0+D341+E341+G341+H341+I341+J341+K341+L341</f>
        <v>0</v>
      </c>
      <c r="N341">
        <f>0+D341+F341+G341+H341+I341+J341+K341+L341</f>
        <v>0</v>
      </c>
    </row>
    <row r="342" spans="3:14">
      <c r="C342" t="s">
        <v>66</v>
      </c>
      <c r="D342">
        <f>-0.5178*$D$239</f>
        <v>0</v>
      </c>
      <c r="E342">
        <f>64.6011*$E$239</f>
        <v>0</v>
      </c>
      <c r="F342">
        <f>-61.994*$F$239</f>
        <v>0</v>
      </c>
      <c r="G342">
        <f>-4.8659*$G$239</f>
        <v>0</v>
      </c>
      <c r="H342">
        <f>0*$H$239</f>
        <v>0</v>
      </c>
      <c r="I342">
        <f>0.2714*$I$239</f>
        <v>0</v>
      </c>
      <c r="J342">
        <f>27.3603*$J$239</f>
        <v>0</v>
      </c>
      <c r="K342">
        <f>-36.4804*$K$239</f>
        <v>0</v>
      </c>
      <c r="L342">
        <f>-119.3351*$L$239</f>
        <v>0</v>
      </c>
      <c r="M342">
        <f>0+D342+E342+G342+H342+I342+J342+K342+L342</f>
        <v>0</v>
      </c>
      <c r="N342">
        <f>0+D342+F342+G342+H342+I342+J342+K342+L342</f>
        <v>0</v>
      </c>
    </row>
    <row r="343" spans="3:14">
      <c r="C343" t="s">
        <v>66</v>
      </c>
      <c r="D343">
        <f>-0.9015*$D$239</f>
        <v>0</v>
      </c>
      <c r="E343">
        <f>60.6507*$E$239</f>
        <v>0</v>
      </c>
      <c r="F343">
        <f>-57.4326*$F$239</f>
        <v>0</v>
      </c>
      <c r="G343">
        <f>-2.548*$G$239</f>
        <v>0</v>
      </c>
      <c r="H343">
        <f>0*$H$239</f>
        <v>0</v>
      </c>
      <c r="I343">
        <f>0.0929*$I$239</f>
        <v>0</v>
      </c>
      <c r="J343">
        <f>28.9035*$J$239</f>
        <v>0</v>
      </c>
      <c r="K343">
        <f>-38.538*$K$239</f>
        <v>0</v>
      </c>
      <c r="L343">
        <f>-104.1501*$L$239</f>
        <v>0</v>
      </c>
      <c r="M343">
        <f>0+D343+E343+G343+H343+I343+J343+K343+L343</f>
        <v>0</v>
      </c>
      <c r="N343">
        <f>0+D343+F343+G343+H343+I343+J343+K343+L343</f>
        <v>0</v>
      </c>
    </row>
    <row r="344" spans="3:14">
      <c r="C344" t="s">
        <v>67</v>
      </c>
      <c r="D344">
        <f>-0.1305*$D$239</f>
        <v>0</v>
      </c>
      <c r="E344">
        <f>51.4288*$E$239</f>
        <v>0</v>
      </c>
      <c r="F344">
        <f>-49.2573*$F$239</f>
        <v>0</v>
      </c>
      <c r="G344">
        <f>-2.8687*$G$239</f>
        <v>0</v>
      </c>
      <c r="H344">
        <f>0*$H$239</f>
        <v>0</v>
      </c>
      <c r="I344">
        <f>0.2337*$I$239</f>
        <v>0</v>
      </c>
      <c r="J344">
        <f>7.5464*$J$239</f>
        <v>0</v>
      </c>
      <c r="K344">
        <f>-10.0619*$K$239</f>
        <v>0</v>
      </c>
      <c r="L344">
        <f>-86.4896*$L$239</f>
        <v>0</v>
      </c>
      <c r="M344">
        <f>0+D344+E344+G344+H344+I344+J344+K344+L344</f>
        <v>0</v>
      </c>
      <c r="N344">
        <f>0+D344+F344+G344+H344+I344+J344+K344+L344</f>
        <v>0</v>
      </c>
    </row>
    <row r="345" spans="3:14">
      <c r="C345" t="s">
        <v>67</v>
      </c>
      <c r="D345">
        <f>-0.6063*$D$239</f>
        <v>0</v>
      </c>
      <c r="E345">
        <f>45.0509*$E$239</f>
        <v>0</v>
      </c>
      <c r="F345">
        <f>-41.1586*$F$239</f>
        <v>0</v>
      </c>
      <c r="G345">
        <f>-0.7916*$G$239</f>
        <v>0</v>
      </c>
      <c r="H345">
        <f>0*$H$239</f>
        <v>0</v>
      </c>
      <c r="I345">
        <f>0.0479*$I$239</f>
        <v>0</v>
      </c>
      <c r="J345">
        <f>66.5354*$J$239</f>
        <v>0</v>
      </c>
      <c r="K345">
        <f>-88.7139*$K$239</f>
        <v>0</v>
      </c>
      <c r="L345">
        <f>-65.8051*$L$239</f>
        <v>0</v>
      </c>
      <c r="M345">
        <f>0+D345+E345+G345+H345+I345+J345+K345+L345</f>
        <v>0</v>
      </c>
      <c r="N345">
        <f>0+D345+F345+G345+H345+I345+J345+K345+L345</f>
        <v>0</v>
      </c>
    </row>
    <row r="346" spans="3:14">
      <c r="C346" t="s">
        <v>68</v>
      </c>
      <c r="D346">
        <f>-0.195*$D$239</f>
        <v>0</v>
      </c>
      <c r="E346">
        <f>25.1722*$E$239</f>
        <v>0</v>
      </c>
      <c r="F346">
        <f>-27.7813*$F$239</f>
        <v>0</v>
      </c>
      <c r="G346">
        <f>-0.3907*$G$239</f>
        <v>0</v>
      </c>
      <c r="H346">
        <f>0*$H$239</f>
        <v>0</v>
      </c>
      <c r="I346">
        <f>0.0882*$I$239</f>
        <v>0</v>
      </c>
      <c r="J346">
        <f>19.3905*$J$239</f>
        <v>0</v>
      </c>
      <c r="K346">
        <f>-25.854*$K$239</f>
        <v>0</v>
      </c>
      <c r="L346">
        <f>-34.6801*$L$239</f>
        <v>0</v>
      </c>
      <c r="M346">
        <f>0+D346+E346+G346+H346+I346+J346+K346+L346</f>
        <v>0</v>
      </c>
      <c r="N346">
        <f>0+D346+F346+G346+H346+I346+J346+K346+L346</f>
        <v>0</v>
      </c>
    </row>
    <row r="347" spans="3:14">
      <c r="C347" t="s">
        <v>68</v>
      </c>
      <c r="D347">
        <f>-0.8718*$D$239</f>
        <v>0</v>
      </c>
      <c r="E347">
        <f>17.052*$E$239</f>
        <v>0</v>
      </c>
      <c r="F347">
        <f>-24.3867*$F$239</f>
        <v>0</v>
      </c>
      <c r="G347">
        <f>1.7697*$G$239</f>
        <v>0</v>
      </c>
      <c r="H347">
        <f>0*$H$239</f>
        <v>0</v>
      </c>
      <c r="I347">
        <f>-0.1769*$I$239</f>
        <v>0</v>
      </c>
      <c r="J347">
        <f>140.0547*$J$239</f>
        <v>0</v>
      </c>
      <c r="K347">
        <f>-186.7396*$K$239</f>
        <v>0</v>
      </c>
      <c r="L347">
        <f>-2.8415*$L$239</f>
        <v>0</v>
      </c>
      <c r="M347">
        <f>0+D347+E347+G347+H347+I347+J347+K347+L347</f>
        <v>0</v>
      </c>
      <c r="N347">
        <f>0+D347+F347+G347+H347+I347+J347+K347+L347</f>
        <v>0</v>
      </c>
    </row>
    <row r="348" spans="3:14">
      <c r="C348" t="s">
        <v>69</v>
      </c>
      <c r="D348">
        <f>0.4196*$D$239</f>
        <v>0</v>
      </c>
      <c r="E348">
        <f>13.8574*$E$239</f>
        <v>0</v>
      </c>
      <c r="F348">
        <f>-14.3869*$F$239</f>
        <v>0</v>
      </c>
      <c r="G348">
        <f>0.4031*$G$239</f>
        <v>0</v>
      </c>
      <c r="H348">
        <f>0*$H$239</f>
        <v>0</v>
      </c>
      <c r="I348">
        <f>-0.0088*$I$239</f>
        <v>0</v>
      </c>
      <c r="J348">
        <f>-52.2609*$J$239</f>
        <v>0</v>
      </c>
      <c r="K348">
        <f>69.6812*$K$239</f>
        <v>0</v>
      </c>
      <c r="L348">
        <f>18.4603*$L$239</f>
        <v>0</v>
      </c>
      <c r="M348">
        <f>0+D348+E348+G348+H348+I348+J348+K348+L348</f>
        <v>0</v>
      </c>
      <c r="N348">
        <f>0+D348+F348+G348+H348+I348+J348+K348+L348</f>
        <v>0</v>
      </c>
    </row>
    <row r="353" spans="3:14">
      <c r="C353" t="s">
        <v>72</v>
      </c>
    </row>
    <row r="355" spans="3:14">
      <c r="C355" t="s">
        <v>2</v>
      </c>
    </row>
    <row r="356" spans="3:14">
      <c r="C356" t="s">
        <v>3</v>
      </c>
      <c r="D356" t="s">
        <v>4</v>
      </c>
      <c r="E356" t="s">
        <v>5</v>
      </c>
      <c r="F356" t="s">
        <v>6</v>
      </c>
      <c r="G356" t="s">
        <v>7</v>
      </c>
      <c r="H356" t="s">
        <v>8</v>
      </c>
      <c r="I356" t="s">
        <v>9</v>
      </c>
      <c r="J356" t="s">
        <v>10</v>
      </c>
      <c r="K356" t="s">
        <v>11</v>
      </c>
      <c r="L356" t="s">
        <v>12</v>
      </c>
      <c r="M356" t="s">
        <v>13</v>
      </c>
      <c r="N356" t="s">
        <v>14</v>
      </c>
    </row>
    <row r="357" spans="3:14">
      <c r="C357" t="s">
        <v>76</v>
      </c>
      <c r="D357">
        <f>-9.64*$D$355</f>
        <v>0</v>
      </c>
      <c r="E357">
        <f>72*$E$355</f>
        <v>0</v>
      </c>
      <c r="F357">
        <f>-70.686*$F$355</f>
        <v>0</v>
      </c>
      <c r="G357">
        <f>-5.41*$G$355</f>
        <v>0</v>
      </c>
      <c r="H357">
        <f>0*$H$355</f>
        <v>0</v>
      </c>
      <c r="I357">
        <f>-1.215*$I$355</f>
        <v>0</v>
      </c>
      <c r="J357">
        <f>-311.152*$J$355</f>
        <v>0</v>
      </c>
      <c r="K357">
        <f>414.869*$K$355</f>
        <v>0</v>
      </c>
      <c r="L357">
        <f>-0.027*$L$355</f>
        <v>0</v>
      </c>
      <c r="M357">
        <f>0+D357+E357+G357+H357+I357+J357+K357+L357</f>
        <v>0</v>
      </c>
      <c r="N357">
        <f>0+D357+F357+G357+H357+I357+J357+K357+L357</f>
        <v>0</v>
      </c>
    </row>
    <row r="358" spans="3:14">
      <c r="C358" t="s">
        <v>16</v>
      </c>
      <c r="D358">
        <f>-15.212*$D$355</f>
        <v>0</v>
      </c>
      <c r="E358">
        <f>66.782*$E$355</f>
        <v>0</v>
      </c>
      <c r="F358">
        <f>-77.369*$F$355</f>
        <v>0</v>
      </c>
      <c r="G358">
        <f>-6.007*$G$355</f>
        <v>0</v>
      </c>
      <c r="H358">
        <f>0*$H$355</f>
        <v>0</v>
      </c>
      <c r="I358">
        <f>-1.886*$I$355</f>
        <v>0</v>
      </c>
      <c r="J358">
        <f>-258.553*$J$355</f>
        <v>0</v>
      </c>
      <c r="K358">
        <f>344.737*$K$355</f>
        <v>0</v>
      </c>
      <c r="L358">
        <f>-0.037*$L$355</f>
        <v>0</v>
      </c>
      <c r="M358">
        <f>0+D358+E358+G358+H358+I358+J358+K358+L358</f>
        <v>0</v>
      </c>
      <c r="N358">
        <f>0+D358+F358+G358+H358+I358+J358+K358+L358</f>
        <v>0</v>
      </c>
    </row>
    <row r="359" spans="3:14">
      <c r="C359" t="s">
        <v>16</v>
      </c>
      <c r="D359">
        <f>-20.682*$D$355</f>
        <v>0</v>
      </c>
      <c r="E359">
        <f>51.62*$E$355</f>
        <v>0</v>
      </c>
      <c r="F359">
        <f>-75.583*$F$355</f>
        <v>0</v>
      </c>
      <c r="G359">
        <f>-6.718*$G$355</f>
        <v>0</v>
      </c>
      <c r="H359">
        <f>0*$H$355</f>
        <v>0</v>
      </c>
      <c r="I359">
        <f>-2.598*$I$355</f>
        <v>0</v>
      </c>
      <c r="J359">
        <f>-200.036*$J$355</f>
        <v>0</v>
      </c>
      <c r="K359">
        <f>266.714*$K$355</f>
        <v>0</v>
      </c>
      <c r="L359">
        <f>-0.037*$L$355</f>
        <v>0</v>
      </c>
      <c r="M359">
        <f>0+D359+E359+G359+H359+I359+J359+K359+L359</f>
        <v>0</v>
      </c>
      <c r="N359">
        <f>0+D359+F359+G359+H359+I359+J359+K359+L359</f>
        <v>0</v>
      </c>
    </row>
    <row r="360" spans="3:14">
      <c r="C360" t="s">
        <v>17</v>
      </c>
      <c r="D360">
        <f>-25.279*$D$355</f>
        <v>0</v>
      </c>
      <c r="E360">
        <f>55.838*$E$355</f>
        <v>0</v>
      </c>
      <c r="F360">
        <f>-82.388*$F$355</f>
        <v>0</v>
      </c>
      <c r="G360">
        <f>-8.524*$G$355</f>
        <v>0</v>
      </c>
      <c r="H360">
        <f>0*$H$355</f>
        <v>0</v>
      </c>
      <c r="I360">
        <f>-3.146*$I$355</f>
        <v>0</v>
      </c>
      <c r="J360">
        <f>-149.131*$J$355</f>
        <v>0</v>
      </c>
      <c r="K360">
        <f>198.841*$K$355</f>
        <v>0</v>
      </c>
      <c r="L360">
        <f>-0.039*$L$355</f>
        <v>0</v>
      </c>
      <c r="M360">
        <f>0+D360+E360+G360+H360+I360+J360+K360+L360</f>
        <v>0</v>
      </c>
      <c r="N360">
        <f>0+D360+F360+G360+H360+I360+J360+K360+L360</f>
        <v>0</v>
      </c>
    </row>
    <row r="361" spans="3:14">
      <c r="C361" t="s">
        <v>17</v>
      </c>
      <c r="D361">
        <f>-28.269*$D$355</f>
        <v>0</v>
      </c>
      <c r="E361">
        <f>56.163*$E$355</f>
        <v>0</v>
      </c>
      <c r="F361">
        <f>-85.338*$F$355</f>
        <v>0</v>
      </c>
      <c r="G361">
        <f>-10.414*$G$355</f>
        <v>0</v>
      </c>
      <c r="H361">
        <f>0*$H$355</f>
        <v>0</v>
      </c>
      <c r="I361">
        <f>-3.478*$I$355</f>
        <v>0</v>
      </c>
      <c r="J361">
        <f>-102.908*$J$355</f>
        <v>0</v>
      </c>
      <c r="K361">
        <f>137.21*$K$355</f>
        <v>0</v>
      </c>
      <c r="L361">
        <f>-0.038*$L$355</f>
        <v>0</v>
      </c>
      <c r="M361">
        <f>0+D361+E361+G361+H361+I361+J361+K361+L361</f>
        <v>0</v>
      </c>
      <c r="N361">
        <f>0+D361+F361+G361+H361+I361+J361+K361+L361</f>
        <v>0</v>
      </c>
    </row>
    <row r="362" spans="3:14">
      <c r="C362" t="s">
        <v>18</v>
      </c>
      <c r="D362">
        <f>-29.768*$D$355</f>
        <v>0</v>
      </c>
      <c r="E362">
        <f>58.949*$E$355</f>
        <v>0</v>
      </c>
      <c r="F362">
        <f>-88.573*$F$355</f>
        <v>0</v>
      </c>
      <c r="G362">
        <f>-12.357*$G$355</f>
        <v>0</v>
      </c>
      <c r="H362">
        <f>0*$H$355</f>
        <v>0</v>
      </c>
      <c r="I362">
        <f>-3.584*$I$355</f>
        <v>0</v>
      </c>
      <c r="J362">
        <f>-58.52*$J$355</f>
        <v>0</v>
      </c>
      <c r="K362">
        <f>78.027*$K$355</f>
        <v>0</v>
      </c>
      <c r="L362">
        <f>-0.039*$L$355</f>
        <v>0</v>
      </c>
      <c r="M362">
        <f>0+D362+E362+G362+H362+I362+J362+K362+L362</f>
        <v>0</v>
      </c>
      <c r="N362">
        <f>0+D362+F362+G362+H362+I362+J362+K362+L362</f>
        <v>0</v>
      </c>
    </row>
    <row r="363" spans="3:14">
      <c r="C363" t="s">
        <v>18</v>
      </c>
      <c r="D363">
        <f>-29.799*$D$355</f>
        <v>0</v>
      </c>
      <c r="E363">
        <f>64.458*$E$355</f>
        <v>0</v>
      </c>
      <c r="F363">
        <f>-92.378*$F$355</f>
        <v>0</v>
      </c>
      <c r="G363">
        <f>-13.765*$G$355</f>
        <v>0</v>
      </c>
      <c r="H363">
        <f>0*$H$355</f>
        <v>0</v>
      </c>
      <c r="I363">
        <f>-3.511*$I$355</f>
        <v>0</v>
      </c>
      <c r="J363">
        <f>-20.456*$J$355</f>
        <v>0</v>
      </c>
      <c r="K363">
        <f>27.274*$K$355</f>
        <v>0</v>
      </c>
      <c r="L363">
        <f>-0.038*$L$355</f>
        <v>0</v>
      </c>
      <c r="M363">
        <f>0+D363+E363+G363+H363+I363+J363+K363+L363</f>
        <v>0</v>
      </c>
      <c r="N363">
        <f>0+D363+F363+G363+H363+I363+J363+K363+L363</f>
        <v>0</v>
      </c>
    </row>
    <row r="364" spans="3:14">
      <c r="C364" t="s">
        <v>19</v>
      </c>
      <c r="D364">
        <f>-28.466*$D$355</f>
        <v>0</v>
      </c>
      <c r="E364">
        <f>70.902*$E$355</f>
        <v>0</v>
      </c>
      <c r="F364">
        <f>-97.445*$F$355</f>
        <v>0</v>
      </c>
      <c r="G364">
        <f>-14.859*$G$355</f>
        <v>0</v>
      </c>
      <c r="H364">
        <f>0*$H$355</f>
        <v>0</v>
      </c>
      <c r="I364">
        <f>-3.25*$I$355</f>
        <v>0</v>
      </c>
      <c r="J364">
        <f>11.364*$J$355</f>
        <v>0</v>
      </c>
      <c r="K364">
        <f>-15.152*$K$355</f>
        <v>0</v>
      </c>
      <c r="L364">
        <f>-0.038*$L$355</f>
        <v>0</v>
      </c>
      <c r="M364">
        <f>0+D364+E364+G364+H364+I364+J364+K364+L364</f>
        <v>0</v>
      </c>
      <c r="N364">
        <f>0+D364+F364+G364+H364+I364+J364+K364+L364</f>
        <v>0</v>
      </c>
    </row>
    <row r="365" spans="3:14">
      <c r="C365" t="s">
        <v>19</v>
      </c>
      <c r="D365">
        <f>-25.726*$D$355</f>
        <v>0</v>
      </c>
      <c r="E365">
        <f>84.263*$E$355</f>
        <v>0</v>
      </c>
      <c r="F365">
        <f>-106.078*$F$355</f>
        <v>0</v>
      </c>
      <c r="G365">
        <f>-16.005*$G$355</f>
        <v>0</v>
      </c>
      <c r="H365">
        <f>0*$H$355</f>
        <v>0</v>
      </c>
      <c r="I365">
        <f>-2.76*$I$355</f>
        <v>0</v>
      </c>
      <c r="J365">
        <f>35.594*$J$355</f>
        <v>0</v>
      </c>
      <c r="K365">
        <f>-47.458*$K$355</f>
        <v>0</v>
      </c>
      <c r="L365">
        <f>-0.038*$L$355</f>
        <v>0</v>
      </c>
      <c r="M365">
        <f>0+D365+E365+G365+H365+I365+J365+K365+L365</f>
        <v>0</v>
      </c>
      <c r="N365">
        <f>0+D365+F365+G365+H365+I365+J365+K365+L365</f>
        <v>0</v>
      </c>
    </row>
    <row r="366" spans="3:14">
      <c r="C366" t="s">
        <v>20</v>
      </c>
      <c r="D366">
        <f>-21.83*$D$355</f>
        <v>0</v>
      </c>
      <c r="E366">
        <f>100.308*$E$355</f>
        <v>0</v>
      </c>
      <c r="F366">
        <f>-114.857*$F$355</f>
        <v>0</v>
      </c>
      <c r="G366">
        <f>-16.851*$G$355</f>
        <v>0</v>
      </c>
      <c r="H366">
        <f>0*$H$355</f>
        <v>0</v>
      </c>
      <c r="I366">
        <f>-2.112*$I$355</f>
        <v>0</v>
      </c>
      <c r="J366">
        <f>54.351*$J$355</f>
        <v>0</v>
      </c>
      <c r="K366">
        <f>-72.468*$K$355</f>
        <v>0</v>
      </c>
      <c r="L366">
        <f>-0.037*$L$355</f>
        <v>0</v>
      </c>
      <c r="M366">
        <f>0+D366+E366+G366+H366+I366+J366+K366+L366</f>
        <v>0</v>
      </c>
      <c r="N366">
        <f>0+D366+F366+G366+H366+I366+J366+K366+L366</f>
        <v>0</v>
      </c>
    </row>
    <row r="367" spans="3:14">
      <c r="C367" t="s">
        <v>20</v>
      </c>
      <c r="D367">
        <f>-36.256*$D$355</f>
        <v>0</v>
      </c>
      <c r="E367">
        <f>50.183*$E$355</f>
        <v>0</v>
      </c>
      <c r="F367">
        <f>-111.109*$F$355</f>
        <v>0</v>
      </c>
      <c r="G367">
        <f>-1.654*$G$355</f>
        <v>0</v>
      </c>
      <c r="H367">
        <f>0*$H$355</f>
        <v>0</v>
      </c>
      <c r="I367">
        <f>-5.367*$I$355</f>
        <v>0</v>
      </c>
      <c r="J367">
        <f>-96.877*$J$355</f>
        <v>0</v>
      </c>
      <c r="K367">
        <f>129.169*$K$355</f>
        <v>0</v>
      </c>
      <c r="L367">
        <f>-0.038*$L$355</f>
        <v>0</v>
      </c>
      <c r="M367">
        <f>0+D367+E367+G367+H367+I367+J367+K367+L367</f>
        <v>0</v>
      </c>
      <c r="N367">
        <f>0+D367+F367+G367+H367+I367+J367+K367+L367</f>
        <v>0</v>
      </c>
    </row>
    <row r="368" spans="3:14">
      <c r="C368" t="s">
        <v>21</v>
      </c>
      <c r="D368">
        <f>-31.114*$D$355</f>
        <v>0</v>
      </c>
      <c r="E368">
        <f>53.089*$E$355</f>
        <v>0</v>
      </c>
      <c r="F368">
        <f>-98.217*$F$355</f>
        <v>0</v>
      </c>
      <c r="G368">
        <f>-2.413*$G$355</f>
        <v>0</v>
      </c>
      <c r="H368">
        <f>0*$H$355</f>
        <v>0</v>
      </c>
      <c r="I368">
        <f>-4.535*$I$355</f>
        <v>0</v>
      </c>
      <c r="J368">
        <f>-82.333*$J$355</f>
        <v>0</v>
      </c>
      <c r="K368">
        <f>109.777*$K$355</f>
        <v>0</v>
      </c>
      <c r="L368">
        <f>-0.038*$L$355</f>
        <v>0</v>
      </c>
      <c r="M368">
        <f>0+D368+E368+G368+H368+I368+J368+K368+L368</f>
        <v>0</v>
      </c>
      <c r="N368">
        <f>0+D368+F368+G368+H368+I368+J368+K368+L368</f>
        <v>0</v>
      </c>
    </row>
    <row r="369" spans="3:14">
      <c r="C369" t="s">
        <v>21</v>
      </c>
      <c r="D369">
        <f>-25.793*$D$355</f>
        <v>0</v>
      </c>
      <c r="E369">
        <f>58.231*$E$355</f>
        <v>0</v>
      </c>
      <c r="F369">
        <f>-89.795*$F$355</f>
        <v>0</v>
      </c>
      <c r="G369">
        <f>-3.358*$G$355</f>
        <v>0</v>
      </c>
      <c r="H369">
        <f>0*$H$355</f>
        <v>0</v>
      </c>
      <c r="I369">
        <f>-3.665*$I$355</f>
        <v>0</v>
      </c>
      <c r="J369">
        <f>-66.886*$J$355</f>
        <v>0</v>
      </c>
      <c r="K369">
        <f>89.181*$K$355</f>
        <v>0</v>
      </c>
      <c r="L369">
        <f>-0.038*$L$355</f>
        <v>0</v>
      </c>
      <c r="M369">
        <f>0+D369+E369+G369+H369+I369+J369+K369+L369</f>
        <v>0</v>
      </c>
      <c r="N369">
        <f>0+D369+F369+G369+H369+I369+J369+K369+L369</f>
        <v>0</v>
      </c>
    </row>
    <row r="370" spans="3:14">
      <c r="C370" t="s">
        <v>22</v>
      </c>
      <c r="D370">
        <f>-20.549*$D$355</f>
        <v>0</v>
      </c>
      <c r="E370">
        <f>64.668*$E$355</f>
        <v>0</v>
      </c>
      <c r="F370">
        <f>-88.703*$F$355</f>
        <v>0</v>
      </c>
      <c r="G370">
        <f>-4.227*$G$355</f>
        <v>0</v>
      </c>
      <c r="H370">
        <f>0*$H$355</f>
        <v>0</v>
      </c>
      <c r="I370">
        <f>-2.823*$I$355</f>
        <v>0</v>
      </c>
      <c r="J370">
        <f>-49.668*$J$355</f>
        <v>0</v>
      </c>
      <c r="K370">
        <f>66.224*$K$355</f>
        <v>0</v>
      </c>
      <c r="L370">
        <f>-0.038*$L$355</f>
        <v>0</v>
      </c>
      <c r="M370">
        <f>0+D370+E370+G370+H370+I370+J370+K370+L370</f>
        <v>0</v>
      </c>
      <c r="N370">
        <f>0+D370+F370+G370+H370+I370+J370+K370+L370</f>
        <v>0</v>
      </c>
    </row>
    <row r="371" spans="3:14">
      <c r="C371" t="s">
        <v>22</v>
      </c>
      <c r="D371">
        <f>-15.105*$D$355</f>
        <v>0</v>
      </c>
      <c r="E371">
        <f>72.872*$E$355</f>
        <v>0</v>
      </c>
      <c r="F371">
        <f>-89.047*$F$355</f>
        <v>0</v>
      </c>
      <c r="G371">
        <f>-5.22*$G$355</f>
        <v>0</v>
      </c>
      <c r="H371">
        <f>0*$H$355</f>
        <v>0</v>
      </c>
      <c r="I371">
        <f>-1.945*$I$355</f>
        <v>0</v>
      </c>
      <c r="J371">
        <f>-31.448*$J$355</f>
        <v>0</v>
      </c>
      <c r="K371">
        <f>41.931*$K$355</f>
        <v>0</v>
      </c>
      <c r="L371">
        <f>-0.038*$L$355</f>
        <v>0</v>
      </c>
      <c r="M371">
        <f>0+D371+E371+G371+H371+I371+J371+K371+L371</f>
        <v>0</v>
      </c>
      <c r="N371">
        <f>0+D371+F371+G371+H371+I371+J371+K371+L371</f>
        <v>0</v>
      </c>
    </row>
    <row r="372" spans="3:14">
      <c r="C372" t="s">
        <v>23</v>
      </c>
      <c r="D372">
        <f>-9.797*$D$355</f>
        <v>0</v>
      </c>
      <c r="E372">
        <f>82.195*$E$355</f>
        <v>0</v>
      </c>
      <c r="F372">
        <f>-89.827*$F$355</f>
        <v>0</v>
      </c>
      <c r="G372">
        <f>-6.523*$G$355</f>
        <v>0</v>
      </c>
      <c r="H372">
        <f>0*$H$355</f>
        <v>0</v>
      </c>
      <c r="I372">
        <f>-1.063*$I$355</f>
        <v>0</v>
      </c>
      <c r="J372">
        <f>-11.806*$J$355</f>
        <v>0</v>
      </c>
      <c r="K372">
        <f>15.742*$K$355</f>
        <v>0</v>
      </c>
      <c r="L372">
        <f>-0.038*$L$355</f>
        <v>0</v>
      </c>
      <c r="M372">
        <f>0+D372+E372+G372+H372+I372+J372+K372+L372</f>
        <v>0</v>
      </c>
      <c r="N372">
        <f>0+D372+F372+G372+H372+I372+J372+K372+L372</f>
        <v>0</v>
      </c>
    </row>
    <row r="373" spans="3:14">
      <c r="C373" t="s">
        <v>23</v>
      </c>
      <c r="D373">
        <f>-4.018*$D$355</f>
        <v>0</v>
      </c>
      <c r="E373">
        <f>95.054*$E$355</f>
        <v>0</v>
      </c>
      <c r="F373">
        <f>-92.764*$F$355</f>
        <v>0</v>
      </c>
      <c r="G373">
        <f>-7.72*$G$355</f>
        <v>0</v>
      </c>
      <c r="H373">
        <f>0*$H$355</f>
        <v>0</v>
      </c>
      <c r="I373">
        <f>-0.121*$I$355</f>
        <v>0</v>
      </c>
      <c r="J373">
        <f>4.036*$J$355</f>
        <v>0</v>
      </c>
      <c r="K373">
        <f>-5.382*$K$355</f>
        <v>0</v>
      </c>
      <c r="L373">
        <f>-0.038*$L$355</f>
        <v>0</v>
      </c>
      <c r="M373">
        <f>0+D373+E373+G373+H373+I373+J373+K373+L373</f>
        <v>0</v>
      </c>
      <c r="N373">
        <f>0+D373+F373+G373+H373+I373+J373+K373+L373</f>
        <v>0</v>
      </c>
    </row>
    <row r="374" spans="3:14">
      <c r="C374" t="s">
        <v>24</v>
      </c>
      <c r="D374">
        <f>1.98*$D$355</f>
        <v>0</v>
      </c>
      <c r="E374">
        <f>109.351*$E$355</f>
        <v>0</v>
      </c>
      <c r="F374">
        <f>-96.858*$F$355</f>
        <v>0</v>
      </c>
      <c r="G374">
        <f>-9.039*$G$355</f>
        <v>0</v>
      </c>
      <c r="H374">
        <f>0*$H$355</f>
        <v>0</v>
      </c>
      <c r="I374">
        <f>0.865*$I$355</f>
        <v>0</v>
      </c>
      <c r="J374">
        <f>15.912*$J$355</f>
        <v>0</v>
      </c>
      <c r="K374">
        <f>-21.216*$K$355</f>
        <v>0</v>
      </c>
      <c r="L374">
        <f>-0.038*$L$355</f>
        <v>0</v>
      </c>
      <c r="M374">
        <f>0+D374+E374+G374+H374+I374+J374+K374+L374</f>
        <v>0</v>
      </c>
      <c r="N374">
        <f>0+D374+F374+G374+H374+I374+J374+K374+L374</f>
        <v>0</v>
      </c>
    </row>
    <row r="375" spans="3:14">
      <c r="C375" t="s">
        <v>24</v>
      </c>
      <c r="D375">
        <f>8.572*$D$355</f>
        <v>0</v>
      </c>
      <c r="E375">
        <f>128.257*$E$355</f>
        <v>0</v>
      </c>
      <c r="F375">
        <f>-105.268*$F$355</f>
        <v>0</v>
      </c>
      <c r="G375">
        <f>-10.886*$G$355</f>
        <v>0</v>
      </c>
      <c r="H375">
        <f>0*$H$355</f>
        <v>0</v>
      </c>
      <c r="I375">
        <f>1.988*$I$355</f>
        <v>0</v>
      </c>
      <c r="J375">
        <f>20.516*$J$355</f>
        <v>0</v>
      </c>
      <c r="K375">
        <f>-27.354*$K$355</f>
        <v>0</v>
      </c>
      <c r="L375">
        <f>-0.038*$L$355</f>
        <v>0</v>
      </c>
      <c r="M375">
        <f>0+D375+E375+G375+H375+I375+J375+K375+L375</f>
        <v>0</v>
      </c>
      <c r="N375">
        <f>0+D375+F375+G375+H375+I375+J375+K375+L375</f>
        <v>0</v>
      </c>
    </row>
    <row r="376" spans="3:14">
      <c r="C376" t="s">
        <v>25</v>
      </c>
      <c r="D376">
        <f>15.564*$D$355</f>
        <v>0</v>
      </c>
      <c r="E376">
        <f>148.792*$E$355</f>
        <v>0</v>
      </c>
      <c r="F376">
        <f>-115.758*$F$355</f>
        <v>0</v>
      </c>
      <c r="G376">
        <f>-12.802*$G$355</f>
        <v>0</v>
      </c>
      <c r="H376">
        <f>0*$H$355</f>
        <v>0</v>
      </c>
      <c r="I376">
        <f>3.179*$I$355</f>
        <v>0</v>
      </c>
      <c r="J376">
        <f>20.289*$J$355</f>
        <v>0</v>
      </c>
      <c r="K376">
        <f>-27.052*$K$355</f>
        <v>0</v>
      </c>
      <c r="L376">
        <f>-0.038*$L$355</f>
        <v>0</v>
      </c>
      <c r="M376">
        <f>0+D376+E376+G376+H376+I376+J376+K376+L376</f>
        <v>0</v>
      </c>
      <c r="N376">
        <f>0+D376+F376+G376+H376+I376+J376+K376+L376</f>
        <v>0</v>
      </c>
    </row>
    <row r="377" spans="3:14">
      <c r="C377" t="s">
        <v>25</v>
      </c>
      <c r="D377">
        <f>-3.001*$D$355</f>
        <v>0</v>
      </c>
      <c r="E377">
        <f>97.82*$E$355</f>
        <v>0</v>
      </c>
      <c r="F377">
        <f>-119.323*$F$355</f>
        <v>0</v>
      </c>
      <c r="G377">
        <f>11.178*$G$355</f>
        <v>0</v>
      </c>
      <c r="H377">
        <f>0*$H$355</f>
        <v>0</v>
      </c>
      <c r="I377">
        <f>-1.279*$I$355</f>
        <v>0</v>
      </c>
      <c r="J377">
        <f>-42.355*$J$355</f>
        <v>0</v>
      </c>
      <c r="K377">
        <f>56.473*$K$355</f>
        <v>0</v>
      </c>
      <c r="L377">
        <f>-0.04*$L$355</f>
        <v>0</v>
      </c>
      <c r="M377">
        <f>0+D377+E377+G377+H377+I377+J377+K377+L377</f>
        <v>0</v>
      </c>
      <c r="N377">
        <f>0+D377+F377+G377+H377+I377+J377+K377+L377</f>
        <v>0</v>
      </c>
    </row>
    <row r="378" spans="3:14">
      <c r="C378" t="s">
        <v>26</v>
      </c>
      <c r="D378">
        <f>3.775*$D$355</f>
        <v>0</v>
      </c>
      <c r="E378">
        <f>99.898*$E$355</f>
        <v>0</v>
      </c>
      <c r="F378">
        <f>-104.891*$F$355</f>
        <v>0</v>
      </c>
      <c r="G378">
        <f>9.151*$G$355</f>
        <v>0</v>
      </c>
      <c r="H378">
        <f>0*$H$355</f>
        <v>0</v>
      </c>
      <c r="I378">
        <f>-0.111*$I$355</f>
        <v>0</v>
      </c>
      <c r="J378">
        <f>-43.427*$J$355</f>
        <v>0</v>
      </c>
      <c r="K378">
        <f>57.903*$K$355</f>
        <v>0</v>
      </c>
      <c r="L378">
        <f>-0.039*$L$355</f>
        <v>0</v>
      </c>
      <c r="M378">
        <f>0+D378+E378+G378+H378+I378+J378+K378+L378</f>
        <v>0</v>
      </c>
      <c r="N378">
        <f>0+D378+F378+G378+H378+I378+J378+K378+L378</f>
        <v>0</v>
      </c>
    </row>
    <row r="379" spans="3:14">
      <c r="C379" t="s">
        <v>26</v>
      </c>
      <c r="D379">
        <f>9.949*$D$355</f>
        <v>0</v>
      </c>
      <c r="E379">
        <f>103.667*$E$355</f>
        <v>0</v>
      </c>
      <c r="F379">
        <f>-94.329*$F$355</f>
        <v>0</v>
      </c>
      <c r="G379">
        <f>7.086*$G$355</f>
        <v>0</v>
      </c>
      <c r="H379">
        <f>0*$H$355</f>
        <v>0</v>
      </c>
      <c r="I379">
        <f>0.968*$I$355</f>
        <v>0</v>
      </c>
      <c r="J379">
        <f>-40.473*$J$355</f>
        <v>0</v>
      </c>
      <c r="K379">
        <f>53.964*$K$355</f>
        <v>0</v>
      </c>
      <c r="L379">
        <f>-0.038*$L$355</f>
        <v>0</v>
      </c>
      <c r="M379">
        <f>0+D379+E379+G379+H379+I379+J379+K379+L379</f>
        <v>0</v>
      </c>
      <c r="N379">
        <f>0+D379+F379+G379+H379+I379+J379+K379+L379</f>
        <v>0</v>
      </c>
    </row>
    <row r="380" spans="3:14">
      <c r="C380" t="s">
        <v>27</v>
      </c>
      <c r="D380">
        <f>15.205*$D$355</f>
        <v>0</v>
      </c>
      <c r="E380">
        <f>109.469*$E$355</f>
        <v>0</v>
      </c>
      <c r="F380">
        <f>-91.827*$F$355</f>
        <v>0</v>
      </c>
      <c r="G380">
        <f>5.41*$G$355</f>
        <v>0</v>
      </c>
      <c r="H380">
        <f>0*$H$355</f>
        <v>0</v>
      </c>
      <c r="I380">
        <f>1.874*$I$355</f>
        <v>0</v>
      </c>
      <c r="J380">
        <f>-31.276*$J$355</f>
        <v>0</v>
      </c>
      <c r="K380">
        <f>41.701*$K$355</f>
        <v>0</v>
      </c>
      <c r="L380">
        <f>-0.038*$L$355</f>
        <v>0</v>
      </c>
      <c r="M380">
        <f>0+D380+E380+G380+H380+I380+J380+K380+L380</f>
        <v>0</v>
      </c>
      <c r="N380">
        <f>0+D380+F380+G380+H380+I380+J380+K380+L380</f>
        <v>0</v>
      </c>
    </row>
    <row r="381" spans="3:14">
      <c r="C381" t="s">
        <v>27</v>
      </c>
      <c r="D381">
        <f>20.032*$D$355</f>
        <v>0</v>
      </c>
      <c r="E381">
        <f>115.977*$E$355</f>
        <v>0</v>
      </c>
      <c r="F381">
        <f>-91.384*$F$355</f>
        <v>0</v>
      </c>
      <c r="G381">
        <f>3.751*$G$355</f>
        <v>0</v>
      </c>
      <c r="H381">
        <f>0*$H$355</f>
        <v>0</v>
      </c>
      <c r="I381">
        <f>2.714*$I$355</f>
        <v>0</v>
      </c>
      <c r="J381">
        <f>-18.825*$J$355</f>
        <v>0</v>
      </c>
      <c r="K381">
        <f>25.1*$K$355</f>
        <v>0</v>
      </c>
      <c r="L381">
        <f>-0.037*$L$355</f>
        <v>0</v>
      </c>
      <c r="M381">
        <f>0+D381+E381+G381+H381+I381+J381+K381+L381</f>
        <v>0</v>
      </c>
      <c r="N381">
        <f>0+D381+F381+G381+H381+I381+J381+K381+L381</f>
        <v>0</v>
      </c>
    </row>
    <row r="382" spans="3:14">
      <c r="C382" t="s">
        <v>28</v>
      </c>
      <c r="D382">
        <f>24.085*$D$355</f>
        <v>0</v>
      </c>
      <c r="E382">
        <f>123.885*$E$355</f>
        <v>0</v>
      </c>
      <c r="F382">
        <f>-92.381*$F$355</f>
        <v>0</v>
      </c>
      <c r="G382">
        <f>1.874*$G$355</f>
        <v>0</v>
      </c>
      <c r="H382">
        <f>0*$H$355</f>
        <v>0</v>
      </c>
      <c r="I382">
        <f>3.459*$I$355</f>
        <v>0</v>
      </c>
      <c r="J382">
        <f>-3.268*$J$355</f>
        <v>0</v>
      </c>
      <c r="K382">
        <f>4.358*$K$355</f>
        <v>0</v>
      </c>
      <c r="L382">
        <f>-0.037*$L$355</f>
        <v>0</v>
      </c>
      <c r="M382">
        <f>0+D382+E382+G382+H382+I382+J382+K382+L382</f>
        <v>0</v>
      </c>
      <c r="N382">
        <f>0+D382+F382+G382+H382+I382+J382+K382+L382</f>
        <v>0</v>
      </c>
    </row>
    <row r="383" spans="3:14">
      <c r="C383" t="s">
        <v>28</v>
      </c>
      <c r="D383">
        <f>27.891*$D$355</f>
        <v>0</v>
      </c>
      <c r="E383">
        <f>133.662*$E$355</f>
        <v>0</v>
      </c>
      <c r="F383">
        <f>-94.451*$F$355</f>
        <v>0</v>
      </c>
      <c r="G383">
        <f>0.17*$G$355</f>
        <v>0</v>
      </c>
      <c r="H383">
        <f>0*$H$355</f>
        <v>0</v>
      </c>
      <c r="I383">
        <f>4.154*$I$355</f>
        <v>0</v>
      </c>
      <c r="J383">
        <f>10.041*$J$355</f>
        <v>0</v>
      </c>
      <c r="K383">
        <f>-13.388*$K$355</f>
        <v>0</v>
      </c>
      <c r="L383">
        <f>-0.037*$L$355</f>
        <v>0</v>
      </c>
      <c r="M383">
        <f>0+D383+E383+G383+H383+I383+J383+K383+L383</f>
        <v>0</v>
      </c>
      <c r="N383">
        <f>0+D383+F383+G383+H383+I383+J383+K383+L383</f>
        <v>0</v>
      </c>
    </row>
    <row r="384" spans="3:14">
      <c r="C384" t="s">
        <v>29</v>
      </c>
      <c r="D384">
        <f>30.896*$D$355</f>
        <v>0</v>
      </c>
      <c r="E384">
        <f>144.191*$E$355</f>
        <v>0</v>
      </c>
      <c r="F384">
        <f>-97.277*$F$355</f>
        <v>0</v>
      </c>
      <c r="G384">
        <f>-1.604*$G$355</f>
        <v>0</v>
      </c>
      <c r="H384">
        <f>0*$H$355</f>
        <v>0</v>
      </c>
      <c r="I384">
        <f>4.744*$I$355</f>
        <v>0</v>
      </c>
      <c r="J384">
        <f>21.208*$J$355</f>
        <v>0</v>
      </c>
      <c r="K384">
        <f>-28.277*$K$355</f>
        <v>0</v>
      </c>
      <c r="L384">
        <f>-0.037*$L$355</f>
        <v>0</v>
      </c>
      <c r="M384">
        <f>0+D384+E384+G384+H384+I384+J384+K384+L384</f>
        <v>0</v>
      </c>
      <c r="N384">
        <f>0+D384+F384+G384+H384+I384+J384+K384+L384</f>
        <v>0</v>
      </c>
    </row>
    <row r="385" spans="3:14">
      <c r="C385" t="s">
        <v>29</v>
      </c>
      <c r="D385">
        <f>32.765*$D$355</f>
        <v>0</v>
      </c>
      <c r="E385">
        <f>158.055*$E$355</f>
        <v>0</v>
      </c>
      <c r="F385">
        <f>-103.589*$F$355</f>
        <v>0</v>
      </c>
      <c r="G385">
        <f>-3.786*$G$355</f>
        <v>0</v>
      </c>
      <c r="H385">
        <f>0*$H$355</f>
        <v>0</v>
      </c>
      <c r="I385">
        <f>5.213*$I$355</f>
        <v>0</v>
      </c>
      <c r="J385">
        <f>28.195*$J$355</f>
        <v>0</v>
      </c>
      <c r="K385">
        <f>-37.593*$K$355</f>
        <v>0</v>
      </c>
      <c r="L385">
        <f>-0.037*$L$355</f>
        <v>0</v>
      </c>
      <c r="M385">
        <f>0+D385+E385+G385+H385+I385+J385+K385+L385</f>
        <v>0</v>
      </c>
      <c r="N385">
        <f>0+D385+F385+G385+H385+I385+J385+K385+L385</f>
        <v>0</v>
      </c>
    </row>
    <row r="386" spans="3:14">
      <c r="C386" t="s">
        <v>30</v>
      </c>
      <c r="D386">
        <f>33.5*$D$355</f>
        <v>0</v>
      </c>
      <c r="E386">
        <f>174.801*$E$355</f>
        <v>0</v>
      </c>
      <c r="F386">
        <f>-112.872*$F$355</f>
        <v>0</v>
      </c>
      <c r="G386">
        <f>-5.997*$G$355</f>
        <v>0</v>
      </c>
      <c r="H386">
        <f>0*$H$355</f>
        <v>0</v>
      </c>
      <c r="I386">
        <f>5.525*$I$355</f>
        <v>0</v>
      </c>
      <c r="J386">
        <f>32.82*$J$355</f>
        <v>0</v>
      </c>
      <c r="K386">
        <f>-43.759*$K$355</f>
        <v>0</v>
      </c>
      <c r="L386">
        <f>-0.038*$L$355</f>
        <v>0</v>
      </c>
      <c r="M386">
        <f>0+D386+E386+G386+H386+I386+J386+K386+L386</f>
        <v>0</v>
      </c>
      <c r="N386">
        <f>0+D386+F386+G386+H386+I386+J386+K386+L386</f>
        <v>0</v>
      </c>
    </row>
    <row r="387" spans="3:14">
      <c r="C387" t="s">
        <v>30</v>
      </c>
      <c r="D387">
        <f>40.707*$D$355</f>
        <v>0</v>
      </c>
      <c r="E387">
        <f>147.867*$E$355</f>
        <v>0</v>
      </c>
      <c r="F387">
        <f>-122.962*$F$355</f>
        <v>0</v>
      </c>
      <c r="G387">
        <f>15.881*$G$355</f>
        <v>0</v>
      </c>
      <c r="H387">
        <f>0*$H$355</f>
        <v>0</v>
      </c>
      <c r="I387">
        <f>4.837*$I$355</f>
        <v>0</v>
      </c>
      <c r="J387">
        <f>-59.048*$J$355</f>
        <v>0</v>
      </c>
      <c r="K387">
        <f>78.731*$K$355</f>
        <v>0</v>
      </c>
      <c r="L387">
        <f>-0.038*$L$355</f>
        <v>0</v>
      </c>
      <c r="M387">
        <f>0+D387+E387+G387+H387+I387+J387+K387+L387</f>
        <v>0</v>
      </c>
      <c r="N387">
        <f>0+D387+F387+G387+H387+I387+J387+K387+L387</f>
        <v>0</v>
      </c>
    </row>
    <row r="388" spans="3:14">
      <c r="C388" t="s">
        <v>31</v>
      </c>
      <c r="D388">
        <f>39.294*$D$355</f>
        <v>0</v>
      </c>
      <c r="E388">
        <f>141.368*$E$355</f>
        <v>0</v>
      </c>
      <c r="F388">
        <f>-111.513*$F$355</f>
        <v>0</v>
      </c>
      <c r="G388">
        <f>13.724*$G$355</f>
        <v>0</v>
      </c>
      <c r="H388">
        <f>0*$H$355</f>
        <v>0</v>
      </c>
      <c r="I388">
        <f>4.826*$I$355</f>
        <v>0</v>
      </c>
      <c r="J388">
        <f>-51.994*$J$355</f>
        <v>0</v>
      </c>
      <c r="K388">
        <f>69.326*$K$355</f>
        <v>0</v>
      </c>
      <c r="L388">
        <f>-0.038*$L$355</f>
        <v>0</v>
      </c>
      <c r="M388">
        <f>0+D388+E388+G388+H388+I388+J388+K388+L388</f>
        <v>0</v>
      </c>
      <c r="N388">
        <f>0+D388+F388+G388+H388+I388+J388+K388+L388</f>
        <v>0</v>
      </c>
    </row>
    <row r="389" spans="3:14">
      <c r="C389" t="s">
        <v>31</v>
      </c>
      <c r="D389">
        <f>36.867*$D$355</f>
        <v>0</v>
      </c>
      <c r="E389">
        <f>140.849*$E$355</f>
        <v>0</v>
      </c>
      <c r="F389">
        <f>-104.191*$F$355</f>
        <v>0</v>
      </c>
      <c r="G389">
        <f>11.281*$G$355</f>
        <v>0</v>
      </c>
      <c r="H389">
        <f>0*$H$355</f>
        <v>0</v>
      </c>
      <c r="I389">
        <f>4.684*$I$355</f>
        <v>0</v>
      </c>
      <c r="J389">
        <f>-40.125*$J$355</f>
        <v>0</v>
      </c>
      <c r="K389">
        <f>53.5*$K$355</f>
        <v>0</v>
      </c>
      <c r="L389">
        <f>-0.037*$L$355</f>
        <v>0</v>
      </c>
      <c r="M389">
        <f>0+D389+E389+G389+H389+I389+J389+K389+L389</f>
        <v>0</v>
      </c>
      <c r="N389">
        <f>0+D389+F389+G389+H389+I389+J389+K389+L389</f>
        <v>0</v>
      </c>
    </row>
    <row r="390" spans="3:14">
      <c r="C390" t="s">
        <v>32</v>
      </c>
      <c r="D390">
        <f>32.935*$D$355</f>
        <v>0</v>
      </c>
      <c r="E390">
        <f>140.812*$E$355</f>
        <v>0</v>
      </c>
      <c r="F390">
        <f>-102.284*$F$355</f>
        <v>0</v>
      </c>
      <c r="G390">
        <f>9.08*$G$355</f>
        <v>0</v>
      </c>
      <c r="H390">
        <f>0*$H$355</f>
        <v>0</v>
      </c>
      <c r="I390">
        <f>4.29*$I$355</f>
        <v>0</v>
      </c>
      <c r="J390">
        <f>-20.601*$J$355</f>
        <v>0</v>
      </c>
      <c r="K390">
        <f>27.469*$K$355</f>
        <v>0</v>
      </c>
      <c r="L390">
        <f>-0.036*$L$355</f>
        <v>0</v>
      </c>
      <c r="M390">
        <f>0+D390+E390+G390+H390+I390+J390+K390+L390</f>
        <v>0</v>
      </c>
      <c r="N390">
        <f>0+D390+F390+G390+H390+I390+J390+K390+L390</f>
        <v>0</v>
      </c>
    </row>
    <row r="391" spans="3:14">
      <c r="C391" t="s">
        <v>32</v>
      </c>
      <c r="D391">
        <f>27.319*$D$355</f>
        <v>0</v>
      </c>
      <c r="E391">
        <f>140.295*$E$355</f>
        <v>0</v>
      </c>
      <c r="F391">
        <f>-101.931*$F$355</f>
        <v>0</v>
      </c>
      <c r="G391">
        <f>6.808*$G$355</f>
        <v>0</v>
      </c>
      <c r="H391">
        <f>0*$H$355</f>
        <v>0</v>
      </c>
      <c r="I391">
        <f>3.647*$I$355</f>
        <v>0</v>
      </c>
      <c r="J391">
        <f>4.083*$J$355</f>
        <v>0</v>
      </c>
      <c r="K391">
        <f>-5.444*$K$355</f>
        <v>0</v>
      </c>
      <c r="L391">
        <f>-0.035*$L$355</f>
        <v>0</v>
      </c>
      <c r="M391">
        <f>0+D391+E391+G391+H391+I391+J391+K391+L391</f>
        <v>0</v>
      </c>
      <c r="N391">
        <f>0+D391+F391+G391+H391+I391+J391+K391+L391</f>
        <v>0</v>
      </c>
    </row>
    <row r="392" spans="3:14">
      <c r="C392" t="s">
        <v>33</v>
      </c>
      <c r="D392">
        <f>19.645*$D$355</f>
        <v>0</v>
      </c>
      <c r="E392">
        <f>136.432*$E$355</f>
        <v>0</v>
      </c>
      <c r="F392">
        <f>-103.472*$F$355</f>
        <v>0</v>
      </c>
      <c r="G392">
        <f>4.049*$G$355</f>
        <v>0</v>
      </c>
      <c r="H392">
        <f>0*$H$355</f>
        <v>0</v>
      </c>
      <c r="I392">
        <f>2.743*$I$355</f>
        <v>0</v>
      </c>
      <c r="J392">
        <f>35.253*$J$355</f>
        <v>0</v>
      </c>
      <c r="K392">
        <f>-47.003*$K$355</f>
        <v>0</v>
      </c>
      <c r="L392">
        <f>-0.035*$L$355</f>
        <v>0</v>
      </c>
      <c r="M392">
        <f>0+D392+E392+G392+H392+I392+J392+K392+L392</f>
        <v>0</v>
      </c>
      <c r="N392">
        <f>0+D392+F392+G392+H392+I392+J392+K392+L392</f>
        <v>0</v>
      </c>
    </row>
    <row r="393" spans="3:14">
      <c r="C393" t="s">
        <v>33</v>
      </c>
      <c r="D393">
        <f>8.815*$D$355</f>
        <v>0</v>
      </c>
      <c r="E393">
        <f>128.3*$E$355</f>
        <v>0</v>
      </c>
      <c r="F393">
        <f>-106.088*$F$355</f>
        <v>0</v>
      </c>
      <c r="G393">
        <f>1.252*$G$355</f>
        <v>0</v>
      </c>
      <c r="H393">
        <f>0*$H$355</f>
        <v>0</v>
      </c>
      <c r="I393">
        <f>1.383*$I$355</f>
        <v>0</v>
      </c>
      <c r="J393">
        <f>68.595*$J$355</f>
        <v>0</v>
      </c>
      <c r="K393">
        <f>-91.46*$K$355</f>
        <v>0</v>
      </c>
      <c r="L393">
        <f>-0.036*$L$355</f>
        <v>0</v>
      </c>
      <c r="M393">
        <f>0+D393+E393+G393+H393+I393+J393+K393+L393</f>
        <v>0</v>
      </c>
      <c r="N393">
        <f>0+D393+F393+G393+H393+I393+J393+K393+L393</f>
        <v>0</v>
      </c>
    </row>
    <row r="394" spans="3:14">
      <c r="C394" t="s">
        <v>34</v>
      </c>
      <c r="D394">
        <f>-5.657*$D$355</f>
        <v>0</v>
      </c>
      <c r="E394">
        <f>115.2*$E$355</f>
        <v>0</v>
      </c>
      <c r="F394">
        <f>-112.233*$F$355</f>
        <v>0</v>
      </c>
      <c r="G394">
        <f>-1.933*$G$355</f>
        <v>0</v>
      </c>
      <c r="H394">
        <f>0*$H$355</f>
        <v>0</v>
      </c>
      <c r="I394">
        <f>-0.459*$I$355</f>
        <v>0</v>
      </c>
      <c r="J394">
        <f>105.601*$J$355</f>
        <v>0</v>
      </c>
      <c r="K394">
        <f>-140.801*$K$355</f>
        <v>0</v>
      </c>
      <c r="L394">
        <f>-0.038*$L$355</f>
        <v>0</v>
      </c>
      <c r="M394">
        <f>0+D394+E394+G394+H394+I394+J394+K394+L394</f>
        <v>0</v>
      </c>
      <c r="N394">
        <f>0+D394+F394+G394+H394+I394+J394+K394+L394</f>
        <v>0</v>
      </c>
    </row>
    <row r="395" spans="3:14">
      <c r="C395" t="s">
        <v>34</v>
      </c>
      <c r="D395">
        <f>-26.151*$D$355</f>
        <v>0</v>
      </c>
      <c r="E395">
        <f>98.254*$E$355</f>
        <v>0</v>
      </c>
      <c r="F395">
        <f>-114.186*$F$355</f>
        <v>0</v>
      </c>
      <c r="G395">
        <f>-5.164*$G$355</f>
        <v>0</v>
      </c>
      <c r="H395">
        <f>0*$H$355</f>
        <v>0</v>
      </c>
      <c r="I395">
        <f>-3.131*$I$355</f>
        <v>0</v>
      </c>
      <c r="J395">
        <f>145.695*$J$355</f>
        <v>0</v>
      </c>
      <c r="K395">
        <f>-194.259*$K$355</f>
        <v>0</v>
      </c>
      <c r="L395">
        <f>-0.043*$L$355</f>
        <v>0</v>
      </c>
      <c r="M395">
        <f>0+D395+E395+G395+H395+I395+J395+K395+L395</f>
        <v>0</v>
      </c>
      <c r="N395">
        <f>0+D395+F395+G395+H395+I395+J395+K395+L395</f>
        <v>0</v>
      </c>
    </row>
    <row r="396" spans="3:14">
      <c r="C396" t="s">
        <v>35</v>
      </c>
      <c r="D396">
        <f>-48.495*$D$355</f>
        <v>0</v>
      </c>
      <c r="E396">
        <f>83.355*$E$355</f>
        <v>0</v>
      </c>
      <c r="F396">
        <f>-120.044*$F$355</f>
        <v>0</v>
      </c>
      <c r="G396">
        <f>-8.21*$G$355</f>
        <v>0</v>
      </c>
      <c r="H396">
        <f>0*$H$355</f>
        <v>0</v>
      </c>
      <c r="I396">
        <f>-6.069*$I$355</f>
        <v>0</v>
      </c>
      <c r="J396">
        <f>182.177*$J$355</f>
        <v>0</v>
      </c>
      <c r="K396">
        <f>-242.903*$K$355</f>
        <v>0</v>
      </c>
      <c r="L396">
        <f>-0.051*$L$355</f>
        <v>0</v>
      </c>
      <c r="M396">
        <f>0+D396+E396+G396+H396+I396+J396+K396+L396</f>
        <v>0</v>
      </c>
      <c r="N396">
        <f>0+D396+F396+G396+H396+I396+J396+K396+L396</f>
        <v>0</v>
      </c>
    </row>
    <row r="397" spans="3:14">
      <c r="C397" t="s">
        <v>35</v>
      </c>
      <c r="D397">
        <f>14.619*$D$355</f>
        <v>0</v>
      </c>
      <c r="E397">
        <f>42.585*$E$355</f>
        <v>0</v>
      </c>
      <c r="F397">
        <f>-26.045*$F$355</f>
        <v>0</v>
      </c>
      <c r="G397">
        <f>1.264*$G$355</f>
        <v>0</v>
      </c>
      <c r="H397">
        <f>0*$H$355</f>
        <v>0</v>
      </c>
      <c r="I397">
        <f>1.947*$I$355</f>
        <v>0</v>
      </c>
      <c r="J397">
        <f>-16.855*$J$355</f>
        <v>0</v>
      </c>
      <c r="K397">
        <f>22.473*$K$355</f>
        <v>0</v>
      </c>
      <c r="L397">
        <f>0.005694*$L$355</f>
        <v>0</v>
      </c>
      <c r="M397">
        <f>0+D397+E397+G397+H397+I397+J397+K397+L397</f>
        <v>0</v>
      </c>
      <c r="N397">
        <f>0+D397+F397+G397+H397+I397+J397+K397+L397</f>
        <v>0</v>
      </c>
    </row>
    <row r="398" spans="3:14">
      <c r="C398" t="s">
        <v>36</v>
      </c>
      <c r="D398">
        <f>14.619*$D$355</f>
        <v>0</v>
      </c>
      <c r="E398">
        <f>42.614*$E$355</f>
        <v>0</v>
      </c>
      <c r="F398">
        <f>-26.045*$F$355</f>
        <v>0</v>
      </c>
      <c r="G398">
        <f>1.264*$G$355</f>
        <v>0</v>
      </c>
      <c r="H398">
        <f>0*$H$355</f>
        <v>0</v>
      </c>
      <c r="I398">
        <f>1.947*$I$355</f>
        <v>0</v>
      </c>
      <c r="J398">
        <f>-16.855*$J$355</f>
        <v>0</v>
      </c>
      <c r="K398">
        <f>22.473*$K$355</f>
        <v>0</v>
      </c>
      <c r="L398">
        <f>0.005694*$L$355</f>
        <v>0</v>
      </c>
      <c r="M398">
        <f>0+D398+E398+G398+H398+I398+J398+K398+L398</f>
        <v>0</v>
      </c>
      <c r="N398">
        <f>0+D398+F398+G398+H398+I398+J398+K398+L398</f>
        <v>0</v>
      </c>
    </row>
    <row r="399" spans="3:14">
      <c r="C399" t="s">
        <v>36</v>
      </c>
      <c r="D399">
        <f>-14.263*$D$355</f>
        <v>0</v>
      </c>
      <c r="E399">
        <f>14.671*$E$355</f>
        <v>0</v>
      </c>
      <c r="F399">
        <f>-30.931*$F$355</f>
        <v>0</v>
      </c>
      <c r="G399">
        <f>-1.324*$G$355</f>
        <v>0</v>
      </c>
      <c r="H399">
        <f>0*$H$355</f>
        <v>0</v>
      </c>
      <c r="I399">
        <f>-1.893*$I$355</f>
        <v>0</v>
      </c>
      <c r="J399">
        <f>16.133*$J$355</f>
        <v>0</v>
      </c>
      <c r="K399">
        <f>-21.511*$K$355</f>
        <v>0</v>
      </c>
      <c r="L399">
        <f>0.108*$L$355</f>
        <v>0</v>
      </c>
      <c r="M399">
        <f>0+D399+E399+G399+H399+I399+J399+K399+L399</f>
        <v>0</v>
      </c>
      <c r="N399">
        <f>0+D399+F399+G399+H399+I399+J399+K399+L399</f>
        <v>0</v>
      </c>
    </row>
    <row r="400" spans="3:14">
      <c r="C400" t="s">
        <v>37</v>
      </c>
      <c r="D400">
        <f>-14.263*$D$355</f>
        <v>0</v>
      </c>
      <c r="E400">
        <f>14.671*$E$355</f>
        <v>0</v>
      </c>
      <c r="F400">
        <f>-30.931*$F$355</f>
        <v>0</v>
      </c>
      <c r="G400">
        <f>-1.324*$G$355</f>
        <v>0</v>
      </c>
      <c r="H400">
        <f>0*$H$355</f>
        <v>0</v>
      </c>
      <c r="I400">
        <f>-1.893*$I$355</f>
        <v>0</v>
      </c>
      <c r="J400">
        <f>16.133*$J$355</f>
        <v>0</v>
      </c>
      <c r="K400">
        <f>-21.511*$K$355</f>
        <v>0</v>
      </c>
      <c r="L400">
        <f>0.108*$L$355</f>
        <v>0</v>
      </c>
      <c r="M400">
        <f>0+D400+E400+G400+H400+I400+J400+K400+L400</f>
        <v>0</v>
      </c>
      <c r="N400">
        <f>0+D400+F400+G400+H400+I400+J400+K400+L400</f>
        <v>0</v>
      </c>
    </row>
    <row r="401" spans="3:14">
      <c r="C401" t="s">
        <v>37</v>
      </c>
      <c r="D401">
        <f>51.208*$D$355</f>
        <v>0</v>
      </c>
      <c r="E401">
        <f>79*$E$355</f>
        <v>0</v>
      </c>
      <c r="F401">
        <f>-33.865*$F$355</f>
        <v>0</v>
      </c>
      <c r="G401">
        <f>7.611*$G$355</f>
        <v>0</v>
      </c>
      <c r="H401">
        <f>0*$H$355</f>
        <v>0</v>
      </c>
      <c r="I401">
        <f>6.494*$I$355</f>
        <v>0</v>
      </c>
      <c r="J401">
        <f>-188.988*$J$355</f>
        <v>0</v>
      </c>
      <c r="K401">
        <f>251.984*$K$355</f>
        <v>0</v>
      </c>
      <c r="L401">
        <f>-0.846*$L$355</f>
        <v>0</v>
      </c>
      <c r="M401">
        <f>0+D401+E401+G401+H401+I401+J401+K401+L401</f>
        <v>0</v>
      </c>
      <c r="N401">
        <f>0+D401+F401+G401+H401+I401+J401+K401+L401</f>
        <v>0</v>
      </c>
    </row>
    <row r="402" spans="3:14">
      <c r="C402" t="s">
        <v>38</v>
      </c>
      <c r="D402">
        <f>29.207*$D$355</f>
        <v>0</v>
      </c>
      <c r="E402">
        <f>49.233*$E$355</f>
        <v>0</v>
      </c>
      <c r="F402">
        <f>-22.363*$F$355</f>
        <v>0</v>
      </c>
      <c r="G402">
        <f>4.57*$G$355</f>
        <v>0</v>
      </c>
      <c r="H402">
        <f>0*$H$355</f>
        <v>0</v>
      </c>
      <c r="I402">
        <f>3.605*$I$355</f>
        <v>0</v>
      </c>
      <c r="J402">
        <f>-152.661*$J$355</f>
        <v>0</v>
      </c>
      <c r="K402">
        <f>203.548*$K$355</f>
        <v>0</v>
      </c>
      <c r="L402">
        <f>-0.527*$L$355</f>
        <v>0</v>
      </c>
      <c r="M402">
        <f>0+D402+E402+G402+H402+I402+J402+K402+L402</f>
        <v>0</v>
      </c>
      <c r="N402">
        <f>0+D402+F402+G402+H402+I402+J402+K402+L402</f>
        <v>0</v>
      </c>
    </row>
    <row r="403" spans="3:14">
      <c r="C403" t="s">
        <v>38</v>
      </c>
      <c r="D403">
        <f>8.772*$D$355</f>
        <v>0</v>
      </c>
      <c r="E403">
        <f>31.198*$E$355</f>
        <v>0</v>
      </c>
      <c r="F403">
        <f>-25.991*$F$355</f>
        <v>0</v>
      </c>
      <c r="G403">
        <f>1.386*$G$355</f>
        <v>0</v>
      </c>
      <c r="H403">
        <f>0*$H$355</f>
        <v>0</v>
      </c>
      <c r="I403">
        <f>0.938*$I$355</f>
        <v>0</v>
      </c>
      <c r="J403">
        <f>-112.222*$J$355</f>
        <v>0</v>
      </c>
      <c r="K403">
        <f>149.629*$K$355</f>
        <v>0</v>
      </c>
      <c r="L403">
        <f>-0.215*$L$355</f>
        <v>0</v>
      </c>
      <c r="M403">
        <f>0+D403+E403+G403+H403+I403+J403+K403+L403</f>
        <v>0</v>
      </c>
      <c r="N403">
        <f>0+D403+F403+G403+H403+I403+J403+K403+L403</f>
        <v>0</v>
      </c>
    </row>
    <row r="404" spans="3:14">
      <c r="C404" t="s">
        <v>39</v>
      </c>
      <c r="D404">
        <f>-5.488*$D$355</f>
        <v>0</v>
      </c>
      <c r="E404">
        <f>21.743*$E$355</f>
        <v>0</v>
      </c>
      <c r="F404">
        <f>-36.175*$F$355</f>
        <v>0</v>
      </c>
      <c r="G404">
        <f>-1.745*$G$355</f>
        <v>0</v>
      </c>
      <c r="H404">
        <f>0*$H$355</f>
        <v>0</v>
      </c>
      <c r="I404">
        <f>-0.877*$I$355</f>
        <v>0</v>
      </c>
      <c r="J404">
        <f>-74.851*$J$355</f>
        <v>0</v>
      </c>
      <c r="K404">
        <f>99.801*$K$355</f>
        <v>0</v>
      </c>
      <c r="L404">
        <f>0.018*$L$355</f>
        <v>0</v>
      </c>
      <c r="M404">
        <f>0+D404+E404+G404+H404+I404+J404+K404+L404</f>
        <v>0</v>
      </c>
      <c r="N404">
        <f>0+D404+F404+G404+H404+I404+J404+K404+L404</f>
        <v>0</v>
      </c>
    </row>
    <row r="405" spans="3:14">
      <c r="C405" t="s">
        <v>39</v>
      </c>
      <c r="D405">
        <f>-16.007*$D$355</f>
        <v>0</v>
      </c>
      <c r="E405">
        <f>19.26*$E$355</f>
        <v>0</v>
      </c>
      <c r="F405">
        <f>-46.394*$F$355</f>
        <v>0</v>
      </c>
      <c r="G405">
        <f>-4.486*$G$355</f>
        <v>0</v>
      </c>
      <c r="H405">
        <f>0*$H$355</f>
        <v>0</v>
      </c>
      <c r="I405">
        <f>-2.196*$I$355</f>
        <v>0</v>
      </c>
      <c r="J405">
        <f>-41.153*$J$355</f>
        <v>0</v>
      </c>
      <c r="K405">
        <f>54.87*$K$355</f>
        <v>0</v>
      </c>
      <c r="L405">
        <f>0.224*$L$355</f>
        <v>0</v>
      </c>
      <c r="M405">
        <f>0+D405+E405+G405+H405+I405+J405+K405+L405</f>
        <v>0</v>
      </c>
      <c r="N405">
        <f>0+D405+F405+G405+H405+I405+J405+K405+L405</f>
        <v>0</v>
      </c>
    </row>
    <row r="406" spans="3:14">
      <c r="C406" t="s">
        <v>40</v>
      </c>
      <c r="D406">
        <f>-23.396*$D$355</f>
        <v>0</v>
      </c>
      <c r="E406">
        <f>20.086*$E$355</f>
        <v>0</v>
      </c>
      <c r="F406">
        <f>-51.382*$F$355</f>
        <v>0</v>
      </c>
      <c r="G406">
        <f>-7.2*$G$355</f>
        <v>0</v>
      </c>
      <c r="H406">
        <f>0*$H$355</f>
        <v>0</v>
      </c>
      <c r="I406">
        <f>-3.063*$I$355</f>
        <v>0</v>
      </c>
      <c r="J406">
        <f>-9.705*$J$355</f>
        <v>0</v>
      </c>
      <c r="K406">
        <f>12.94*$K$355</f>
        <v>0</v>
      </c>
      <c r="L406">
        <f>0.389*$L$355</f>
        <v>0</v>
      </c>
      <c r="M406">
        <f>0+D406+E406+G406+H406+I406+J406+K406+L406</f>
        <v>0</v>
      </c>
      <c r="N406">
        <f>0+D406+F406+G406+H406+I406+J406+K406+L406</f>
        <v>0</v>
      </c>
    </row>
    <row r="407" spans="3:14">
      <c r="C407" t="s">
        <v>40</v>
      </c>
      <c r="D407">
        <f>-28.831*$D$355</f>
        <v>0</v>
      </c>
      <c r="E407">
        <f>26.111*$E$355</f>
        <v>0</v>
      </c>
      <c r="F407">
        <f>-58.892*$F$355</f>
        <v>0</v>
      </c>
      <c r="G407">
        <f>-9.418*$G$355</f>
        <v>0</v>
      </c>
      <c r="H407">
        <f>0*$H$355</f>
        <v>0</v>
      </c>
      <c r="I407">
        <f>-3.684*$I$355</f>
        <v>0</v>
      </c>
      <c r="J407">
        <f>15.397*$J$355</f>
        <v>0</v>
      </c>
      <c r="K407">
        <f>-20.53*$K$355</f>
        <v>0</v>
      </c>
      <c r="L407">
        <f>0.554*$L$355</f>
        <v>0</v>
      </c>
      <c r="M407">
        <f>0+D407+E407+G407+H407+I407+J407+K407+L407</f>
        <v>0</v>
      </c>
      <c r="N407">
        <f>0+D407+F407+G407+H407+I407+J407+K407+L407</f>
        <v>0</v>
      </c>
    </row>
    <row r="408" spans="3:14">
      <c r="C408" t="s">
        <v>41</v>
      </c>
      <c r="D408">
        <f>-32.678*$D$355</f>
        <v>0</v>
      </c>
      <c r="E408">
        <f>34.991*$E$355</f>
        <v>0</v>
      </c>
      <c r="F408">
        <f>-66.19*$F$355</f>
        <v>0</v>
      </c>
      <c r="G408">
        <f>-11.566*$G$355</f>
        <v>0</v>
      </c>
      <c r="H408">
        <f>0*$H$355</f>
        <v>0</v>
      </c>
      <c r="I408">
        <f>-4.069*$I$355</f>
        <v>0</v>
      </c>
      <c r="J408">
        <f>35.368*$J$355</f>
        <v>0</v>
      </c>
      <c r="K408">
        <f>-47.157*$K$355</f>
        <v>0</v>
      </c>
      <c r="L408">
        <f>0.72*$L$355</f>
        <v>0</v>
      </c>
      <c r="M408">
        <f>0+D408+E408+G408+H408+I408+J408+K408+L408</f>
        <v>0</v>
      </c>
      <c r="N408">
        <f>0+D408+F408+G408+H408+I408+J408+K408+L408</f>
        <v>0</v>
      </c>
    </row>
    <row r="409" spans="3:14">
      <c r="C409" t="s">
        <v>41</v>
      </c>
      <c r="D409">
        <f>-35.17*$D$355</f>
        <v>0</v>
      </c>
      <c r="E409">
        <f>46.706*$E$355</f>
        <v>0</v>
      </c>
      <c r="F409">
        <f>-76.19*$F$355</f>
        <v>0</v>
      </c>
      <c r="G409">
        <f>-13.947*$G$355</f>
        <v>0</v>
      </c>
      <c r="H409">
        <f>0*$H$355</f>
        <v>0</v>
      </c>
      <c r="I409">
        <f>-4.226*$I$355</f>
        <v>0</v>
      </c>
      <c r="J409">
        <f>47.849*$J$355</f>
        <v>0</v>
      </c>
      <c r="K409">
        <f>-63.799*$K$355</f>
        <v>0</v>
      </c>
      <c r="L409">
        <f>0.887*$L$355</f>
        <v>0</v>
      </c>
      <c r="M409">
        <f>0+D409+E409+G409+H409+I409+J409+K409+L409</f>
        <v>0</v>
      </c>
      <c r="N409">
        <f>0+D409+F409+G409+H409+I409+J409+K409+L409</f>
        <v>0</v>
      </c>
    </row>
    <row r="410" spans="3:14">
      <c r="C410" t="s">
        <v>42</v>
      </c>
      <c r="D410">
        <f>-36.735*$D$355</f>
        <v>0</v>
      </c>
      <c r="E410">
        <f>60.282*$E$355</f>
        <v>0</v>
      </c>
      <c r="F410">
        <f>-89.079*$F$355</f>
        <v>0</v>
      </c>
      <c r="G410">
        <f>-16.044*$G$355</f>
        <v>0</v>
      </c>
      <c r="H410">
        <f>0*$H$355</f>
        <v>0</v>
      </c>
      <c r="I410">
        <f>-4.264*$I$355</f>
        <v>0</v>
      </c>
      <c r="J410">
        <f>55.528*$J$355</f>
        <v>0</v>
      </c>
      <c r="K410">
        <f>-74.037*$K$355</f>
        <v>0</v>
      </c>
      <c r="L410">
        <f>1.07*$L$355</f>
        <v>0</v>
      </c>
      <c r="M410">
        <f>0+D410+E410+G410+H410+I410+J410+K410+L410</f>
        <v>0</v>
      </c>
      <c r="N410">
        <f>0+D410+F410+G410+H410+I410+J410+K410+L410</f>
        <v>0</v>
      </c>
    </row>
    <row r="411" spans="3:14">
      <c r="C411" t="s">
        <v>42</v>
      </c>
      <c r="D411">
        <f>-26.842*$D$355</f>
        <v>0</v>
      </c>
      <c r="E411">
        <f>44.194*$E$355</f>
        <v>0</v>
      </c>
      <c r="F411">
        <f>-90.096*$F$355</f>
        <v>0</v>
      </c>
      <c r="G411">
        <f>5.391*$G$355</f>
        <v>0</v>
      </c>
      <c r="H411">
        <f>0*$H$355</f>
        <v>0</v>
      </c>
      <c r="I411">
        <f>-4.535*$I$355</f>
        <v>0</v>
      </c>
      <c r="J411">
        <f>-41.633*$J$355</f>
        <v>0</v>
      </c>
      <c r="K411">
        <f>55.51*$K$355</f>
        <v>0</v>
      </c>
      <c r="L411">
        <f>0.549*$L$355</f>
        <v>0</v>
      </c>
      <c r="M411">
        <f>0+D411+E411+G411+H411+I411+J411+K411+L411</f>
        <v>0</v>
      </c>
      <c r="N411">
        <f>0+D411+F411+G411+H411+I411+J411+K411+L411</f>
        <v>0</v>
      </c>
    </row>
    <row r="412" spans="3:14">
      <c r="C412" t="s">
        <v>43</v>
      </c>
      <c r="D412">
        <f>-26.346*$D$355</f>
        <v>0</v>
      </c>
      <c r="E412">
        <f>28.881*$E$355</f>
        <v>0</v>
      </c>
      <c r="F412">
        <f>-71.85*$F$355</f>
        <v>0</v>
      </c>
      <c r="G412">
        <f>3.223*$G$355</f>
        <v>0</v>
      </c>
      <c r="H412">
        <f>0*$H$355</f>
        <v>0</v>
      </c>
      <c r="I412">
        <f>-4.262*$I$355</f>
        <v>0</v>
      </c>
      <c r="J412">
        <f>-36.502*$J$355</f>
        <v>0</v>
      </c>
      <c r="K412">
        <f>48.67*$K$355</f>
        <v>0</v>
      </c>
      <c r="L412">
        <f>0.749*$L$355</f>
        <v>0</v>
      </c>
      <c r="M412">
        <f>0+D412+E412+G412+H412+I412+J412+K412+L412</f>
        <v>0</v>
      </c>
      <c r="N412">
        <f>0+D412+F412+G412+H412+I412+J412+K412+L412</f>
        <v>0</v>
      </c>
    </row>
    <row r="413" spans="3:14">
      <c r="C413" t="s">
        <v>43</v>
      </c>
      <c r="D413">
        <f>-24.678*$D$355</f>
        <v>0</v>
      </c>
      <c r="E413">
        <f>18.101*$E$355</f>
        <v>0</v>
      </c>
      <c r="F413">
        <f>-55.485*$F$355</f>
        <v>0</v>
      </c>
      <c r="G413">
        <f>1.062*$G$355</f>
        <v>0</v>
      </c>
      <c r="H413">
        <f>0*$H$355</f>
        <v>0</v>
      </c>
      <c r="I413">
        <f>-3.823*$I$355</f>
        <v>0</v>
      </c>
      <c r="J413">
        <f>-29.237*$J$355</f>
        <v>0</v>
      </c>
      <c r="K413">
        <f>38.982*$K$355</f>
        <v>0</v>
      </c>
      <c r="L413">
        <f>0.941*$L$355</f>
        <v>0</v>
      </c>
      <c r="M413">
        <f>0+D413+E413+G413+H413+I413+J413+K413+L413</f>
        <v>0</v>
      </c>
      <c r="N413">
        <f>0+D413+F413+G413+H413+I413+J413+K413+L413</f>
        <v>0</v>
      </c>
    </row>
    <row r="414" spans="3:14">
      <c r="C414" t="s">
        <v>44</v>
      </c>
      <c r="D414">
        <f>-21.799*$D$355</f>
        <v>0</v>
      </c>
      <c r="E414">
        <f>14.512*$E$355</f>
        <v>0</v>
      </c>
      <c r="F414">
        <f>-46.226*$F$355</f>
        <v>0</v>
      </c>
      <c r="G414">
        <f>-0.731*$G$355</f>
        <v>0</v>
      </c>
      <c r="H414">
        <f>0*$H$355</f>
        <v>0</v>
      </c>
      <c r="I414">
        <f>-3.251*$I$355</f>
        <v>0</v>
      </c>
      <c r="J414">
        <f>-18.217*$J$355</f>
        <v>0</v>
      </c>
      <c r="K414">
        <f>24.289*$K$355</f>
        <v>0</v>
      </c>
      <c r="L414">
        <f>1.082*$L$355</f>
        <v>0</v>
      </c>
      <c r="M414">
        <f>0+D414+E414+G414+H414+I414+J414+K414+L414</f>
        <v>0</v>
      </c>
      <c r="N414">
        <f>0+D414+F414+G414+H414+I414+J414+K414+L414</f>
        <v>0</v>
      </c>
    </row>
    <row r="415" spans="3:14">
      <c r="C415" t="s">
        <v>44</v>
      </c>
      <c r="D415">
        <f>-18.073*$D$355</f>
        <v>0</v>
      </c>
      <c r="E415">
        <f>13.919*$E$355</f>
        <v>0</v>
      </c>
      <c r="F415">
        <f>-40.552*$F$355</f>
        <v>0</v>
      </c>
      <c r="G415">
        <f>-2.484*$G$355</f>
        <v>0</v>
      </c>
      <c r="H415">
        <f>0*$H$355</f>
        <v>0</v>
      </c>
      <c r="I415">
        <f>-2.565*$I$355</f>
        <v>0</v>
      </c>
      <c r="J415">
        <f>-5.346*$J$355</f>
        <v>0</v>
      </c>
      <c r="K415">
        <f>7.128*$K$355</f>
        <v>0</v>
      </c>
      <c r="L415">
        <f>1.208*$L$355</f>
        <v>0</v>
      </c>
      <c r="M415">
        <f>0+D415+E415+G415+H415+I415+J415+K415+L415</f>
        <v>0</v>
      </c>
      <c r="N415">
        <f>0+D415+F415+G415+H415+I415+J415+K415+L415</f>
        <v>0</v>
      </c>
    </row>
    <row r="416" spans="3:14">
      <c r="C416" t="s">
        <v>45</v>
      </c>
      <c r="D416">
        <f>-14.071*$D$355</f>
        <v>0</v>
      </c>
      <c r="E416">
        <f>17.859*$E$355</f>
        <v>0</v>
      </c>
      <c r="F416">
        <f>-36.846*$F$355</f>
        <v>0</v>
      </c>
      <c r="G416">
        <f>-4.444*$G$355</f>
        <v>0</v>
      </c>
      <c r="H416">
        <f>0*$H$355</f>
        <v>0</v>
      </c>
      <c r="I416">
        <f>-1.822*$I$355</f>
        <v>0</v>
      </c>
      <c r="J416">
        <f>9.432*$J$355</f>
        <v>0</v>
      </c>
      <c r="K416">
        <f>-12.575*$K$355</f>
        <v>0</v>
      </c>
      <c r="L416">
        <f>1.302*$L$355</f>
        <v>0</v>
      </c>
      <c r="M416">
        <f>0+D416+E416+G416+H416+I416+J416+K416+L416</f>
        <v>0</v>
      </c>
      <c r="N416">
        <f>0+D416+F416+G416+H416+I416+J416+K416+L416</f>
        <v>0</v>
      </c>
    </row>
    <row r="417" spans="3:14">
      <c r="C417" t="s">
        <v>45</v>
      </c>
      <c r="D417">
        <f>-9.295*$D$355</f>
        <v>0</v>
      </c>
      <c r="E417">
        <f>27.309*$E$355</f>
        <v>0</v>
      </c>
      <c r="F417">
        <f>-37.693*$F$355</f>
        <v>0</v>
      </c>
      <c r="G417">
        <f>-6.224*$G$355</f>
        <v>0</v>
      </c>
      <c r="H417">
        <f>0*$H$355</f>
        <v>0</v>
      </c>
      <c r="I417">
        <f>-0.982*$I$355</f>
        <v>0</v>
      </c>
      <c r="J417">
        <f>20.752*$J$355</f>
        <v>0</v>
      </c>
      <c r="K417">
        <f>-27.669*$K$355</f>
        <v>0</v>
      </c>
      <c r="L417">
        <f>1.358*$L$355</f>
        <v>0</v>
      </c>
      <c r="M417">
        <f>0+D417+E417+G417+H417+I417+J417+K417+L417</f>
        <v>0</v>
      </c>
      <c r="N417">
        <f>0+D417+F417+G417+H417+I417+J417+K417+L417</f>
        <v>0</v>
      </c>
    </row>
    <row r="418" spans="3:14">
      <c r="C418" t="s">
        <v>46</v>
      </c>
      <c r="D418">
        <f>-4.089*$D$355</f>
        <v>0</v>
      </c>
      <c r="E418">
        <f>41.507*$E$355</f>
        <v>0</v>
      </c>
      <c r="F418">
        <f>-41.668*$F$355</f>
        <v>0</v>
      </c>
      <c r="G418">
        <f>-8.073*$G$355</f>
        <v>0</v>
      </c>
      <c r="H418">
        <f>0*$H$355</f>
        <v>0</v>
      </c>
      <c r="I418">
        <f>-0.071*$I$355</f>
        <v>0</v>
      </c>
      <c r="J418">
        <f>28.337*$J$355</f>
        <v>0</v>
      </c>
      <c r="K418">
        <f>-37.783*$K$355</f>
        <v>0</v>
      </c>
      <c r="L418">
        <f>1.375*$L$355</f>
        <v>0</v>
      </c>
      <c r="M418">
        <f>0+D418+E418+G418+H418+I418+J418+K418+L418</f>
        <v>0</v>
      </c>
      <c r="N418">
        <f>0+D418+F418+G418+H418+I418+J418+K418+L418</f>
        <v>0</v>
      </c>
    </row>
    <row r="419" spans="3:14">
      <c r="C419" t="s">
        <v>46</v>
      </c>
      <c r="D419">
        <f>2.001*$D$355</f>
        <v>0</v>
      </c>
      <c r="E419">
        <f>65.82*$E$355</f>
        <v>0</v>
      </c>
      <c r="F419">
        <f>-52.392*$F$355</f>
        <v>0</v>
      </c>
      <c r="G419">
        <f>-10.397*$G$355</f>
        <v>0</v>
      </c>
      <c r="H419">
        <f>0*$H$355</f>
        <v>0</v>
      </c>
      <c r="I419">
        <f>1.014*$I$355</f>
        <v>0</v>
      </c>
      <c r="J419">
        <f>28.875*$J$355</f>
        <v>0</v>
      </c>
      <c r="K419">
        <f>-38.5*$K$355</f>
        <v>0</v>
      </c>
      <c r="L419">
        <f>1.284*$L$355</f>
        <v>0</v>
      </c>
      <c r="M419">
        <f>0+D419+E419+G419+H419+I419+J419+K419+L419</f>
        <v>0</v>
      </c>
      <c r="N419">
        <f>0+D419+F419+G419+H419+I419+J419+K419+L419</f>
        <v>0</v>
      </c>
    </row>
    <row r="420" spans="3:14">
      <c r="C420" t="s">
        <v>47</v>
      </c>
      <c r="D420">
        <f>8.639*$D$355</f>
        <v>0</v>
      </c>
      <c r="E420">
        <f>87.442*$E$355</f>
        <v>0</v>
      </c>
      <c r="F420">
        <f>-67.061*$F$355</f>
        <v>0</v>
      </c>
      <c r="G420">
        <f>-12.757*$G$355</f>
        <v>0</v>
      </c>
      <c r="H420">
        <f>0*$H$355</f>
        <v>0</v>
      </c>
      <c r="I420">
        <f>2.185*$I$355</f>
        <v>0</v>
      </c>
      <c r="J420">
        <f>24.73*$J$355</f>
        <v>0</v>
      </c>
      <c r="K420">
        <f>-32.973*$K$355</f>
        <v>0</v>
      </c>
      <c r="L420">
        <f>1.131*$L$355</f>
        <v>0</v>
      </c>
      <c r="M420">
        <f>0+D420+E420+G420+H420+I420+J420+K420+L420</f>
        <v>0</v>
      </c>
      <c r="N420">
        <f>0+D420+F420+G420+H420+I420+J420+K420+L420</f>
        <v>0</v>
      </c>
    </row>
    <row r="421" spans="3:14">
      <c r="C421" t="s">
        <v>47</v>
      </c>
      <c r="D421">
        <f>-9.174*$D$355</f>
        <v>0</v>
      </c>
      <c r="E421">
        <f>62.676*$E$355</f>
        <v>0</v>
      </c>
      <c r="F421">
        <f>-82.119*$F$355</f>
        <v>0</v>
      </c>
      <c r="G421">
        <f>12.155*$G$355</f>
        <v>0</v>
      </c>
      <c r="H421">
        <f>0*$H$355</f>
        <v>0</v>
      </c>
      <c r="I421">
        <f>-2.24*$I$355</f>
        <v>0</v>
      </c>
      <c r="J421">
        <f>-28.525*$J$355</f>
        <v>0</v>
      </c>
      <c r="K421">
        <f>38.033*$K$355</f>
        <v>0</v>
      </c>
      <c r="L421">
        <f>2.087*$L$355</f>
        <v>0</v>
      </c>
      <c r="M421">
        <f>0+D421+E421+G421+H421+I421+J421+K421+L421</f>
        <v>0</v>
      </c>
      <c r="N421">
        <f>0+D421+F421+G421+H421+I421+J421+K421+L421</f>
        <v>0</v>
      </c>
    </row>
    <row r="422" spans="3:14">
      <c r="C422" t="s">
        <v>48</v>
      </c>
      <c r="D422">
        <f>-2.418*$D$355</f>
        <v>0</v>
      </c>
      <c r="E422">
        <f>48.348*$E$355</f>
        <v>0</v>
      </c>
      <c r="F422">
        <f>-60.785*$F$355</f>
        <v>0</v>
      </c>
      <c r="G422">
        <f>9.792*$G$355</f>
        <v>0</v>
      </c>
      <c r="H422">
        <f>0*$H$355</f>
        <v>0</v>
      </c>
      <c r="I422">
        <f>-1.051*$I$355</f>
        <v>0</v>
      </c>
      <c r="J422">
        <f>-32.769*$J$355</f>
        <v>0</v>
      </c>
      <c r="K422">
        <f>43.692*$K$355</f>
        <v>0</v>
      </c>
      <c r="L422">
        <f>1.837*$L$355</f>
        <v>0</v>
      </c>
      <c r="M422">
        <f>0+D422+E422+G422+H422+I422+J422+K422+L422</f>
        <v>0</v>
      </c>
      <c r="N422">
        <f>0+D422+F422+G422+H422+I422+J422+K422+L422</f>
        <v>0</v>
      </c>
    </row>
    <row r="423" spans="3:14">
      <c r="C423" t="s">
        <v>48</v>
      </c>
      <c r="D423">
        <f>3.904*$D$355</f>
        <v>0</v>
      </c>
      <c r="E423">
        <f>39.15*$E$355</f>
        <v>0</v>
      </c>
      <c r="F423">
        <f>-37.395*$F$355</f>
        <v>0</v>
      </c>
      <c r="G423">
        <f>7.463*$G$355</f>
        <v>0</v>
      </c>
      <c r="H423">
        <f>0*$H$355</f>
        <v>0</v>
      </c>
      <c r="I423">
        <f>0.068*$I$355</f>
        <v>0</v>
      </c>
      <c r="J423">
        <f>-32.426*$J$355</f>
        <v>0</v>
      </c>
      <c r="K423">
        <f>43.235*$K$355</f>
        <v>0</v>
      </c>
      <c r="L423">
        <f>1.564*$L$355</f>
        <v>0</v>
      </c>
      <c r="M423">
        <f>0+D423+E423+G423+H423+I423+J423+K423+L423</f>
        <v>0</v>
      </c>
      <c r="N423">
        <f>0+D423+F423+G423+H423+I423+J423+K423+L423</f>
        <v>0</v>
      </c>
    </row>
    <row r="424" spans="3:14">
      <c r="C424" t="s">
        <v>49</v>
      </c>
      <c r="D424">
        <f>9.494*$D$355</f>
        <v>0</v>
      </c>
      <c r="E424">
        <f>39.026*$E$355</f>
        <v>0</v>
      </c>
      <c r="F424">
        <f>-23.187*$F$355</f>
        <v>0</v>
      </c>
      <c r="G424">
        <f>5.608*$G$355</f>
        <v>0</v>
      </c>
      <c r="H424">
        <f>0*$H$355</f>
        <v>0</v>
      </c>
      <c r="I424">
        <f>1.036*$I$355</f>
        <v>0</v>
      </c>
      <c r="J424">
        <f>-25.15*$J$355</f>
        <v>0</v>
      </c>
      <c r="K424">
        <f>33.533*$K$355</f>
        <v>0</v>
      </c>
      <c r="L424">
        <f>1.218*$L$355</f>
        <v>0</v>
      </c>
      <c r="M424">
        <f>0+D424+E424+G424+H424+I424+J424+K424+L424</f>
        <v>0</v>
      </c>
      <c r="N424">
        <f>0+D424+F424+G424+H424+I424+J424+K424+L424</f>
        <v>0</v>
      </c>
    </row>
    <row r="425" spans="3:14">
      <c r="C425" t="s">
        <v>49</v>
      </c>
      <c r="D425">
        <f>14.76*$D$355</f>
        <v>0</v>
      </c>
      <c r="E425">
        <f>41.245*$E$355</f>
        <v>0</v>
      </c>
      <c r="F425">
        <f>-20.5*$F$355</f>
        <v>0</v>
      </c>
      <c r="G425">
        <f>3.819*$G$355</f>
        <v>0</v>
      </c>
      <c r="H425">
        <f>0*$H$355</f>
        <v>0</v>
      </c>
      <c r="I425">
        <f>1.948*$I$355</f>
        <v>0</v>
      </c>
      <c r="J425">
        <f>-14.225*$J$355</f>
        <v>0</v>
      </c>
      <c r="K425">
        <f>18.966*$K$355</f>
        <v>0</v>
      </c>
      <c r="L425">
        <f>0.841*$L$355</f>
        <v>0</v>
      </c>
      <c r="M425">
        <f>0+D425+E425+G425+H425+I425+J425+K425+L425</f>
        <v>0</v>
      </c>
      <c r="N425">
        <f>0+D425+F425+G425+H425+I425+J425+K425+L425</f>
        <v>0</v>
      </c>
    </row>
    <row r="426" spans="3:14">
      <c r="C426" t="s">
        <v>50</v>
      </c>
      <c r="D426">
        <f>19.372*$D$355</f>
        <v>0</v>
      </c>
      <c r="E426">
        <f>48.42*$E$355</f>
        <v>0</v>
      </c>
      <c r="F426">
        <f>-20.086*$F$355</f>
        <v>0</v>
      </c>
      <c r="G426">
        <f>1.852*$G$355</f>
        <v>0</v>
      </c>
      <c r="H426">
        <f>0*$H$355</f>
        <v>0</v>
      </c>
      <c r="I426">
        <f>2.78*$I$355</f>
        <v>0</v>
      </c>
      <c r="J426">
        <f>0.086*$J$355</f>
        <v>0</v>
      </c>
      <c r="K426">
        <f>-0.114*$K$355</f>
        <v>0</v>
      </c>
      <c r="L426">
        <f>0.408*$L$355</f>
        <v>0</v>
      </c>
      <c r="M426">
        <f>0+D426+E426+G426+H426+I426+J426+K426+L426</f>
        <v>0</v>
      </c>
      <c r="N426">
        <f>0+D426+F426+G426+H426+I426+J426+K426+L426</f>
        <v>0</v>
      </c>
    </row>
    <row r="427" spans="3:14">
      <c r="C427" t="s">
        <v>50</v>
      </c>
      <c r="D427">
        <f>23.856*$D$355</f>
        <v>0</v>
      </c>
      <c r="E427">
        <f>57.971*$E$355</f>
        <v>0</v>
      </c>
      <c r="F427">
        <f>-22.982*$F$355</f>
        <v>0</v>
      </c>
      <c r="G427">
        <f>0.094*$G$355</f>
        <v>0</v>
      </c>
      <c r="H427">
        <f>0*$H$355</f>
        <v>0</v>
      </c>
      <c r="I427">
        <f>3.578*$I$355</f>
        <v>0</v>
      </c>
      <c r="J427">
        <f>12.401*$J$355</f>
        <v>0</v>
      </c>
      <c r="K427">
        <f>-16.535*$K$355</f>
        <v>0</v>
      </c>
      <c r="L427">
        <f>-0.103*$L$355</f>
        <v>0</v>
      </c>
      <c r="M427">
        <f>0+D427+E427+G427+H427+I427+J427+K427+L427</f>
        <v>0</v>
      </c>
      <c r="N427">
        <f>0+D427+F427+G427+H427+I427+J427+K427+L427</f>
        <v>0</v>
      </c>
    </row>
    <row r="428" spans="3:14">
      <c r="C428" t="s">
        <v>51</v>
      </c>
      <c r="D428">
        <f>27.711*$D$355</f>
        <v>0</v>
      </c>
      <c r="E428">
        <f>69.286*$E$355</f>
        <v>0</v>
      </c>
      <c r="F428">
        <f>-27.751*$F$355</f>
        <v>0</v>
      </c>
      <c r="G428">
        <f>-1.699*$G$355</f>
        <v>0</v>
      </c>
      <c r="H428">
        <f>0*$H$355</f>
        <v>0</v>
      </c>
      <c r="I428">
        <f>4.293*$I$355</f>
        <v>0</v>
      </c>
      <c r="J428">
        <f>22.757*$J$355</f>
        <v>0</v>
      </c>
      <c r="K428">
        <f>-30.343*$K$355</f>
        <v>0</v>
      </c>
      <c r="L428">
        <f>-0.687*$L$355</f>
        <v>0</v>
      </c>
      <c r="M428">
        <f>0+D428+E428+G428+H428+I428+J428+K428+L428</f>
        <v>0</v>
      </c>
      <c r="N428">
        <f>0+D428+F428+G428+H428+I428+J428+K428+L428</f>
        <v>0</v>
      </c>
    </row>
    <row r="429" spans="3:14">
      <c r="C429" t="s">
        <v>51</v>
      </c>
      <c r="D429">
        <f>30.784*$D$355</f>
        <v>0</v>
      </c>
      <c r="E429">
        <f>86.841*$E$355</f>
        <v>0</v>
      </c>
      <c r="F429">
        <f>-38.379*$F$355</f>
        <v>0</v>
      </c>
      <c r="G429">
        <f>-3.848*$G$355</f>
        <v>0</v>
      </c>
      <c r="H429">
        <f>0*$H$355</f>
        <v>0</v>
      </c>
      <c r="I429">
        <f>4.937*$I$355</f>
        <v>0</v>
      </c>
      <c r="J429">
        <f>29.149*$J$355</f>
        <v>0</v>
      </c>
      <c r="K429">
        <f>-38.866*$K$355</f>
        <v>0</v>
      </c>
      <c r="L429">
        <f>-1.664*$L$355</f>
        <v>0</v>
      </c>
      <c r="M429">
        <f>0+D429+E429+G429+H429+I429+J429+K429+L429</f>
        <v>0</v>
      </c>
      <c r="N429">
        <f>0+D429+F429+G429+H429+I429+J429+K429+L429</f>
        <v>0</v>
      </c>
    </row>
    <row r="430" spans="3:14">
      <c r="C430" t="s">
        <v>52</v>
      </c>
      <c r="D430">
        <f>32.97*$D$355</f>
        <v>0</v>
      </c>
      <c r="E430">
        <f>106.134*$E$355</f>
        <v>0</v>
      </c>
      <c r="F430">
        <f>-52.543*$F$355</f>
        <v>0</v>
      </c>
      <c r="G430">
        <f>-5.988*$G$355</f>
        <v>0</v>
      </c>
      <c r="H430">
        <f>0*$H$355</f>
        <v>0</v>
      </c>
      <c r="I430">
        <f>5.458*$I$355</f>
        <v>0</v>
      </c>
      <c r="J430">
        <f>33.315*$J$355</f>
        <v>0</v>
      </c>
      <c r="K430">
        <f>-44.42*$K$355</f>
        <v>0</v>
      </c>
      <c r="L430">
        <f>-2.845*$L$355</f>
        <v>0</v>
      </c>
      <c r="M430">
        <f>0+D430+E430+G430+H430+I430+J430+K430+L430</f>
        <v>0</v>
      </c>
      <c r="N430">
        <f>0+D430+F430+G430+H430+I430+J430+K430+L430</f>
        <v>0</v>
      </c>
    </row>
    <row r="431" spans="3:14">
      <c r="C431" t="s">
        <v>52</v>
      </c>
      <c r="D431">
        <f>33.46*$D$355</f>
        <v>0</v>
      </c>
      <c r="E431">
        <f>91.243*$E$355</f>
        <v>0</v>
      </c>
      <c r="F431">
        <f>-60.496*$F$355</f>
        <v>0</v>
      </c>
      <c r="G431">
        <f>15.342*$G$355</f>
        <v>0</v>
      </c>
      <c r="H431">
        <f>0*$H$355</f>
        <v>0</v>
      </c>
      <c r="I431">
        <f>3.811*$I$355</f>
        <v>0</v>
      </c>
      <c r="J431">
        <f>-58.145*$J$355</f>
        <v>0</v>
      </c>
      <c r="K431">
        <f>77.526*$K$355</f>
        <v>0</v>
      </c>
      <c r="L431">
        <f>3.968*$L$355</f>
        <v>0</v>
      </c>
      <c r="M431">
        <f>0+D431+E431+G431+H431+I431+J431+K431+L431</f>
        <v>0</v>
      </c>
      <c r="N431">
        <f>0+D431+F431+G431+H431+I431+J431+K431+L431</f>
        <v>0</v>
      </c>
    </row>
    <row r="432" spans="3:14">
      <c r="C432" t="s">
        <v>53</v>
      </c>
      <c r="D432">
        <f>33.642*$D$355</f>
        <v>0</v>
      </c>
      <c r="E432">
        <f>80.176*$E$355</f>
        <v>0</v>
      </c>
      <c r="F432">
        <f>-44.182*$F$355</f>
        <v>0</v>
      </c>
      <c r="G432">
        <f>13.299*$G$355</f>
        <v>0</v>
      </c>
      <c r="H432">
        <f>0*$H$355</f>
        <v>0</v>
      </c>
      <c r="I432">
        <f>4.028*$I$355</f>
        <v>0</v>
      </c>
      <c r="J432">
        <f>-51.283*$J$355</f>
        <v>0</v>
      </c>
      <c r="K432">
        <f>68.377*$K$355</f>
        <v>0</v>
      </c>
      <c r="L432">
        <f>2.37*$L$355</f>
        <v>0</v>
      </c>
      <c r="M432">
        <f>0+D432+E432+G432+H432+I432+J432+K432+L432</f>
        <v>0</v>
      </c>
      <c r="N432">
        <f>0+D432+F432+G432+H432+I432+J432+K432+L432</f>
        <v>0</v>
      </c>
    </row>
    <row r="433" spans="3:14">
      <c r="C433" t="s">
        <v>53</v>
      </c>
      <c r="D433">
        <f>32.849*$D$355</f>
        <v>0</v>
      </c>
      <c r="E433">
        <f>71.133*$E$355</f>
        <v>0</v>
      </c>
      <c r="F433">
        <f>-31.753*$F$355</f>
        <v>0</v>
      </c>
      <c r="G433">
        <f>10.984*$G$355</f>
        <v>0</v>
      </c>
      <c r="H433">
        <f>0*$H$355</f>
        <v>0</v>
      </c>
      <c r="I433">
        <f>4.117*$I$355</f>
        <v>0</v>
      </c>
      <c r="J433">
        <f>-39.51*$J$355</f>
        <v>0</v>
      </c>
      <c r="K433">
        <f>52.68*$K$355</f>
        <v>0</v>
      </c>
      <c r="L433">
        <f>0.512*$L$355</f>
        <v>0</v>
      </c>
      <c r="M433">
        <f>0+D433+E433+G433+H433+I433+J433+K433+L433</f>
        <v>0</v>
      </c>
      <c r="N433">
        <f>0+D433+F433+G433+H433+I433+J433+K433+L433</f>
        <v>0</v>
      </c>
    </row>
    <row r="434" spans="3:14">
      <c r="C434" t="s">
        <v>54</v>
      </c>
      <c r="D434">
        <f>30.595*$D$355</f>
        <v>0</v>
      </c>
      <c r="E434">
        <f>66.721*$E$355</f>
        <v>0</v>
      </c>
      <c r="F434">
        <f>-26.826*$F$355</f>
        <v>0</v>
      </c>
      <c r="G434">
        <f>8.929*$G$355</f>
        <v>0</v>
      </c>
      <c r="H434">
        <f>0*$H$355</f>
        <v>0</v>
      </c>
      <c r="I434">
        <f>3.962*$I$355</f>
        <v>0</v>
      </c>
      <c r="J434">
        <f>-19.986*$J$355</f>
        <v>0</v>
      </c>
      <c r="K434">
        <f>26.648*$K$355</f>
        <v>0</v>
      </c>
      <c r="L434">
        <f>-1.643*$L$355</f>
        <v>0</v>
      </c>
      <c r="M434">
        <f>0+D434+E434+G434+H434+I434+J434+K434+L434</f>
        <v>0</v>
      </c>
      <c r="N434">
        <f>0+D434+F434+G434+H434+I434+J434+K434+L434</f>
        <v>0</v>
      </c>
    </row>
    <row r="435" spans="3:14">
      <c r="C435" t="s">
        <v>54</v>
      </c>
      <c r="D435">
        <f>26.804*$D$355</f>
        <v>0</v>
      </c>
      <c r="E435">
        <f>63.614*$E$355</f>
        <v>0</v>
      </c>
      <c r="F435">
        <f>-24.807*$F$355</f>
        <v>0</v>
      </c>
      <c r="G435">
        <f>6.828*$G$355</f>
        <v>0</v>
      </c>
      <c r="H435">
        <f>0*$H$355</f>
        <v>0</v>
      </c>
      <c r="I435">
        <f>3.578*$I$355</f>
        <v>0</v>
      </c>
      <c r="J435">
        <f>4.793*$J$355</f>
        <v>0</v>
      </c>
      <c r="K435">
        <f>-6.39*$K$355</f>
        <v>0</v>
      </c>
      <c r="L435">
        <f>-3.982*$L$355</f>
        <v>0</v>
      </c>
      <c r="M435">
        <f>0+D435+E435+G435+H435+I435+J435+K435+L435</f>
        <v>0</v>
      </c>
      <c r="N435">
        <f>0+D435+F435+G435+H435+I435+J435+K435+L435</f>
        <v>0</v>
      </c>
    </row>
    <row r="436" spans="3:14">
      <c r="C436" t="s">
        <v>55</v>
      </c>
      <c r="D436">
        <f>21.136*$D$355</f>
        <v>0</v>
      </c>
      <c r="E436">
        <f>59.998*$E$355</f>
        <v>0</v>
      </c>
      <c r="F436">
        <f>-26.71*$F$355</f>
        <v>0</v>
      </c>
      <c r="G436">
        <f>4.262*$G$355</f>
        <v>0</v>
      </c>
      <c r="H436">
        <f>0*$H$355</f>
        <v>0</v>
      </c>
      <c r="I436">
        <f>2.957*$I$355</f>
        <v>0</v>
      </c>
      <c r="J436">
        <f>36.08*$J$355</f>
        <v>0</v>
      </c>
      <c r="K436">
        <f>-48.107*$K$355</f>
        <v>0</v>
      </c>
      <c r="L436">
        <f>-6.54*$L$355</f>
        <v>0</v>
      </c>
      <c r="M436">
        <f>0+D436+E436+G436+H436+I436+J436+K436+L436</f>
        <v>0</v>
      </c>
      <c r="N436">
        <f>0+D436+F436+G436+H436+I436+J436+K436+L436</f>
        <v>0</v>
      </c>
    </row>
    <row r="437" spans="3:14">
      <c r="C437" t="s">
        <v>55</v>
      </c>
      <c r="D437">
        <f>12.776*$D$355</f>
        <v>0</v>
      </c>
      <c r="E437">
        <f>51.963*$E$355</f>
        <v>0</v>
      </c>
      <c r="F437">
        <f>-31.177*$F$355</f>
        <v>0</v>
      </c>
      <c r="G437">
        <f>1.713*$G$355</f>
        <v>0</v>
      </c>
      <c r="H437">
        <f>0*$H$355</f>
        <v>0</v>
      </c>
      <c r="I437">
        <f>1.947*$I$355</f>
        <v>0</v>
      </c>
      <c r="J437">
        <f>69.632*$J$355</f>
        <v>0</v>
      </c>
      <c r="K437">
        <f>-92.842*$K$355</f>
        <v>0</v>
      </c>
      <c r="L437">
        <f>-9.024*$L$355</f>
        <v>0</v>
      </c>
      <c r="M437">
        <f>0+D437+E437+G437+H437+I437+J437+K437+L437</f>
        <v>0</v>
      </c>
      <c r="N437">
        <f>0+D437+F437+G437+H437+I437+J437+K437+L437</f>
        <v>0</v>
      </c>
    </row>
    <row r="438" spans="3:14">
      <c r="C438" t="s">
        <v>56</v>
      </c>
      <c r="D438">
        <f>1.264*$D$355</f>
        <v>0</v>
      </c>
      <c r="E438">
        <f>43.122*$E$355</f>
        <v>0</v>
      </c>
      <c r="F438">
        <f>-39.614*$F$355</f>
        <v>0</v>
      </c>
      <c r="G438">
        <f>-1.177*$G$355</f>
        <v>0</v>
      </c>
      <c r="H438">
        <f>0*$H$355</f>
        <v>0</v>
      </c>
      <c r="I438">
        <f>0.525*$I$355</f>
        <v>0</v>
      </c>
      <c r="J438">
        <f>106.797*$J$355</f>
        <v>0</v>
      </c>
      <c r="K438">
        <f>-142.397*$K$355</f>
        <v>0</v>
      </c>
      <c r="L438">
        <f>-11.227*$L$355</f>
        <v>0</v>
      </c>
      <c r="M438">
        <f>0+D438+E438+G438+H438+I438+J438+K438+L438</f>
        <v>0</v>
      </c>
      <c r="N438">
        <f>0+D438+F438+G438+H438+I438+J438+K438+L438</f>
        <v>0</v>
      </c>
    </row>
    <row r="439" spans="3:14">
      <c r="C439" t="s">
        <v>56</v>
      </c>
      <c r="D439">
        <f>-15.226*$D$355</f>
        <v>0</v>
      </c>
      <c r="E439">
        <f>34.016*$E$355</f>
        <v>0</v>
      </c>
      <c r="F439">
        <f>-53.143*$F$355</f>
        <v>0</v>
      </c>
      <c r="G439">
        <f>-4.012*$G$355</f>
        <v>0</v>
      </c>
      <c r="H439">
        <f>0*$H$355</f>
        <v>0</v>
      </c>
      <c r="I439">
        <f>-1.577*$I$355</f>
        <v>0</v>
      </c>
      <c r="J439">
        <f>146.989*$J$355</f>
        <v>0</v>
      </c>
      <c r="K439">
        <f>-195.985*$K$355</f>
        <v>0</v>
      </c>
      <c r="L439">
        <f>-12.954*$L$355</f>
        <v>0</v>
      </c>
      <c r="M439">
        <f>0+D439+E439+G439+H439+I439+J439+K439+L439</f>
        <v>0</v>
      </c>
      <c r="N439">
        <f>0+D439+F439+G439+H439+I439+J439+K439+L439</f>
        <v>0</v>
      </c>
    </row>
    <row r="440" spans="3:14">
      <c r="C440" t="s">
        <v>57</v>
      </c>
      <c r="D440">
        <f>-33.27*$D$355</f>
        <v>0</v>
      </c>
      <c r="E440">
        <f>33.452*$E$355</f>
        <v>0</v>
      </c>
      <c r="F440">
        <f>-75.68*$F$355</f>
        <v>0</v>
      </c>
      <c r="G440">
        <f>-6.628*$G$355</f>
        <v>0</v>
      </c>
      <c r="H440">
        <f>0*$H$355</f>
        <v>0</v>
      </c>
      <c r="I440">
        <f>-3.904*$I$355</f>
        <v>0</v>
      </c>
      <c r="J440">
        <f>183.605*$J$355</f>
        <v>0</v>
      </c>
      <c r="K440">
        <f>-244.807*$K$355</f>
        <v>0</v>
      </c>
      <c r="L440">
        <f>-13.503*$L$355</f>
        <v>0</v>
      </c>
      <c r="M440">
        <f>0+D440+E440+G440+H440+I440+J440+K440+L440</f>
        <v>0</v>
      </c>
      <c r="N440">
        <f>0+D440+F440+G440+H440+I440+J440+K440+L440</f>
        <v>0</v>
      </c>
    </row>
    <row r="441" spans="3:14">
      <c r="C441" t="s">
        <v>57</v>
      </c>
      <c r="D441">
        <f>11.75*$D$355</f>
        <v>0</v>
      </c>
      <c r="E441">
        <f>35.481*$E$355</f>
        <v>0</v>
      </c>
      <c r="F441">
        <f>-18.895*$F$355</f>
        <v>0</v>
      </c>
      <c r="G441">
        <f>0.987*$G$355</f>
        <v>0</v>
      </c>
      <c r="H441">
        <f>0*$H$355</f>
        <v>0</v>
      </c>
      <c r="I441">
        <f>1.538*$I$355</f>
        <v>0</v>
      </c>
      <c r="J441">
        <f>-16.799*$J$355</f>
        <v>0</v>
      </c>
      <c r="K441">
        <f>22.399*$K$355</f>
        <v>0</v>
      </c>
      <c r="L441">
        <f>-0.802*$L$355</f>
        <v>0</v>
      </c>
      <c r="M441">
        <f>0+D441+E441+G441+H441+I441+J441+K441+L441</f>
        <v>0</v>
      </c>
      <c r="N441">
        <f>0+D441+F441+G441+H441+I441+J441+K441+L441</f>
        <v>0</v>
      </c>
    </row>
    <row r="442" spans="3:14">
      <c r="C442" t="s">
        <v>58</v>
      </c>
      <c r="D442">
        <f>11.75*$D$355</f>
        <v>0</v>
      </c>
      <c r="E442">
        <f>35.481*$E$355</f>
        <v>0</v>
      </c>
      <c r="F442">
        <f>-18.895*$F$355</f>
        <v>0</v>
      </c>
      <c r="G442">
        <f>0.987*$G$355</f>
        <v>0</v>
      </c>
      <c r="H442">
        <f>0*$H$355</f>
        <v>0</v>
      </c>
      <c r="I442">
        <f>1.538*$I$355</f>
        <v>0</v>
      </c>
      <c r="J442">
        <f>-16.799*$J$355</f>
        <v>0</v>
      </c>
      <c r="K442">
        <f>22.399*$K$355</f>
        <v>0</v>
      </c>
      <c r="L442">
        <f>-0.802*$L$355</f>
        <v>0</v>
      </c>
      <c r="M442">
        <f>0+D442+E442+G442+H442+I442+J442+K442+L442</f>
        <v>0</v>
      </c>
      <c r="N442">
        <f>0+D442+F442+G442+H442+I442+J442+K442+L442</f>
        <v>0</v>
      </c>
    </row>
    <row r="443" spans="3:14">
      <c r="C443" t="s">
        <v>58</v>
      </c>
      <c r="D443">
        <f>-9.42*$D$355</f>
        <v>0</v>
      </c>
      <c r="E443">
        <f>13.101*$E$355</f>
        <v>0</v>
      </c>
      <c r="F443">
        <f>-25.93*$F$355</f>
        <v>0</v>
      </c>
      <c r="G443">
        <f>-0.966*$G$355</f>
        <v>0</v>
      </c>
      <c r="H443">
        <f>0*$H$355</f>
        <v>0</v>
      </c>
      <c r="I443">
        <f>-1.186*$I$355</f>
        <v>0</v>
      </c>
      <c r="J443">
        <f>11.679*$J$355</f>
        <v>0</v>
      </c>
      <c r="K443">
        <f>-15.572*$K$355</f>
        <v>0</v>
      </c>
      <c r="L443">
        <f>9.026*$L$355</f>
        <v>0</v>
      </c>
      <c r="M443">
        <f>0+D443+E443+G443+H443+I443+J443+K443+L443</f>
        <v>0</v>
      </c>
      <c r="N443">
        <f>0+D443+F443+G443+H443+I443+J443+K443+L443</f>
        <v>0</v>
      </c>
    </row>
    <row r="444" spans="3:14">
      <c r="C444" t="s">
        <v>59</v>
      </c>
      <c r="D444">
        <f>-9.42*$D$355</f>
        <v>0</v>
      </c>
      <c r="E444">
        <f>13.101*$E$355</f>
        <v>0</v>
      </c>
      <c r="F444">
        <f>-25.93*$F$355</f>
        <v>0</v>
      </c>
      <c r="G444">
        <f>-0.966*$G$355</f>
        <v>0</v>
      </c>
      <c r="H444">
        <f>0*$H$355</f>
        <v>0</v>
      </c>
      <c r="I444">
        <f>-1.186*$I$355</f>
        <v>0</v>
      </c>
      <c r="J444">
        <f>11.679*$J$355</f>
        <v>0</v>
      </c>
      <c r="K444">
        <f>-15.572*$K$355</f>
        <v>0</v>
      </c>
      <c r="L444">
        <f>9.026*$L$355</f>
        <v>0</v>
      </c>
      <c r="M444">
        <f>0+D444+E444+G444+H444+I444+J444+K444+L444</f>
        <v>0</v>
      </c>
      <c r="N444">
        <f>0+D444+F444+G444+H444+I444+J444+K444+L444</f>
        <v>0</v>
      </c>
    </row>
    <row r="445" spans="3:14">
      <c r="C445" t="s">
        <v>59</v>
      </c>
      <c r="D445">
        <f>44.706*$D$355</f>
        <v>0</v>
      </c>
      <c r="E445">
        <f>75.589*$E$355</f>
        <v>0</v>
      </c>
      <c r="F445">
        <f>-27.008*$F$355</f>
        <v>0</v>
      </c>
      <c r="G445">
        <f>6.547*$G$355</f>
        <v>0</v>
      </c>
      <c r="H445">
        <f>0*$H$355</f>
        <v>0</v>
      </c>
      <c r="I445">
        <f>5.624*$I$355</f>
        <v>0</v>
      </c>
      <c r="J445">
        <f>-205.118*$J$355</f>
        <v>0</v>
      </c>
      <c r="K445">
        <f>273.491*$K$355</f>
        <v>0</v>
      </c>
      <c r="L445">
        <f>25.169*$L$355</f>
        <v>0</v>
      </c>
      <c r="M445">
        <f>0+D445+E445+G445+H445+I445+J445+K445+L445</f>
        <v>0</v>
      </c>
      <c r="N445">
        <f>0+D445+F445+G445+H445+I445+J445+K445+L445</f>
        <v>0</v>
      </c>
    </row>
    <row r="446" spans="3:14">
      <c r="C446" t="s">
        <v>60</v>
      </c>
      <c r="D446">
        <f>31.201*$D$355</f>
        <v>0</v>
      </c>
      <c r="E446">
        <f>49.132*$E$355</f>
        <v>0</v>
      </c>
      <c r="F446">
        <f>-18.351*$F$355</f>
        <v>0</v>
      </c>
      <c r="G446">
        <f>4.093*$G$355</f>
        <v>0</v>
      </c>
      <c r="H446">
        <f>0*$H$355</f>
        <v>0</v>
      </c>
      <c r="I446">
        <f>3.974*$I$355</f>
        <v>0</v>
      </c>
      <c r="J446">
        <f>-175.558*$J$355</f>
        <v>0</v>
      </c>
      <c r="K446">
        <f>234.077*$K$355</f>
        <v>0</v>
      </c>
      <c r="L446">
        <f>21.196*$L$355</f>
        <v>0</v>
      </c>
      <c r="M446">
        <f>0+D446+E446+G446+H446+I446+J446+K446+L446</f>
        <v>0</v>
      </c>
      <c r="N446">
        <f>0+D446+F446+G446+H446+I446+J446+K446+L446</f>
        <v>0</v>
      </c>
    </row>
    <row r="447" spans="3:14">
      <c r="C447" t="s">
        <v>60</v>
      </c>
      <c r="D447">
        <f>18.674*$D$355</f>
        <v>0</v>
      </c>
      <c r="E447">
        <f>32.385*$E$355</f>
        <v>0</v>
      </c>
      <c r="F447">
        <f>-15.288*$F$355</f>
        <v>0</v>
      </c>
      <c r="G447">
        <f>1.584*$G$355</f>
        <v>0</v>
      </c>
      <c r="H447">
        <f>0*$H$355</f>
        <v>0</v>
      </c>
      <c r="I447">
        <f>2.451*$I$355</f>
        <v>0</v>
      </c>
      <c r="J447">
        <f>-139.808*$J$355</f>
        <v>0</v>
      </c>
      <c r="K447">
        <f>186.411*$K$355</f>
        <v>0</v>
      </c>
      <c r="L447">
        <f>15.027*$L$355</f>
        <v>0</v>
      </c>
      <c r="M447">
        <f>0+D447+E447+G447+H447+I447+J447+K447+L447</f>
        <v>0</v>
      </c>
      <c r="N447">
        <f>0+D447+F447+G447+H447+I447+J447+K447+L447</f>
        <v>0</v>
      </c>
    </row>
    <row r="448" spans="3:14">
      <c r="C448" t="s">
        <v>61</v>
      </c>
      <c r="D448">
        <f>10.538*$D$355</f>
        <v>0</v>
      </c>
      <c r="E448">
        <f>26.991*$E$355</f>
        <v>0</v>
      </c>
      <c r="F448">
        <f>-17.585*$F$355</f>
        <v>0</v>
      </c>
      <c r="G448">
        <f>-0.798*$G$355</f>
        <v>0</v>
      </c>
      <c r="H448">
        <f>0*$H$355</f>
        <v>0</v>
      </c>
      <c r="I448">
        <f>1.508*$I$355</f>
        <v>0</v>
      </c>
      <c r="J448">
        <f>-104.356*$J$355</f>
        <v>0</v>
      </c>
      <c r="K448">
        <f>139.141*$K$355</f>
        <v>0</v>
      </c>
      <c r="L448">
        <f>6.844*$L$355</f>
        <v>0</v>
      </c>
      <c r="M448">
        <f>0+D448+E448+G448+H448+I448+J448+K448+L448</f>
        <v>0</v>
      </c>
      <c r="N448">
        <f>0+D448+F448+G448+H448+I448+J448+K448+L448</f>
        <v>0</v>
      </c>
    </row>
    <row r="449" spans="3:14">
      <c r="C449" t="s">
        <v>61</v>
      </c>
      <c r="D449">
        <f>4.685*$D$355</f>
        <v>0</v>
      </c>
      <c r="E449">
        <f>27.674*$E$355</f>
        <v>0</v>
      </c>
      <c r="F449">
        <f>-23.243*$F$355</f>
        <v>0</v>
      </c>
      <c r="G449">
        <f>-2.772*$G$355</f>
        <v>0</v>
      </c>
      <c r="H449">
        <f>0*$H$355</f>
        <v>0</v>
      </c>
      <c r="I449">
        <f>0.844*$I$355</f>
        <v>0</v>
      </c>
      <c r="J449">
        <f>-70.844*$J$355</f>
        <v>0</v>
      </c>
      <c r="K449">
        <f>94.459*$K$355</f>
        <v>0</v>
      </c>
      <c r="L449">
        <f>-3.389*$L$355</f>
        <v>0</v>
      </c>
      <c r="M449">
        <f>0+D449+E449+G449+H449+I449+J449+K449+L449</f>
        <v>0</v>
      </c>
      <c r="N449">
        <f>0+D449+F449+G449+H449+I449+J449+K449+L449</f>
        <v>0</v>
      </c>
    </row>
    <row r="450" spans="3:14">
      <c r="C450" t="s">
        <v>62</v>
      </c>
      <c r="D450">
        <f>0.749*$D$355</f>
        <v>0</v>
      </c>
      <c r="E450">
        <f>29.486*$E$355</f>
        <v>0</v>
      </c>
      <c r="F450">
        <f>-26.361*$F$355</f>
        <v>0</v>
      </c>
      <c r="G450">
        <f>-4.671*$G$355</f>
        <v>0</v>
      </c>
      <c r="H450">
        <f>0*$H$355</f>
        <v>0</v>
      </c>
      <c r="I450">
        <f>0.446*$I$355</f>
        <v>0</v>
      </c>
      <c r="J450">
        <f>-37.772*$J$355</f>
        <v>0</v>
      </c>
      <c r="K450">
        <f>50.362*$K$355</f>
        <v>0</v>
      </c>
      <c r="L450">
        <f>-12.346*$L$355</f>
        <v>0</v>
      </c>
      <c r="M450">
        <f>0+D450+E450+G450+H450+I450+J450+K450+L450</f>
        <v>0</v>
      </c>
      <c r="N450">
        <f>0+D450+F450+G450+H450+I450+J450+K450+L450</f>
        <v>0</v>
      </c>
    </row>
    <row r="451" spans="3:14">
      <c r="C451" t="s">
        <v>62</v>
      </c>
      <c r="D451">
        <f>-2.386*$D$355</f>
        <v>0</v>
      </c>
      <c r="E451">
        <f>34.69*$E$355</f>
        <v>0</v>
      </c>
      <c r="F451">
        <f>-32.045*$F$355</f>
        <v>0</v>
      </c>
      <c r="G451">
        <f>-6.023*$G$355</f>
        <v>0</v>
      </c>
      <c r="H451">
        <f>0*$H$355</f>
        <v>0</v>
      </c>
      <c r="I451">
        <f>0.119*$I$355</f>
        <v>0</v>
      </c>
      <c r="J451">
        <f>-9.17*$J$355</f>
        <v>0</v>
      </c>
      <c r="K451">
        <f>12.226*$K$355</f>
        <v>0</v>
      </c>
      <c r="L451">
        <f>-22.868*$L$355</f>
        <v>0</v>
      </c>
      <c r="M451">
        <f>0+D451+E451+G451+H451+I451+J451+K451+L451</f>
        <v>0</v>
      </c>
      <c r="N451">
        <f>0+D451+F451+G451+H451+I451+J451+K451+L451</f>
        <v>0</v>
      </c>
    </row>
    <row r="452" spans="3:14">
      <c r="C452" t="s">
        <v>63</v>
      </c>
      <c r="D452">
        <f>-4.853*$D$355</f>
        <v>0</v>
      </c>
      <c r="E452">
        <f>40.557*$E$355</f>
        <v>0</v>
      </c>
      <c r="F452">
        <f>-37.937*$F$355</f>
        <v>0</v>
      </c>
      <c r="G452">
        <f>-7.187*$G$355</f>
        <v>0</v>
      </c>
      <c r="H452">
        <f>0*$H$355</f>
        <v>0</v>
      </c>
      <c r="I452">
        <f>-0.117*$I$355</f>
        <v>0</v>
      </c>
      <c r="J452">
        <f>16.72*$J$355</f>
        <v>0</v>
      </c>
      <c r="K452">
        <f>-22.293*$K$355</f>
        <v>0</v>
      </c>
      <c r="L452">
        <f>-32.44*$L$355</f>
        <v>0</v>
      </c>
      <c r="M452">
        <f>0+D452+E452+G452+H452+I452+J452+K452+L452</f>
        <v>0</v>
      </c>
      <c r="N452">
        <f>0+D452+F452+G452+H452+I452+J452+K452+L452</f>
        <v>0</v>
      </c>
    </row>
    <row r="453" spans="3:14">
      <c r="C453" t="s">
        <v>63</v>
      </c>
      <c r="D453">
        <f>-6.852*$D$355</f>
        <v>0</v>
      </c>
      <c r="E453">
        <f>52.286*$E$355</f>
        <v>0</v>
      </c>
      <c r="F453">
        <f>-49.884*$F$355</f>
        <v>0</v>
      </c>
      <c r="G453">
        <f>-8.33*$G$355</f>
        <v>0</v>
      </c>
      <c r="H453">
        <f>0*$H$355</f>
        <v>0</v>
      </c>
      <c r="I453">
        <f>-0.274*$I$355</f>
        <v>0</v>
      </c>
      <c r="J453">
        <f>39.254*$J$355</f>
        <v>0</v>
      </c>
      <c r="K453">
        <f>-52.339*$K$355</f>
        <v>0</v>
      </c>
      <c r="L453">
        <f>-45.148*$L$355</f>
        <v>0</v>
      </c>
      <c r="M453">
        <f>0+D453+E453+G453+H453+I453+J453+K453+L453</f>
        <v>0</v>
      </c>
      <c r="N453">
        <f>0+D453+F453+G453+H453+I453+J453+K453+L453</f>
        <v>0</v>
      </c>
    </row>
    <row r="454" spans="3:14">
      <c r="C454" t="s">
        <v>64</v>
      </c>
      <c r="D454">
        <f>-8.756*$D$355</f>
        <v>0</v>
      </c>
      <c r="E454">
        <f>70.549*$E$355</f>
        <v>0</v>
      </c>
      <c r="F454">
        <f>-63.177*$F$355</f>
        <v>0</v>
      </c>
      <c r="G454">
        <f>-9.084*$G$355</f>
        <v>0</v>
      </c>
      <c r="H454">
        <f>0*$H$355</f>
        <v>0</v>
      </c>
      <c r="I454">
        <f>-0.443*$I$355</f>
        <v>0</v>
      </c>
      <c r="J454">
        <f>59.661*$J$355</f>
        <v>0</v>
      </c>
      <c r="K454">
        <f>-79.548*$K$355</f>
        <v>0</v>
      </c>
      <c r="L454">
        <f>-56.961*$L$355</f>
        <v>0</v>
      </c>
      <c r="M454">
        <f>0+D454+E454+G454+H454+I454+J454+K454+L454</f>
        <v>0</v>
      </c>
      <c r="N454">
        <f>0+D454+F454+G454+H454+I454+J454+K454+L454</f>
        <v>0</v>
      </c>
    </row>
    <row r="455" spans="3:14">
      <c r="C455" t="s">
        <v>64</v>
      </c>
      <c r="D455">
        <f>0.563*$D$355</f>
        <v>0</v>
      </c>
      <c r="E455">
        <f>49.059*$E$355</f>
        <v>0</v>
      </c>
      <c r="F455">
        <f>-66.348*$F$355</f>
        <v>0</v>
      </c>
      <c r="G455">
        <f>5.581*$G$355</f>
        <v>0</v>
      </c>
      <c r="H455">
        <f>0*$H$355</f>
        <v>0</v>
      </c>
      <c r="I455">
        <f>-0.395*$I$355</f>
        <v>0</v>
      </c>
      <c r="J455">
        <f>-108.565*$J$355</f>
        <v>0</v>
      </c>
      <c r="K455">
        <f>144.754*$K$355</f>
        <v>0</v>
      </c>
      <c r="L455">
        <f>30.552*$L$355</f>
        <v>0</v>
      </c>
      <c r="M455">
        <f>0+D455+E455+G455+H455+I455+J455+K455+L455</f>
        <v>0</v>
      </c>
      <c r="N455">
        <f>0+D455+F455+G455+H455+I455+J455+K455+L455</f>
        <v>0</v>
      </c>
    </row>
    <row r="456" spans="3:14">
      <c r="C456" t="s">
        <v>65</v>
      </c>
      <c r="D456">
        <f>-0.687*$D$355</f>
        <v>0</v>
      </c>
      <c r="E456">
        <f>35.702*$E$355</f>
        <v>0</v>
      </c>
      <c r="F456">
        <f>-43.11*$F$355</f>
        <v>0</v>
      </c>
      <c r="G456">
        <f>4.915*$G$355</f>
        <v>0</v>
      </c>
      <c r="H456">
        <f>0*$H$355</f>
        <v>0</v>
      </c>
      <c r="I456">
        <f>-0.478*$I$355</f>
        <v>0</v>
      </c>
      <c r="J456">
        <f>-84.159*$J$355</f>
        <v>0</v>
      </c>
      <c r="K456">
        <f>112.212*$K$355</f>
        <v>0</v>
      </c>
      <c r="L456">
        <f>18.275*$L$355</f>
        <v>0</v>
      </c>
      <c r="M456">
        <f>0+D456+E456+G456+H456+I456+J456+K456+L456</f>
        <v>0</v>
      </c>
      <c r="N456">
        <f>0+D456+F456+G456+H456+I456+J456+K456+L456</f>
        <v>0</v>
      </c>
    </row>
    <row r="457" spans="3:14">
      <c r="C457" t="s">
        <v>65</v>
      </c>
      <c r="D457">
        <f>-1.324*$D$355</f>
        <v>0</v>
      </c>
      <c r="E457">
        <f>27.726*$E$355</f>
        <v>0</v>
      </c>
      <c r="F457">
        <f>-33.887*$F$355</f>
        <v>0</v>
      </c>
      <c r="G457">
        <f>4.093*$G$355</f>
        <v>0</v>
      </c>
      <c r="H457">
        <f>0*$H$355</f>
        <v>0</v>
      </c>
      <c r="I457">
        <f>-0.473*$I$355</f>
        <v>0</v>
      </c>
      <c r="J457">
        <f>-55.361*$J$355</f>
        <v>0</v>
      </c>
      <c r="K457">
        <f>73.815*$K$355</f>
        <v>0</v>
      </c>
      <c r="L457">
        <f>5.882*$L$355</f>
        <v>0</v>
      </c>
      <c r="M457">
        <f>0+D457+E457+G457+H457+I457+J457+K457+L457</f>
        <v>0</v>
      </c>
      <c r="N457">
        <f>0+D457+F457+G457+H457+I457+J457+K457+L457</f>
        <v>0</v>
      </c>
    </row>
    <row r="458" spans="3:14">
      <c r="C458" t="s">
        <v>66</v>
      </c>
      <c r="D458">
        <f>-1.333*$D$355</f>
        <v>0</v>
      </c>
      <c r="E458">
        <f>27.343*$E$355</f>
        <v>0</v>
      </c>
      <c r="F458">
        <f>-29.733*$F$355</f>
        <v>0</v>
      </c>
      <c r="G458">
        <f>3.477*$G$355</f>
        <v>0</v>
      </c>
      <c r="H458">
        <f>0*$H$355</f>
        <v>0</v>
      </c>
      <c r="I458">
        <f>-0.418*$I$355</f>
        <v>0</v>
      </c>
      <c r="J458">
        <f>-19.912*$J$355</f>
        <v>0</v>
      </c>
      <c r="K458">
        <f>26.55*$K$355</f>
        <v>0</v>
      </c>
      <c r="L458">
        <f>-2.477*$L$355</f>
        <v>0</v>
      </c>
      <c r="M458">
        <f>0+D458+E458+G458+H458+I458+J458+K458+L458</f>
        <v>0</v>
      </c>
      <c r="N458">
        <f>0+D458+F458+G458+H458+I458+J458+K458+L458</f>
        <v>0</v>
      </c>
    </row>
    <row r="459" spans="3:14">
      <c r="C459" t="s">
        <v>66</v>
      </c>
      <c r="D459">
        <f>-1.106*$D$355</f>
        <v>0</v>
      </c>
      <c r="E459">
        <f>28.637*$E$355</f>
        <v>0</v>
      </c>
      <c r="F459">
        <f>-29.17*$F$355</f>
        <v>0</v>
      </c>
      <c r="G459">
        <f>2.728*$G$355</f>
        <v>0</v>
      </c>
      <c r="H459">
        <f>0*$H$355</f>
        <v>0</v>
      </c>
      <c r="I459">
        <f>-0.332*$I$355</f>
        <v>0</v>
      </c>
      <c r="J459">
        <f>21.43*$J$355</f>
        <v>0</v>
      </c>
      <c r="K459">
        <f>-28.574*$K$355</f>
        <v>0</v>
      </c>
      <c r="L459">
        <f>-11.878*$L$355</f>
        <v>0</v>
      </c>
      <c r="M459">
        <f>0+D459+E459+G459+H459+I459+J459+K459+L459</f>
        <v>0</v>
      </c>
      <c r="N459">
        <f>0+D459+F459+G459+H459+I459+J459+K459+L459</f>
        <v>0</v>
      </c>
    </row>
    <row r="460" spans="3:14">
      <c r="C460" t="s">
        <v>67</v>
      </c>
      <c r="D460">
        <f>-0.788*$D$355</f>
        <v>0</v>
      </c>
      <c r="E460">
        <f>30.288*$E$355</f>
        <v>0</v>
      </c>
      <c r="F460">
        <f>-29.283*$F$355</f>
        <v>0</v>
      </c>
      <c r="G460">
        <f>1.652*$G$355</f>
        <v>0</v>
      </c>
      <c r="H460">
        <f>0*$H$355</f>
        <v>0</v>
      </c>
      <c r="I460">
        <f>-0.214*$I$355</f>
        <v>0</v>
      </c>
      <c r="J460">
        <f>69.242*$J$355</f>
        <v>0</v>
      </c>
      <c r="K460">
        <f>-92.322*$K$355</f>
        <v>0</v>
      </c>
      <c r="L460">
        <f>-19.529*$L$355</f>
        <v>0</v>
      </c>
      <c r="M460">
        <f>0+D460+E460+G460+H460+I460+J460+K460+L460</f>
        <v>0</v>
      </c>
      <c r="N460">
        <f>0+D460+F460+G460+H460+I460+J460+K460+L460</f>
        <v>0</v>
      </c>
    </row>
    <row r="461" spans="3:14">
      <c r="C461" t="s">
        <v>67</v>
      </c>
      <c r="D461">
        <f>-0.562*$D$355</f>
        <v>0</v>
      </c>
      <c r="E461">
        <f>30.146*$E$355</f>
        <v>0</v>
      </c>
      <c r="F461">
        <f>-28.763*$F$355</f>
        <v>0</v>
      </c>
      <c r="G461">
        <f>0.771*$G$355</f>
        <v>0</v>
      </c>
      <c r="H461">
        <f>0*$H$355</f>
        <v>0</v>
      </c>
      <c r="I461">
        <f>-0.129*$I$355</f>
        <v>0</v>
      </c>
      <c r="J461">
        <f>118.704*$J$355</f>
        <v>0</v>
      </c>
      <c r="K461">
        <f>-158.272*$K$355</f>
        <v>0</v>
      </c>
      <c r="L461">
        <f>-28.77*$L$355</f>
        <v>0</v>
      </c>
      <c r="M461">
        <f>0+D461+E461+G461+H461+I461+J461+K461+L461</f>
        <v>0</v>
      </c>
      <c r="N461">
        <f>0+D461+F461+G461+H461+I461+J461+K461+L461</f>
        <v>0</v>
      </c>
    </row>
    <row r="462" spans="3:14">
      <c r="C462" t="s">
        <v>68</v>
      </c>
      <c r="D462">
        <f>-0.494*$D$355</f>
        <v>0</v>
      </c>
      <c r="E462">
        <f>30.795*$E$355</f>
        <v>0</v>
      </c>
      <c r="F462">
        <f>-29.295*$F$355</f>
        <v>0</v>
      </c>
      <c r="G462">
        <f>-0.041*$G$355</f>
        <v>0</v>
      </c>
      <c r="H462">
        <f>0*$H$355</f>
        <v>0</v>
      </c>
      <c r="I462">
        <f>-0.048*$I$355</f>
        <v>0</v>
      </c>
      <c r="J462">
        <f>171.268*$J$355</f>
        <v>0</v>
      </c>
      <c r="K462">
        <f>-228.357*$K$355</f>
        <v>0</v>
      </c>
      <c r="L462">
        <f>-35.612*$L$355</f>
        <v>0</v>
      </c>
      <c r="M462">
        <f>0+D462+E462+G462+H462+I462+J462+K462+L462</f>
        <v>0</v>
      </c>
      <c r="N462">
        <f>0+D462+F462+G462+H462+I462+J462+K462+L462</f>
        <v>0</v>
      </c>
    </row>
    <row r="463" spans="3:14">
      <c r="C463" t="s">
        <v>68</v>
      </c>
      <c r="D463">
        <f>-0.645*$D$355</f>
        <v>0</v>
      </c>
      <c r="E463">
        <f>37.935*$E$355</f>
        <v>0</v>
      </c>
      <c r="F463">
        <f>-33.195*$F$355</f>
        <v>0</v>
      </c>
      <c r="G463">
        <f>0.223*$G$355</f>
        <v>0</v>
      </c>
      <c r="H463">
        <f>0*$H$355</f>
        <v>0</v>
      </c>
      <c r="I463">
        <f>-0.041*$I$355</f>
        <v>0</v>
      </c>
      <c r="J463">
        <f>230.298*$J$355</f>
        <v>0</v>
      </c>
      <c r="K463">
        <f>-307.065*$K$355</f>
        <v>0</v>
      </c>
      <c r="L463">
        <f>-38.02*$L$355</f>
        <v>0</v>
      </c>
      <c r="M463">
        <f>0+D463+E463+G463+H463+I463+J463+K463+L463</f>
        <v>0</v>
      </c>
      <c r="N463">
        <f>0+D463+F463+G463+H463+I463+J463+K463+L463</f>
        <v>0</v>
      </c>
    </row>
    <row r="464" spans="3:14">
      <c r="C464" t="s">
        <v>69</v>
      </c>
      <c r="D464">
        <f>-1.408*$D$355</f>
        <v>0</v>
      </c>
      <c r="E464">
        <f>37.53*$E$355</f>
        <v>0</v>
      </c>
      <c r="F464">
        <f>-46.772*$F$355</f>
        <v>0</v>
      </c>
      <c r="G464">
        <f>1.633*$G$355</f>
        <v>0</v>
      </c>
      <c r="H464">
        <f>0*$H$355</f>
        <v>0</v>
      </c>
      <c r="I464">
        <f>-0.145*$I$355</f>
        <v>0</v>
      </c>
      <c r="J464">
        <f>292.194*$J$355</f>
        <v>0</v>
      </c>
      <c r="K464">
        <f>-389.592*$K$355</f>
        <v>0</v>
      </c>
      <c r="L464">
        <f>-21.465*$L$355</f>
        <v>0</v>
      </c>
      <c r="M464">
        <f>0+D464+E464+G464+H464+I464+J464+K464+L464</f>
        <v>0</v>
      </c>
      <c r="N464">
        <f>0+D464+F464+G464+H464+I464+J464+K464+L464</f>
        <v>0</v>
      </c>
    </row>
    <row r="469" spans="3:14">
      <c r="C469" t="s">
        <v>73</v>
      </c>
    </row>
    <row r="471" spans="3:14">
      <c r="C471" t="s">
        <v>2</v>
      </c>
    </row>
    <row r="472" spans="3:14">
      <c r="C472" t="s">
        <v>3</v>
      </c>
      <c r="D472" t="s">
        <v>4</v>
      </c>
      <c r="E472" t="s">
        <v>5</v>
      </c>
      <c r="F472" t="s">
        <v>6</v>
      </c>
      <c r="G472" t="s">
        <v>7</v>
      </c>
      <c r="H472" t="s">
        <v>8</v>
      </c>
      <c r="I472" t="s">
        <v>9</v>
      </c>
      <c r="J472" t="s">
        <v>10</v>
      </c>
      <c r="K472" t="s">
        <v>11</v>
      </c>
      <c r="L472" t="s">
        <v>12</v>
      </c>
      <c r="M472" t="s">
        <v>13</v>
      </c>
      <c r="N472" t="s">
        <v>14</v>
      </c>
    </row>
    <row r="473" spans="3:14">
      <c r="C473" t="s">
        <v>76</v>
      </c>
      <c r="D473">
        <f>-55.31*$D$471</f>
        <v>0</v>
      </c>
      <c r="E473">
        <f>161.125*$E$471</f>
        <v>0</v>
      </c>
      <c r="F473">
        <f>-256.52*$F$471</f>
        <v>0</v>
      </c>
      <c r="G473">
        <f>21.038*$G$471</f>
        <v>0</v>
      </c>
      <c r="H473">
        <f>0*$H$471</f>
        <v>0</v>
      </c>
      <c r="I473">
        <f>-9.754*$I$471</f>
        <v>0</v>
      </c>
      <c r="J473">
        <f>80.333*$J$471</f>
        <v>0</v>
      </c>
      <c r="K473">
        <f>-107.11*$K$471</f>
        <v>0</v>
      </c>
      <c r="L473">
        <f>-0.057*$L$471</f>
        <v>0</v>
      </c>
      <c r="M473">
        <f>0+D473+E473+G473+H473+I473+J473+K473+L473</f>
        <v>0</v>
      </c>
      <c r="N473">
        <f>0+D473+F473+G473+H473+I473+J473+K473+L473</f>
        <v>0</v>
      </c>
    </row>
    <row r="474" spans="3:14">
      <c r="C474" t="s">
        <v>16</v>
      </c>
      <c r="D474">
        <f>-57.521*$D$471</f>
        <v>0</v>
      </c>
      <c r="E474">
        <f>158.766*$E$471</f>
        <v>0</v>
      </c>
      <c r="F474">
        <f>-256.453*$F$471</f>
        <v>0</v>
      </c>
      <c r="G474">
        <f>19.898*$G$471</f>
        <v>0</v>
      </c>
      <c r="H474">
        <f>0*$H$471</f>
        <v>0</v>
      </c>
      <c r="I474">
        <f>-9.999*$I$471</f>
        <v>0</v>
      </c>
      <c r="J474">
        <f>27.288*$J$471</f>
        <v>0</v>
      </c>
      <c r="K474">
        <f>-36.384*$K$471</f>
        <v>0</v>
      </c>
      <c r="L474">
        <f>-0.057*$L$471</f>
        <v>0</v>
      </c>
      <c r="M474">
        <f>0+D474+E474+G474+H474+I474+J474+K474+L474</f>
        <v>0</v>
      </c>
      <c r="N474">
        <f>0+D474+F474+G474+H474+I474+J474+K474+L474</f>
        <v>0</v>
      </c>
    </row>
    <row r="475" spans="3:14">
      <c r="C475" t="s">
        <v>16</v>
      </c>
      <c r="D475">
        <f>-93.409*$D$471</f>
        <v>0</v>
      </c>
      <c r="E475">
        <f>135.902*$E$471</f>
        <v>0</v>
      </c>
      <c r="F475">
        <f>-287.289*$F$471</f>
        <v>0</v>
      </c>
      <c r="G475">
        <f>14.72*$G$471</f>
        <v>0</v>
      </c>
      <c r="H475">
        <f>0*$H$471</f>
        <v>0</v>
      </c>
      <c r="I475">
        <f>-15.027*$I$471</f>
        <v>0</v>
      </c>
      <c r="J475">
        <f>-50.372*$J$471</f>
        <v>0</v>
      </c>
      <c r="K475">
        <f>67.163*$K$471</f>
        <v>0</v>
      </c>
      <c r="L475">
        <f>-0.056*$L$471</f>
        <v>0</v>
      </c>
      <c r="M475">
        <f>0+D475+E475+G475+H475+I475+J475+K475+L475</f>
        <v>0</v>
      </c>
      <c r="N475">
        <f>0+D475+F475+G475+H475+I475+J475+K475+L475</f>
        <v>0</v>
      </c>
    </row>
    <row r="476" spans="3:14">
      <c r="C476" t="s">
        <v>17</v>
      </c>
      <c r="D476">
        <f>-101.048*$D$471</f>
        <v>0</v>
      </c>
      <c r="E476">
        <f>129.296*$E$471</f>
        <v>0</v>
      </c>
      <c r="F476">
        <f>-291.168*$F$471</f>
        <v>0</v>
      </c>
      <c r="G476">
        <f>12.38*$G$471</f>
        <v>0</v>
      </c>
      <c r="H476">
        <f>0*$H$471</f>
        <v>0</v>
      </c>
      <c r="I476">
        <f>-16.005*$I$471</f>
        <v>0</v>
      </c>
      <c r="J476">
        <f>-119.507*$J$471</f>
        <v>0</v>
      </c>
      <c r="K476">
        <f>159.342*$K$471</f>
        <v>0</v>
      </c>
      <c r="L476">
        <f>-0.055*$L$471</f>
        <v>0</v>
      </c>
      <c r="M476">
        <f>0+D476+E476+G476+H476+I476+J476+K476+L476</f>
        <v>0</v>
      </c>
      <c r="N476">
        <f>0+D476+F476+G476+H476+I476+J476+K476+L476</f>
        <v>0</v>
      </c>
    </row>
    <row r="477" spans="3:14">
      <c r="C477" t="s">
        <v>17</v>
      </c>
      <c r="D477">
        <f>-141.613*$D$471</f>
        <v>0</v>
      </c>
      <c r="E477">
        <f>112.043*$E$471</f>
        <v>0</v>
      </c>
      <c r="F477">
        <f>-330.697*$F$471</f>
        <v>0</v>
      </c>
      <c r="G477">
        <f>5.965*$G$471</f>
        <v>0</v>
      </c>
      <c r="H477">
        <f>0*$H$471</f>
        <v>0</v>
      </c>
      <c r="I477">
        <f>-21.651*$I$471</f>
        <v>0</v>
      </c>
      <c r="J477">
        <f>-160.412*$J$471</f>
        <v>0</v>
      </c>
      <c r="K477">
        <f>213.882*$K$471</f>
        <v>0</v>
      </c>
      <c r="L477">
        <f>-0.055*$L$471</f>
        <v>0</v>
      </c>
      <c r="M477">
        <f>0+D477+E477+G477+H477+I477+J477+K477+L477</f>
        <v>0</v>
      </c>
      <c r="N477">
        <f>0+D477+F477+G477+H477+I477+J477+K477+L477</f>
        <v>0</v>
      </c>
    </row>
    <row r="478" spans="3:14">
      <c r="C478" t="s">
        <v>18</v>
      </c>
      <c r="D478">
        <f>-150.373*$D$471</f>
        <v>0</v>
      </c>
      <c r="E478">
        <f>104.246*$E$471</f>
        <v>0</v>
      </c>
      <c r="F478">
        <f>-330.836*$F$471</f>
        <v>0</v>
      </c>
      <c r="G478">
        <f>2.134*$G$471</f>
        <v>0</v>
      </c>
      <c r="H478">
        <f>0*$H$471</f>
        <v>0</v>
      </c>
      <c r="I478">
        <f>-22.704*$I$471</f>
        <v>0</v>
      </c>
      <c r="J478">
        <f>-185.929*$J$471</f>
        <v>0</v>
      </c>
      <c r="K478">
        <f>247.906*$K$471</f>
        <v>0</v>
      </c>
      <c r="L478">
        <f>-0.054*$L$471</f>
        <v>0</v>
      </c>
      <c r="M478">
        <f>0+D478+E478+G478+H478+I478+J478+K478+L478</f>
        <v>0</v>
      </c>
      <c r="N478">
        <f>0+D478+F478+G478+H478+I478+J478+K478+L478</f>
        <v>0</v>
      </c>
    </row>
    <row r="479" spans="3:14">
      <c r="C479" t="s">
        <v>18</v>
      </c>
      <c r="D479">
        <f>-199.548*$D$471</f>
        <v>0</v>
      </c>
      <c r="E479">
        <f>85.879*$E$471</f>
        <v>0</v>
      </c>
      <c r="F479">
        <f>-379.594*$F$471</f>
        <v>0</v>
      </c>
      <c r="G479">
        <f>-5.918*$G$471</f>
        <v>0</v>
      </c>
      <c r="H479">
        <f>0*$H$471</f>
        <v>0</v>
      </c>
      <c r="I479">
        <f>-29.484*$I$471</f>
        <v>0</v>
      </c>
      <c r="J479">
        <f>-188.923*$J$471</f>
        <v>0</v>
      </c>
      <c r="K479">
        <f>251.898*$K$471</f>
        <v>0</v>
      </c>
      <c r="L479">
        <f>-0.054*$L$471</f>
        <v>0</v>
      </c>
      <c r="M479">
        <f>0+D479+E479+G479+H479+I479+J479+K479+L479</f>
        <v>0</v>
      </c>
      <c r="N479">
        <f>0+D479+F479+G479+H479+I479+J479+K479+L479</f>
        <v>0</v>
      </c>
    </row>
    <row r="480" spans="3:14">
      <c r="C480" t="s">
        <v>19</v>
      </c>
      <c r="D480">
        <f>-207.825*$D$471</f>
        <v>0</v>
      </c>
      <c r="E480">
        <f>76.54*$E$471</f>
        <v>0</v>
      </c>
      <c r="F480">
        <f>-376.037*$F$471</f>
        <v>0</v>
      </c>
      <c r="G480">
        <f>-10.901*$G$471</f>
        <v>0</v>
      </c>
      <c r="H480">
        <f>0*$H$471</f>
        <v>0</v>
      </c>
      <c r="I480">
        <f>-30.39*$I$471</f>
        <v>0</v>
      </c>
      <c r="J480">
        <f>-182.148*$J$471</f>
        <v>0</v>
      </c>
      <c r="K480">
        <f>242.864*$K$471</f>
        <v>0</v>
      </c>
      <c r="L480">
        <f>-0.053*$L$471</f>
        <v>0</v>
      </c>
      <c r="M480">
        <f>0+D480+E480+G480+H480+I480+J480+K480+L480</f>
        <v>0</v>
      </c>
      <c r="N480">
        <f>0+D480+F480+G480+H480+I480+J480+K480+L480</f>
        <v>0</v>
      </c>
    </row>
    <row r="481" spans="3:14">
      <c r="C481" t="s">
        <v>19</v>
      </c>
      <c r="D481">
        <f>-255.721*$D$471</f>
        <v>0</v>
      </c>
      <c r="E481">
        <f>59.262*$E$471</f>
        <v>0</v>
      </c>
      <c r="F481">
        <f>-417.924*$F$471</f>
        <v>0</v>
      </c>
      <c r="G481">
        <f>-19.499*$G$471</f>
        <v>0</v>
      </c>
      <c r="H481">
        <f>0*$H$471</f>
        <v>0</v>
      </c>
      <c r="I481">
        <f>-36.899*$I$471</f>
        <v>0</v>
      </c>
      <c r="J481">
        <f>-169.14*$J$471</f>
        <v>0</v>
      </c>
      <c r="K481">
        <f>225.52*$K$471</f>
        <v>0</v>
      </c>
      <c r="L481">
        <f>-0.053*$L$471</f>
        <v>0</v>
      </c>
      <c r="M481">
        <f>0+D481+E481+G481+H481+I481+J481+K481+L481</f>
        <v>0</v>
      </c>
      <c r="N481">
        <f>0+D481+F481+G481+H481+I481+J481+K481+L481</f>
        <v>0</v>
      </c>
    </row>
    <row r="482" spans="3:14">
      <c r="C482" t="s">
        <v>20</v>
      </c>
      <c r="D482">
        <f>-263.845*$D$471</f>
        <v>0</v>
      </c>
      <c r="E482">
        <f>52.419*$E$471</f>
        <v>0</v>
      </c>
      <c r="F482">
        <f>-418.316*$F$471</f>
        <v>0</v>
      </c>
      <c r="G482">
        <f>-23.451*$G$471</f>
        <v>0</v>
      </c>
      <c r="H482">
        <f>0*$H$471</f>
        <v>0</v>
      </c>
      <c r="I482">
        <f>-37.851*$I$471</f>
        <v>0</v>
      </c>
      <c r="J482">
        <f>-166.606*$J$471</f>
        <v>0</v>
      </c>
      <c r="K482">
        <f>222.142*$K$471</f>
        <v>0</v>
      </c>
      <c r="L482">
        <f>-0.052*$L$471</f>
        <v>0</v>
      </c>
      <c r="M482">
        <f>0+D482+E482+G482+H482+I482+J482+K482+L482</f>
        <v>0</v>
      </c>
      <c r="N482">
        <f>0+D482+F482+G482+H482+I482+J482+K482+L482</f>
        <v>0</v>
      </c>
    </row>
    <row r="483" spans="3:14">
      <c r="C483" t="s">
        <v>20</v>
      </c>
      <c r="D483">
        <f>-289.725*$D$471</f>
        <v>0</v>
      </c>
      <c r="E483">
        <f>45.659*$E$471</f>
        <v>0</v>
      </c>
      <c r="F483">
        <f>-444*$F$471</f>
        <v>0</v>
      </c>
      <c r="G483">
        <f>-27.322*$G$471</f>
        <v>0</v>
      </c>
      <c r="H483">
        <f>0*$H$471</f>
        <v>0</v>
      </c>
      <c r="I483">
        <f>-41.484*$I$471</f>
        <v>0</v>
      </c>
      <c r="J483">
        <f>-167.656*$J$471</f>
        <v>0</v>
      </c>
      <c r="K483">
        <f>223.542*$K$471</f>
        <v>0</v>
      </c>
      <c r="L483">
        <f>-0.051*$L$471</f>
        <v>0</v>
      </c>
      <c r="M483">
        <f>0+D483+E483+G483+H483+I483+J483+K483+L483</f>
        <v>0</v>
      </c>
      <c r="N483">
        <f>0+D483+F483+G483+H483+I483+J483+K483+L483</f>
        <v>0</v>
      </c>
    </row>
    <row r="484" spans="3:14">
      <c r="C484" t="s">
        <v>21</v>
      </c>
      <c r="D484">
        <f>-297.528*$D$471</f>
        <v>0</v>
      </c>
      <c r="E484">
        <f>41.636*$E$471</f>
        <v>0</v>
      </c>
      <c r="F484">
        <f>-449.922*$F$471</f>
        <v>0</v>
      </c>
      <c r="G484">
        <f>-28.859*$G$471</f>
        <v>0</v>
      </c>
      <c r="H484">
        <f>0*$H$471</f>
        <v>0</v>
      </c>
      <c r="I484">
        <f>-42.568*$I$471</f>
        <v>0</v>
      </c>
      <c r="J484">
        <f>-184.126*$J$471</f>
        <v>0</v>
      </c>
      <c r="K484">
        <f>245.501*$K$471</f>
        <v>0</v>
      </c>
      <c r="L484">
        <f>-0.05*$L$471</f>
        <v>0</v>
      </c>
      <c r="M484">
        <f>0+D484+E484+G484+H484+I484+J484+K484+L484</f>
        <v>0</v>
      </c>
      <c r="N484">
        <f>0+D484+F484+G484+H484+I484+J484+K484+L484</f>
        <v>0</v>
      </c>
    </row>
    <row r="485" spans="3:14">
      <c r="C485" t="s">
        <v>21</v>
      </c>
      <c r="D485">
        <f>-323.284*$D$471</f>
        <v>0</v>
      </c>
      <c r="E485">
        <f>36.996*$E$471</f>
        <v>0</v>
      </c>
      <c r="F485">
        <f>-482.694*$F$471</f>
        <v>0</v>
      </c>
      <c r="G485">
        <f>-31.374*$G$471</f>
        <v>0</v>
      </c>
      <c r="H485">
        <f>0*$H$471</f>
        <v>0</v>
      </c>
      <c r="I485">
        <f>-46.298*$I$471</f>
        <v>0</v>
      </c>
      <c r="J485">
        <f>-209.19*$J$471</f>
        <v>0</v>
      </c>
      <c r="K485">
        <f>278.92*$K$471</f>
        <v>0</v>
      </c>
      <c r="L485">
        <f>-0.05*$L$471</f>
        <v>0</v>
      </c>
      <c r="M485">
        <f>0+D485+E485+G485+H485+I485+J485+K485+L485</f>
        <v>0</v>
      </c>
      <c r="N485">
        <f>0+D485+F485+G485+H485+I485+J485+K485+L485</f>
        <v>0</v>
      </c>
    </row>
    <row r="486" spans="3:14">
      <c r="C486" t="s">
        <v>22</v>
      </c>
      <c r="D486">
        <f>-329.731*$D$471</f>
        <v>0</v>
      </c>
      <c r="E486">
        <f>35.374*$E$471</f>
        <v>0</v>
      </c>
      <c r="F486">
        <f>-488.93*$F$471</f>
        <v>0</v>
      </c>
      <c r="G486">
        <f>-31.631*$G$471</f>
        <v>0</v>
      </c>
      <c r="H486">
        <f>0*$H$471</f>
        <v>0</v>
      </c>
      <c r="I486">
        <f>-47.263*$I$471</f>
        <v>0</v>
      </c>
      <c r="J486">
        <f>-232.218*$J$471</f>
        <v>0</v>
      </c>
      <c r="K486">
        <f>309.624*$K$471</f>
        <v>0</v>
      </c>
      <c r="L486">
        <f>-0.049*$L$471</f>
        <v>0</v>
      </c>
      <c r="M486">
        <f>0+D486+E486+G486+H486+I486+J486+K486+L486</f>
        <v>0</v>
      </c>
      <c r="N486">
        <f>0+D486+F486+G486+H486+I486+J486+K486+L486</f>
        <v>0</v>
      </c>
    </row>
    <row r="487" spans="3:14">
      <c r="C487" t="s">
        <v>22</v>
      </c>
      <c r="D487">
        <f>-353.785*$D$471</f>
        <v>0</v>
      </c>
      <c r="E487">
        <f>33.931*$E$471</f>
        <v>0</v>
      </c>
      <c r="F487">
        <f>-516.691*$F$471</f>
        <v>0</v>
      </c>
      <c r="G487">
        <f>-34.47*$G$471</f>
        <v>0</v>
      </c>
      <c r="H487">
        <f>0*$H$471</f>
        <v>0</v>
      </c>
      <c r="I487">
        <f>-50.722*$I$471</f>
        <v>0</v>
      </c>
      <c r="J487">
        <f>-246.138*$J$471</f>
        <v>0</v>
      </c>
      <c r="K487">
        <f>328.184*$K$471</f>
        <v>0</v>
      </c>
      <c r="L487">
        <f>-0.05*$L$471</f>
        <v>0</v>
      </c>
      <c r="M487">
        <f>0+D487+E487+G487+H487+I487+J487+K487+L487</f>
        <v>0</v>
      </c>
      <c r="N487">
        <f>0+D487+F487+G487+H487+I487+J487+K487+L487</f>
        <v>0</v>
      </c>
    </row>
    <row r="488" spans="3:14">
      <c r="C488" t="s">
        <v>23</v>
      </c>
      <c r="D488">
        <f>-356.737*$D$471</f>
        <v>0</v>
      </c>
      <c r="E488">
        <f>31.081*$E$471</f>
        <v>0</v>
      </c>
      <c r="F488">
        <f>-517.472*$F$471</f>
        <v>0</v>
      </c>
      <c r="G488">
        <f>-36.015*$G$471</f>
        <v>0</v>
      </c>
      <c r="H488">
        <f>0*$H$471</f>
        <v>0</v>
      </c>
      <c r="I488">
        <f>-51.074*$I$471</f>
        <v>0</v>
      </c>
      <c r="J488">
        <f>-251.656*$J$471</f>
        <v>0</v>
      </c>
      <c r="K488">
        <f>335.541*$K$471</f>
        <v>0</v>
      </c>
      <c r="L488">
        <f>-0.05*$L$471</f>
        <v>0</v>
      </c>
      <c r="M488">
        <f>0+D488+E488+G488+H488+I488+J488+K488+L488</f>
        <v>0</v>
      </c>
      <c r="N488">
        <f>0+D488+F488+G488+H488+I488+J488+K488+L488</f>
        <v>0</v>
      </c>
    </row>
    <row r="489" spans="3:14">
      <c r="C489" t="s">
        <v>23</v>
      </c>
      <c r="D489">
        <f>-363.847*$D$471</f>
        <v>0</v>
      </c>
      <c r="E489">
        <f>29.072*$E$471</f>
        <v>0</v>
      </c>
      <c r="F489">
        <f>-520.446*$F$471</f>
        <v>0</v>
      </c>
      <c r="G489">
        <f>-38.853*$G$471</f>
        <v>0</v>
      </c>
      <c r="H489">
        <f>0*$H$471</f>
        <v>0</v>
      </c>
      <c r="I489">
        <f>-51.913*$I$471</f>
        <v>0</v>
      </c>
      <c r="J489">
        <f>-249.89*$J$471</f>
        <v>0</v>
      </c>
      <c r="K489">
        <f>333.187*$K$471</f>
        <v>0</v>
      </c>
      <c r="L489">
        <f>-0.05*$L$471</f>
        <v>0</v>
      </c>
      <c r="M489">
        <f>0+D489+E489+G489+H489+I489+J489+K489+L489</f>
        <v>0</v>
      </c>
      <c r="N489">
        <f>0+D489+F489+G489+H489+I489+J489+K489+L489</f>
        <v>0</v>
      </c>
    </row>
    <row r="490" spans="3:14">
      <c r="C490" t="s">
        <v>24</v>
      </c>
      <c r="D490">
        <f>-363.134*$D$471</f>
        <v>0</v>
      </c>
      <c r="E490">
        <f>25.178*$E$471</f>
        <v>0</v>
      </c>
      <c r="F490">
        <f>-514.359*$F$471</f>
        <v>0</v>
      </c>
      <c r="G490">
        <f>-41.889*$G$471</f>
        <v>0</v>
      </c>
      <c r="H490">
        <f>0*$H$471</f>
        <v>0</v>
      </c>
      <c r="I490">
        <f>-51.614*$I$471</f>
        <v>0</v>
      </c>
      <c r="J490">
        <f>-239.955*$J$471</f>
        <v>0</v>
      </c>
      <c r="K490">
        <f>319.94*$K$471</f>
        <v>0</v>
      </c>
      <c r="L490">
        <f>-0.051*$L$471</f>
        <v>0</v>
      </c>
      <c r="M490">
        <f>0+D490+E490+G490+H490+I490+J490+K490+L490</f>
        <v>0</v>
      </c>
      <c r="N490">
        <f>0+D490+F490+G490+H490+I490+J490+K490+L490</f>
        <v>0</v>
      </c>
    </row>
    <row r="491" spans="3:14">
      <c r="C491" t="s">
        <v>24</v>
      </c>
      <c r="D491">
        <f>-365.912*$D$471</f>
        <v>0</v>
      </c>
      <c r="E491">
        <f>24.407*$E$471</f>
        <v>0</v>
      </c>
      <c r="F491">
        <f>-514.773*$F$471</f>
        <v>0</v>
      </c>
      <c r="G491">
        <f>-45.068*$G$471</f>
        <v>0</v>
      </c>
      <c r="H491">
        <f>0*$H$471</f>
        <v>0</v>
      </c>
      <c r="I491">
        <f>-51.784*$I$471</f>
        <v>0</v>
      </c>
      <c r="J491">
        <f>-229.108*$J$471</f>
        <v>0</v>
      </c>
      <c r="K491">
        <f>305.478*$K$471</f>
        <v>0</v>
      </c>
      <c r="L491">
        <f>-0.052*$L$471</f>
        <v>0</v>
      </c>
      <c r="M491">
        <f>0+D491+E491+G491+H491+I491+J491+K491+L491</f>
        <v>0</v>
      </c>
      <c r="N491">
        <f>0+D491+F491+G491+H491+I491+J491+K491+L491</f>
        <v>0</v>
      </c>
    </row>
    <row r="492" spans="3:14">
      <c r="C492" t="s">
        <v>25</v>
      </c>
      <c r="D492">
        <f>-363.734*$D$471</f>
        <v>0</v>
      </c>
      <c r="E492">
        <f>23.461*$E$471</f>
        <v>0</v>
      </c>
      <c r="F492">
        <f>-509.519*$F$471</f>
        <v>0</v>
      </c>
      <c r="G492">
        <f>-46.655*$G$471</f>
        <v>0</v>
      </c>
      <c r="H492">
        <f>0*$H$471</f>
        <v>0</v>
      </c>
      <c r="I492">
        <f>-51.36*$I$471</f>
        <v>0</v>
      </c>
      <c r="J492">
        <f>-224.046*$J$471</f>
        <v>0</v>
      </c>
      <c r="K492">
        <f>298.727*$K$471</f>
        <v>0</v>
      </c>
      <c r="L492">
        <f>-0.052*$L$471</f>
        <v>0</v>
      </c>
      <c r="M492">
        <f>0+D492+E492+G492+H492+I492+J492+K492+L492</f>
        <v>0</v>
      </c>
      <c r="N492">
        <f>0+D492+F492+G492+H492+I492+J492+K492+L492</f>
        <v>0</v>
      </c>
    </row>
    <row r="493" spans="3:14">
      <c r="C493" t="s">
        <v>25</v>
      </c>
      <c r="D493">
        <f>-359.606*$D$471</f>
        <v>0</v>
      </c>
      <c r="E493">
        <f>25.834*$E$471</f>
        <v>0</v>
      </c>
      <c r="F493">
        <f>-502.341*$F$471</f>
        <v>0</v>
      </c>
      <c r="G493">
        <f>-46.48*$G$471</f>
        <v>0</v>
      </c>
      <c r="H493">
        <f>0*$H$471</f>
        <v>0</v>
      </c>
      <c r="I493">
        <f>-50.768*$I$471</f>
        <v>0</v>
      </c>
      <c r="J493">
        <f>-225.225*$J$471</f>
        <v>0</v>
      </c>
      <c r="K493">
        <f>300.3*$K$471</f>
        <v>0</v>
      </c>
      <c r="L493">
        <f>-0.053*$L$471</f>
        <v>0</v>
      </c>
      <c r="M493">
        <f>0+D493+E493+G493+H493+I493+J493+K493+L493</f>
        <v>0</v>
      </c>
      <c r="N493">
        <f>0+D493+F493+G493+H493+I493+J493+K493+L493</f>
        <v>0</v>
      </c>
    </row>
    <row r="494" spans="3:14">
      <c r="C494" t="s">
        <v>26</v>
      </c>
      <c r="D494">
        <f>-356.651*$D$471</f>
        <v>0</v>
      </c>
      <c r="E494">
        <f>25.848*$E$471</f>
        <v>0</v>
      </c>
      <c r="F494">
        <f>-500.848*$F$471</f>
        <v>0</v>
      </c>
      <c r="G494">
        <f>-45.035*$G$471</f>
        <v>0</v>
      </c>
      <c r="H494">
        <f>0*$H$471</f>
        <v>0</v>
      </c>
      <c r="I494">
        <f>-50.447*$I$471</f>
        <v>0</v>
      </c>
      <c r="J494">
        <f>-234.135*$J$471</f>
        <v>0</v>
      </c>
      <c r="K494">
        <f>312.179*$K$471</f>
        <v>0</v>
      </c>
      <c r="L494">
        <f>-0.054*$L$471</f>
        <v>0</v>
      </c>
      <c r="M494">
        <f>0+D494+E494+G494+H494+I494+J494+K494+L494</f>
        <v>0</v>
      </c>
      <c r="N494">
        <f>0+D494+F494+G494+H494+I494+J494+K494+L494</f>
        <v>0</v>
      </c>
    </row>
    <row r="495" spans="3:14">
      <c r="C495" t="s">
        <v>26</v>
      </c>
      <c r="D495">
        <f>-347.237*$D$471</f>
        <v>0</v>
      </c>
      <c r="E495">
        <f>27.775*$E$471</f>
        <v>0</v>
      </c>
      <c r="F495">
        <f>-490.422*$F$471</f>
        <v>0</v>
      </c>
      <c r="G495">
        <f>-41.885*$G$471</f>
        <v>0</v>
      </c>
      <c r="H495">
        <f>0*$H$471</f>
        <v>0</v>
      </c>
      <c r="I495">
        <f>-49.312*$I$471</f>
        <v>0</v>
      </c>
      <c r="J495">
        <f>-249.272*$J$471</f>
        <v>0</v>
      </c>
      <c r="K495">
        <f>332.362*$K$471</f>
        <v>0</v>
      </c>
      <c r="L495">
        <f>-0.055*$L$471</f>
        <v>0</v>
      </c>
      <c r="M495">
        <f>0+D495+E495+G495+H495+I495+J495+K495+L495</f>
        <v>0</v>
      </c>
      <c r="N495">
        <f>0+D495+F495+G495+H495+I495+J495+K495+L495</f>
        <v>0</v>
      </c>
    </row>
    <row r="496" spans="3:14">
      <c r="C496" t="s">
        <v>27</v>
      </c>
      <c r="D496">
        <f>-342.915*$D$471</f>
        <v>0</v>
      </c>
      <c r="E496">
        <f>27.781*$E$471</f>
        <v>0</v>
      </c>
      <c r="F496">
        <f>-488.97*$F$471</f>
        <v>0</v>
      </c>
      <c r="G496">
        <f>-39.072*$G$471</f>
        <v>0</v>
      </c>
      <c r="H496">
        <f>0*$H$471</f>
        <v>0</v>
      </c>
      <c r="I496">
        <f>-48.875*$I$471</f>
        <v>0</v>
      </c>
      <c r="J496">
        <f>-263.645*$J$471</f>
        <v>0</v>
      </c>
      <c r="K496">
        <f>351.526*$K$471</f>
        <v>0</v>
      </c>
      <c r="L496">
        <f>-0.057*$L$471</f>
        <v>0</v>
      </c>
      <c r="M496">
        <f>0+D496+E496+G496+H496+I496+J496+K496+L496</f>
        <v>0</v>
      </c>
      <c r="N496">
        <f>0+D496+F496+G496+H496+I496+J496+K496+L496</f>
        <v>0</v>
      </c>
    </row>
    <row r="497" spans="3:14">
      <c r="C497" t="s">
        <v>27</v>
      </c>
      <c r="D497">
        <f>-329.571*$D$471</f>
        <v>0</v>
      </c>
      <c r="E497">
        <f>29.07*$E$471</f>
        <v>0</v>
      </c>
      <c r="F497">
        <f>-476.492*$F$471</f>
        <v>0</v>
      </c>
      <c r="G497">
        <f>-36.473*$G$471</f>
        <v>0</v>
      </c>
      <c r="H497">
        <f>0*$H$471</f>
        <v>0</v>
      </c>
      <c r="I497">
        <f>-47.114*$I$471</f>
        <v>0</v>
      </c>
      <c r="J497">
        <f>-271.362*$J$471</f>
        <v>0</v>
      </c>
      <c r="K497">
        <f>361.816*$K$471</f>
        <v>0</v>
      </c>
      <c r="L497">
        <f>-0.058*$L$471</f>
        <v>0</v>
      </c>
      <c r="M497">
        <f>0+D497+E497+G497+H497+I497+J497+K497+L497</f>
        <v>0</v>
      </c>
      <c r="N497">
        <f>0+D497+F497+G497+H497+I497+J497+K497+L497</f>
        <v>0</v>
      </c>
    </row>
    <row r="498" spans="3:14">
      <c r="C498" t="s">
        <v>28</v>
      </c>
      <c r="D498">
        <f>-322.296*$D$471</f>
        <v>0</v>
      </c>
      <c r="E498">
        <f>29.277*$E$471</f>
        <v>0</v>
      </c>
      <c r="F498">
        <f>-467.372*$F$471</f>
        <v>0</v>
      </c>
      <c r="G498">
        <f>-35.476*$G$471</f>
        <v>0</v>
      </c>
      <c r="H498">
        <f>0*$H$471</f>
        <v>0</v>
      </c>
      <c r="I498">
        <f>-46.103*$I$471</f>
        <v>0</v>
      </c>
      <c r="J498">
        <f>-272.846*$J$471</f>
        <v>0</v>
      </c>
      <c r="K498">
        <f>363.794*$K$471</f>
        <v>0</v>
      </c>
      <c r="L498">
        <f>-0.059*$L$471</f>
        <v>0</v>
      </c>
      <c r="M498">
        <f>0+D498+E498+G498+H498+I498+J498+K498+L498</f>
        <v>0</v>
      </c>
      <c r="N498">
        <f>0+D498+F498+G498+H498+I498+J498+K498+L498</f>
        <v>0</v>
      </c>
    </row>
    <row r="499" spans="3:14">
      <c r="C499" t="s">
        <v>28</v>
      </c>
      <c r="D499">
        <f>-292.292*$D$471</f>
        <v>0</v>
      </c>
      <c r="E499">
        <f>31.479*$E$471</f>
        <v>0</v>
      </c>
      <c r="F499">
        <f>-426.689*$F$471</f>
        <v>0</v>
      </c>
      <c r="G499">
        <f>-33.14*$G$471</f>
        <v>0</v>
      </c>
      <c r="H499">
        <f>0*$H$471</f>
        <v>0</v>
      </c>
      <c r="I499">
        <f>-41.73*$I$471</f>
        <v>0</v>
      </c>
      <c r="J499">
        <f>-267.75*$J$471</f>
        <v>0</v>
      </c>
      <c r="K499">
        <f>356.999*$K$471</f>
        <v>0</v>
      </c>
      <c r="L499">
        <f>-0.06*$L$471</f>
        <v>0</v>
      </c>
      <c r="M499">
        <f>0+D499+E499+G499+H499+I499+J499+K499+L499</f>
        <v>0</v>
      </c>
      <c r="N499">
        <f>0+D499+F499+G499+H499+I499+J499+K499+L499</f>
        <v>0</v>
      </c>
    </row>
    <row r="500" spans="3:14">
      <c r="C500" t="s">
        <v>29</v>
      </c>
      <c r="D500">
        <f>-282.78*$D$471</f>
        <v>0</v>
      </c>
      <c r="E500">
        <f>30.315*$E$471</f>
        <v>0</v>
      </c>
      <c r="F500">
        <f>-410.726*$F$471</f>
        <v>0</v>
      </c>
      <c r="G500">
        <f>-33.951*$G$471</f>
        <v>0</v>
      </c>
      <c r="H500">
        <f>0*$H$471</f>
        <v>0</v>
      </c>
      <c r="I500">
        <f>-40.248*$I$471</f>
        <v>0</v>
      </c>
      <c r="J500">
        <f>-255.676*$J$471</f>
        <v>0</v>
      </c>
      <c r="K500">
        <f>340.901*$K$471</f>
        <v>0</v>
      </c>
      <c r="L500">
        <f>-0.059*$L$471</f>
        <v>0</v>
      </c>
      <c r="M500">
        <f>0+D500+E500+G500+H500+I500+J500+K500+L500</f>
        <v>0</v>
      </c>
      <c r="N500">
        <f>0+D500+F500+G500+H500+I500+J500+K500+L500</f>
        <v>0</v>
      </c>
    </row>
    <row r="501" spans="3:14">
      <c r="C501" t="s">
        <v>29</v>
      </c>
      <c r="D501">
        <f>-252.855*$D$471</f>
        <v>0</v>
      </c>
      <c r="E501">
        <f>30.647*$E$471</f>
        <v>0</v>
      </c>
      <c r="F501">
        <f>-364.201*$F$471</f>
        <v>0</v>
      </c>
      <c r="G501">
        <f>-32.476*$G$471</f>
        <v>0</v>
      </c>
      <c r="H501">
        <f>0*$H$471</f>
        <v>0</v>
      </c>
      <c r="I501">
        <f>-35.828*$I$471</f>
        <v>0</v>
      </c>
      <c r="J501">
        <f>-242.347*$J$471</f>
        <v>0</v>
      </c>
      <c r="K501">
        <f>323.129*$K$471</f>
        <v>0</v>
      </c>
      <c r="L501">
        <f>-0.059*$L$471</f>
        <v>0</v>
      </c>
      <c r="M501">
        <f>0+D501+E501+G501+H501+I501+J501+K501+L501</f>
        <v>0</v>
      </c>
      <c r="N501">
        <f>0+D501+F501+G501+H501+I501+J501+K501+L501</f>
        <v>0</v>
      </c>
    </row>
    <row r="502" spans="3:14">
      <c r="C502" t="s">
        <v>30</v>
      </c>
      <c r="D502">
        <f>-242.055*$D$471</f>
        <v>0</v>
      </c>
      <c r="E502">
        <f>29.532*$E$471</f>
        <v>0</v>
      </c>
      <c r="F502">
        <f>-347.381*$F$471</f>
        <v>0</v>
      </c>
      <c r="G502">
        <f>-32.079*$G$471</f>
        <v>0</v>
      </c>
      <c r="H502">
        <f>0*$H$471</f>
        <v>0</v>
      </c>
      <c r="I502">
        <f>-34.232*$I$471</f>
        <v>0</v>
      </c>
      <c r="J502">
        <f>-236.262*$J$471</f>
        <v>0</v>
      </c>
      <c r="K502">
        <f>315.016*$K$471</f>
        <v>0</v>
      </c>
      <c r="L502">
        <f>-0.058*$L$471</f>
        <v>0</v>
      </c>
      <c r="M502">
        <f>0+D502+E502+G502+H502+I502+J502+K502+L502</f>
        <v>0</v>
      </c>
      <c r="N502">
        <f>0+D502+F502+G502+H502+I502+J502+K502+L502</f>
        <v>0</v>
      </c>
    </row>
    <row r="503" spans="3:14">
      <c r="C503" t="s">
        <v>30</v>
      </c>
      <c r="D503">
        <f>-210.977*$D$471</f>
        <v>0</v>
      </c>
      <c r="E503">
        <f>31.775*$E$471</f>
        <v>0</v>
      </c>
      <c r="F503">
        <f>-306.543*$F$471</f>
        <v>0</v>
      </c>
      <c r="G503">
        <f>-29.04*$G$471</f>
        <v>0</v>
      </c>
      <c r="H503">
        <f>0*$H$471</f>
        <v>0</v>
      </c>
      <c r="I503">
        <f>-29.796*$I$471</f>
        <v>0</v>
      </c>
      <c r="J503">
        <f>-241.058*$J$471</f>
        <v>0</v>
      </c>
      <c r="K503">
        <f>321.41*$K$471</f>
        <v>0</v>
      </c>
      <c r="L503">
        <f>-0.061*$L$471</f>
        <v>0</v>
      </c>
      <c r="M503">
        <f>0+D503+E503+G503+H503+I503+J503+K503+L503</f>
        <v>0</v>
      </c>
      <c r="N503">
        <f>0+D503+F503+G503+H503+I503+J503+K503+L503</f>
        <v>0</v>
      </c>
    </row>
    <row r="504" spans="3:14">
      <c r="C504" t="s">
        <v>31</v>
      </c>
      <c r="D504">
        <f>-200.128*$D$471</f>
        <v>0</v>
      </c>
      <c r="E504">
        <f>32.641*$E$471</f>
        <v>0</v>
      </c>
      <c r="F504">
        <f>-291.656*$F$471</f>
        <v>0</v>
      </c>
      <c r="G504">
        <f>-26.445*$G$471</f>
        <v>0</v>
      </c>
      <c r="H504">
        <f>0*$H$471</f>
        <v>0</v>
      </c>
      <c r="I504">
        <f>-28.368*$I$471</f>
        <v>0</v>
      </c>
      <c r="J504">
        <f>-248.327*$J$471</f>
        <v>0</v>
      </c>
      <c r="K504">
        <f>331.102*$K$471</f>
        <v>0</v>
      </c>
      <c r="L504">
        <f>-0.061*$L$471</f>
        <v>0</v>
      </c>
      <c r="M504">
        <f>0+D504+E504+G504+H504+I504+J504+K504+L504</f>
        <v>0</v>
      </c>
      <c r="N504">
        <f>0+D504+F504+G504+H504+I504+J504+K504+L504</f>
        <v>0</v>
      </c>
    </row>
    <row r="505" spans="3:14">
      <c r="C505" t="s">
        <v>31</v>
      </c>
      <c r="D505">
        <f>-148.846*$D$471</f>
        <v>0</v>
      </c>
      <c r="E505">
        <f>34.332*$E$471</f>
        <v>0</v>
      </c>
      <c r="F505">
        <f>-227.224*$F$471</f>
        <v>0</v>
      </c>
      <c r="G505">
        <f>-18.913*$G$471</f>
        <v>0</v>
      </c>
      <c r="H505">
        <f>0*$H$471</f>
        <v>0</v>
      </c>
      <c r="I505">
        <f>-21.309*$I$471</f>
        <v>0</v>
      </c>
      <c r="J505">
        <f>-263.952*$J$471</f>
        <v>0</v>
      </c>
      <c r="K505">
        <f>351.936*$K$471</f>
        <v>0</v>
      </c>
      <c r="L505">
        <f>-0.062*$L$471</f>
        <v>0</v>
      </c>
      <c r="M505">
        <f>0+D505+E505+G505+H505+I505+J505+K505+L505</f>
        <v>0</v>
      </c>
      <c r="N505">
        <f>0+D505+F505+G505+H505+I505+J505+K505+L505</f>
        <v>0</v>
      </c>
    </row>
    <row r="506" spans="3:14">
      <c r="C506" t="s">
        <v>32</v>
      </c>
      <c r="D506">
        <f>-138.143*$D$471</f>
        <v>0</v>
      </c>
      <c r="E506">
        <f>34.944*$E$471</f>
        <v>0</v>
      </c>
      <c r="F506">
        <f>-214.624*$F$471</f>
        <v>0</v>
      </c>
      <c r="G506">
        <f>-15.2*$G$471</f>
        <v>0</v>
      </c>
      <c r="H506">
        <f>0*$H$471</f>
        <v>0</v>
      </c>
      <c r="I506">
        <f>-19.977*$I$471</f>
        <v>0</v>
      </c>
      <c r="J506">
        <f>-277.233*$J$471</f>
        <v>0</v>
      </c>
      <c r="K506">
        <f>369.644*$K$471</f>
        <v>0</v>
      </c>
      <c r="L506">
        <f>-0.061*$L$471</f>
        <v>0</v>
      </c>
      <c r="M506">
        <f>0+D506+E506+G506+H506+I506+J506+K506+L506</f>
        <v>0</v>
      </c>
      <c r="N506">
        <f>0+D506+F506+G506+H506+I506+J506+K506+L506</f>
        <v>0</v>
      </c>
    </row>
    <row r="507" spans="3:14">
      <c r="C507" t="s">
        <v>32</v>
      </c>
      <c r="D507">
        <f>-97.717*$D$471</f>
        <v>0</v>
      </c>
      <c r="E507">
        <f>34.51*$E$471</f>
        <v>0</v>
      </c>
      <c r="F507">
        <f>-161.023*$F$471</f>
        <v>0</v>
      </c>
      <c r="G507">
        <f>-9.428*$G$471</f>
        <v>0</v>
      </c>
      <c r="H507">
        <f>0*$H$471</f>
        <v>0</v>
      </c>
      <c r="I507">
        <f>-14.348*$I$471</f>
        <v>0</v>
      </c>
      <c r="J507">
        <f>-283.24*$J$471</f>
        <v>0</v>
      </c>
      <c r="K507">
        <f>377.654*$K$471</f>
        <v>0</v>
      </c>
      <c r="L507">
        <f>-0.059*$L$471</f>
        <v>0</v>
      </c>
      <c r="M507">
        <f>0+D507+E507+G507+H507+I507+J507+K507+L507</f>
        <v>0</v>
      </c>
      <c r="N507">
        <f>0+D507+F507+G507+H507+I507+J507+K507+L507</f>
        <v>0</v>
      </c>
    </row>
    <row r="508" spans="3:14">
      <c r="C508" t="s">
        <v>33</v>
      </c>
      <c r="D508">
        <f>-90.299*$D$471</f>
        <v>0</v>
      </c>
      <c r="E508">
        <f>32.198*$E$471</f>
        <v>0</v>
      </c>
      <c r="F508">
        <f>-149.155*$F$471</f>
        <v>0</v>
      </c>
      <c r="G508">
        <f>-7.464*$G$471</f>
        <v>0</v>
      </c>
      <c r="H508">
        <f>0*$H$471</f>
        <v>0</v>
      </c>
      <c r="I508">
        <f>-13.354*$I$471</f>
        <v>0</v>
      </c>
      <c r="J508">
        <f>-277.722*$J$471</f>
        <v>0</v>
      </c>
      <c r="K508">
        <f>370.296*$K$471</f>
        <v>0</v>
      </c>
      <c r="L508">
        <f>-0.054*$L$471</f>
        <v>0</v>
      </c>
      <c r="M508">
        <f>0+D508+E508+G508+H508+I508+J508+K508+L508</f>
        <v>0</v>
      </c>
      <c r="N508">
        <f>0+D508+F508+G508+H508+I508+J508+K508+L508</f>
        <v>0</v>
      </c>
    </row>
    <row r="509" spans="3:14">
      <c r="C509" t="s">
        <v>33</v>
      </c>
      <c r="D509">
        <f>-58.896*$D$471</f>
        <v>0</v>
      </c>
      <c r="E509">
        <f>27.988*$E$471</f>
        <v>0</v>
      </c>
      <c r="F509">
        <f>-106.671*$F$471</f>
        <v>0</v>
      </c>
      <c r="G509">
        <f>-3.599*$G$471</f>
        <v>0</v>
      </c>
      <c r="H509">
        <f>0*$H$471</f>
        <v>0</v>
      </c>
      <c r="I509">
        <f>-8.899*$I$471</f>
        <v>0</v>
      </c>
      <c r="J509">
        <f>-263.391*$J$471</f>
        <v>0</v>
      </c>
      <c r="K509">
        <f>351.189*$K$471</f>
        <v>0</v>
      </c>
      <c r="L509">
        <f>-0.046*$L$471</f>
        <v>0</v>
      </c>
      <c r="M509">
        <f>0+D509+E509+G509+H509+I509+J509+K509+L509</f>
        <v>0</v>
      </c>
      <c r="N509">
        <f>0+D509+F509+G509+H509+I509+J509+K509+L509</f>
        <v>0</v>
      </c>
    </row>
    <row r="510" spans="3:14">
      <c r="C510" t="s">
        <v>34</v>
      </c>
      <c r="D510">
        <f>-57.578*$D$471</f>
        <v>0</v>
      </c>
      <c r="E510">
        <f>23.357*$E$471</f>
        <v>0</v>
      </c>
      <c r="F510">
        <f>-98.665*$F$471</f>
        <v>0</v>
      </c>
      <c r="G510">
        <f>-3.653*$G$471</f>
        <v>0</v>
      </c>
      <c r="H510">
        <f>0*$H$471</f>
        <v>0</v>
      </c>
      <c r="I510">
        <f>-8.636*$I$471</f>
        <v>0</v>
      </c>
      <c r="J510">
        <f>-234.369*$J$471</f>
        <v>0</v>
      </c>
      <c r="K510">
        <f>312.492*$K$471</f>
        <v>0</v>
      </c>
      <c r="L510">
        <f>-0.034*$L$471</f>
        <v>0</v>
      </c>
      <c r="M510">
        <f>0+D510+E510+G510+H510+I510+J510+K510+L510</f>
        <v>0</v>
      </c>
      <c r="N510">
        <f>0+D510+F510+G510+H510+I510+J510+K510+L510</f>
        <v>0</v>
      </c>
    </row>
    <row r="511" spans="3:14">
      <c r="C511" t="s">
        <v>34</v>
      </c>
      <c r="D511">
        <f>-11.045*$D$471</f>
        <v>0</v>
      </c>
      <c r="E511">
        <f>16.549*$E$471</f>
        <v>0</v>
      </c>
      <c r="F511">
        <f>-32.008*$F$471</f>
        <v>0</v>
      </c>
      <c r="G511">
        <f>0.586*$G$471</f>
        <v>0</v>
      </c>
      <c r="H511">
        <f>0*$H$471</f>
        <v>0</v>
      </c>
      <c r="I511">
        <f>-1.846*$I$471</f>
        <v>0</v>
      </c>
      <c r="J511">
        <f>-203.426*$J$471</f>
        <v>0</v>
      </c>
      <c r="K511">
        <f>271.234*$K$471</f>
        <v>0</v>
      </c>
      <c r="L511">
        <f>-0.021*$L$471</f>
        <v>0</v>
      </c>
      <c r="M511">
        <f>0+D511+E511+G511+H511+I511+J511+K511+L511</f>
        <v>0</v>
      </c>
      <c r="N511">
        <f>0+D511+F511+G511+H511+I511+J511+K511+L511</f>
        <v>0</v>
      </c>
    </row>
    <row r="512" spans="3:14">
      <c r="C512" t="s">
        <v>35</v>
      </c>
      <c r="D512">
        <f>-13.466*$D$471</f>
        <v>0</v>
      </c>
      <c r="E512">
        <f>12.713*$E$471</f>
        <v>0</v>
      </c>
      <c r="F512">
        <f>-27.814*$F$471</f>
        <v>0</v>
      </c>
      <c r="G512">
        <f>-0.101*$G$471</f>
        <v>0</v>
      </c>
      <c r="H512">
        <f>0*$H$471</f>
        <v>0</v>
      </c>
      <c r="I512">
        <f>-2.102*$I$471</f>
        <v>0</v>
      </c>
      <c r="J512">
        <f>-175.947*$J$471</f>
        <v>0</v>
      </c>
      <c r="K512">
        <f>234.596*$K$471</f>
        <v>0</v>
      </c>
      <c r="L512">
        <f>-0.01*$L$471</f>
        <v>0</v>
      </c>
      <c r="M512">
        <f>0+D512+E512+G512+H512+I512+J512+K512+L512</f>
        <v>0</v>
      </c>
      <c r="N512">
        <f>0+D512+F512+G512+H512+I512+J512+K512+L512</f>
        <v>0</v>
      </c>
    </row>
    <row r="513" spans="3:14">
      <c r="C513" t="s">
        <v>35</v>
      </c>
      <c r="D513">
        <f>-14.287*$D$471</f>
        <v>0</v>
      </c>
      <c r="E513">
        <f>8.846*$E$471</f>
        <v>0</v>
      </c>
      <c r="F513">
        <f>-24.316*$F$471</f>
        <v>0</v>
      </c>
      <c r="G513">
        <f>-1.185*$G$471</f>
        <v>0</v>
      </c>
      <c r="H513">
        <f>0*$H$471</f>
        <v>0</v>
      </c>
      <c r="I513">
        <f>-2.112*$I$471</f>
        <v>0</v>
      </c>
      <c r="J513">
        <f>-153.111*$J$471</f>
        <v>0</v>
      </c>
      <c r="K513">
        <f>204.148*$K$471</f>
        <v>0</v>
      </c>
      <c r="L513">
        <f>-0.003298*$L$471</f>
        <v>0</v>
      </c>
      <c r="M513">
        <f>0+D513+E513+G513+H513+I513+J513+K513+L513</f>
        <v>0</v>
      </c>
      <c r="N513">
        <f>0+D513+F513+G513+H513+I513+J513+K513+L513</f>
        <v>0</v>
      </c>
    </row>
    <row r="514" spans="3:14">
      <c r="C514" t="s">
        <v>36</v>
      </c>
      <c r="D514">
        <f>-14.287*$D$471</f>
        <v>0</v>
      </c>
      <c r="E514">
        <f>8.846*$E$471</f>
        <v>0</v>
      </c>
      <c r="F514">
        <f>-24.316*$F$471</f>
        <v>0</v>
      </c>
      <c r="G514">
        <f>-1.185*$G$471</f>
        <v>0</v>
      </c>
      <c r="H514">
        <f>0*$H$471</f>
        <v>0</v>
      </c>
      <c r="I514">
        <f>-2.112*$I$471</f>
        <v>0</v>
      </c>
      <c r="J514">
        <f>-153.111*$J$471</f>
        <v>0</v>
      </c>
      <c r="K514">
        <f>204.148*$K$471</f>
        <v>0</v>
      </c>
      <c r="L514">
        <f>-0.003298*$L$471</f>
        <v>0</v>
      </c>
      <c r="M514">
        <f>0+D514+E514+G514+H514+I514+J514+K514+L514</f>
        <v>0</v>
      </c>
      <c r="N514">
        <f>0+D514+F514+G514+H514+I514+J514+K514+L514</f>
        <v>0</v>
      </c>
    </row>
    <row r="515" spans="3:14">
      <c r="C515" t="s">
        <v>36</v>
      </c>
      <c r="D515">
        <f>-11.868*$D$471</f>
        <v>0</v>
      </c>
      <c r="E515">
        <f>4.235*$E$471</f>
        <v>0</v>
      </c>
      <c r="F515">
        <f>-24.018*$F$471</f>
        <v>0</v>
      </c>
      <c r="G515">
        <f>-1.412*$G$471</f>
        <v>0</v>
      </c>
      <c r="H515">
        <f>0*$H$471</f>
        <v>0</v>
      </c>
      <c r="I515">
        <f>-1.748*$I$471</f>
        <v>0</v>
      </c>
      <c r="J515">
        <f>-156.379*$J$471</f>
        <v>0</v>
      </c>
      <c r="K515">
        <f>208.505*$K$471</f>
        <v>0</v>
      </c>
      <c r="L515">
        <f>0.284*$L$471</f>
        <v>0</v>
      </c>
      <c r="M515">
        <f>0+D515+E515+G515+H515+I515+J515+K515+L515</f>
        <v>0</v>
      </c>
      <c r="N515">
        <f>0+D515+F515+G515+H515+I515+J515+K515+L515</f>
        <v>0</v>
      </c>
    </row>
    <row r="516" spans="3:14">
      <c r="C516" t="s">
        <v>37</v>
      </c>
      <c r="D516">
        <f>-11.868*$D$471</f>
        <v>0</v>
      </c>
      <c r="E516">
        <f>4.235*$E$471</f>
        <v>0</v>
      </c>
      <c r="F516">
        <f>-24.018*$F$471</f>
        <v>0</v>
      </c>
      <c r="G516">
        <f>-1.412*$G$471</f>
        <v>0</v>
      </c>
      <c r="H516">
        <f>0*$H$471</f>
        <v>0</v>
      </c>
      <c r="I516">
        <f>-1.748*$I$471</f>
        <v>0</v>
      </c>
      <c r="J516">
        <f>-156.379*$J$471</f>
        <v>0</v>
      </c>
      <c r="K516">
        <f>208.505*$K$471</f>
        <v>0</v>
      </c>
      <c r="L516">
        <f>0.284*$L$471</f>
        <v>0</v>
      </c>
      <c r="M516">
        <f>0+D516+E516+G516+H516+I516+J516+K516+L516</f>
        <v>0</v>
      </c>
      <c r="N516">
        <f>0+D516+F516+G516+H516+I516+J516+K516+L516</f>
        <v>0</v>
      </c>
    </row>
    <row r="517" spans="3:14">
      <c r="C517" t="s">
        <v>37</v>
      </c>
      <c r="D517">
        <f>-30.138*$D$471</f>
        <v>0</v>
      </c>
      <c r="E517">
        <f>55.881*$E$471</f>
        <v>0</v>
      </c>
      <c r="F517">
        <f>-94.558*$F$471</f>
        <v>0</v>
      </c>
      <c r="G517">
        <f>2.35*$G$471</f>
        <v>0</v>
      </c>
      <c r="H517">
        <f>0*$H$471</f>
        <v>0</v>
      </c>
      <c r="I517">
        <f>-4.65*$I$471</f>
        <v>0</v>
      </c>
      <c r="J517">
        <f>-147.039*$J$471</f>
        <v>0</v>
      </c>
      <c r="K517">
        <f>196.053*$K$471</f>
        <v>0</v>
      </c>
      <c r="L517">
        <f>-2.088*$L$471</f>
        <v>0</v>
      </c>
      <c r="M517">
        <f>0+D517+E517+G517+H517+I517+J517+K517+L517</f>
        <v>0</v>
      </c>
      <c r="N517">
        <f>0+D517+F517+G517+H517+I517+J517+K517+L517</f>
        <v>0</v>
      </c>
    </row>
    <row r="518" spans="3:14">
      <c r="C518" t="s">
        <v>38</v>
      </c>
      <c r="D518">
        <f>-26.624*$D$471</f>
        <v>0</v>
      </c>
      <c r="E518">
        <f>48.959*$E$471</f>
        <v>0</v>
      </c>
      <c r="F518">
        <f>-89.635*$F$471</f>
        <v>0</v>
      </c>
      <c r="G518">
        <f>3.021*$G$471</f>
        <v>0</v>
      </c>
      <c r="H518">
        <f>0*$H$471</f>
        <v>0</v>
      </c>
      <c r="I518">
        <f>-4.237*$I$471</f>
        <v>0</v>
      </c>
      <c r="J518">
        <f>-175.092*$J$471</f>
        <v>0</v>
      </c>
      <c r="K518">
        <f>233.456*$K$471</f>
        <v>0</v>
      </c>
      <c r="L518">
        <f>-1.806*$L$471</f>
        <v>0</v>
      </c>
      <c r="M518">
        <f>0+D518+E518+G518+H518+I518+J518+K518+L518</f>
        <v>0</v>
      </c>
      <c r="N518">
        <f>0+D518+F518+G518+H518+I518+J518+K518+L518</f>
        <v>0</v>
      </c>
    </row>
    <row r="519" spans="3:14">
      <c r="C519" t="s">
        <v>38</v>
      </c>
      <c r="D519">
        <f>-70.118*$D$471</f>
        <v>0</v>
      </c>
      <c r="E519">
        <f>28.248*$E$471</f>
        <v>0</v>
      </c>
      <c r="F519">
        <f>-134.117*$F$471</f>
        <v>0</v>
      </c>
      <c r="G519">
        <f>-1.165*$G$471</f>
        <v>0</v>
      </c>
      <c r="H519">
        <f>0*$H$471</f>
        <v>0</v>
      </c>
      <c r="I519">
        <f>-10.586*$I$471</f>
        <v>0</v>
      </c>
      <c r="J519">
        <f>-207.45*$J$471</f>
        <v>0</v>
      </c>
      <c r="K519">
        <f>276.601*$K$471</f>
        <v>0</v>
      </c>
      <c r="L519">
        <f>-1.372*$L$471</f>
        <v>0</v>
      </c>
      <c r="M519">
        <f>0+D519+E519+G519+H519+I519+J519+K519+L519</f>
        <v>0</v>
      </c>
      <c r="N519">
        <f>0+D519+F519+G519+H519+I519+J519+K519+L519</f>
        <v>0</v>
      </c>
    </row>
    <row r="520" spans="3:14">
      <c r="C520" t="s">
        <v>39</v>
      </c>
      <c r="D520">
        <f>-69.951*$D$471</f>
        <v>0</v>
      </c>
      <c r="E520">
        <f>26.361*$E$471</f>
        <v>0</v>
      </c>
      <c r="F520">
        <f>-135.092*$F$471</f>
        <v>0</v>
      </c>
      <c r="G520">
        <f>-1.083*$G$471</f>
        <v>0</v>
      </c>
      <c r="H520">
        <f>0*$H$471</f>
        <v>0</v>
      </c>
      <c r="I520">
        <f>-10.638*$I$471</f>
        <v>0</v>
      </c>
      <c r="J520">
        <f>-236.82*$J$471</f>
        <v>0</v>
      </c>
      <c r="K520">
        <f>315.76*$K$471</f>
        <v>0</v>
      </c>
      <c r="L520">
        <f>-0.995*$L$471</f>
        <v>0</v>
      </c>
      <c r="M520">
        <f>0+D520+E520+G520+H520+I520+J520+K520+L520</f>
        <v>0</v>
      </c>
      <c r="N520">
        <f>0+D520+F520+G520+H520+I520+J520+K520+L520</f>
        <v>0</v>
      </c>
    </row>
    <row r="521" spans="3:14">
      <c r="C521" t="s">
        <v>39</v>
      </c>
      <c r="D521">
        <f>-98.788*$D$471</f>
        <v>0</v>
      </c>
      <c r="E521">
        <f>23.561*$E$471</f>
        <v>0</v>
      </c>
      <c r="F521">
        <f>-165.538*$F$471</f>
        <v>0</v>
      </c>
      <c r="G521">
        <f>-4.856*$G$471</f>
        <v>0</v>
      </c>
      <c r="H521">
        <f>0*$H$471</f>
        <v>0</v>
      </c>
      <c r="I521">
        <f>-14.727*$I$471</f>
        <v>0</v>
      </c>
      <c r="J521">
        <f>-251.772*$J$471</f>
        <v>0</v>
      </c>
      <c r="K521">
        <f>335.696*$K$471</f>
        <v>0</v>
      </c>
      <c r="L521">
        <f>-0.577*$L$471</f>
        <v>0</v>
      </c>
      <c r="M521">
        <f>0+D521+E521+G521+H521+I521+J521+K521+L521</f>
        <v>0</v>
      </c>
      <c r="N521">
        <f>0+D521+F521+G521+H521+I521+J521+K521+L521</f>
        <v>0</v>
      </c>
    </row>
    <row r="522" spans="3:14">
      <c r="C522" t="s">
        <v>40</v>
      </c>
      <c r="D522">
        <f>-104.382*$D$471</f>
        <v>0</v>
      </c>
      <c r="E522">
        <f>23.241*$E$471</f>
        <v>0</v>
      </c>
      <c r="F522">
        <f>-170.677*$F$471</f>
        <v>0</v>
      </c>
      <c r="G522">
        <f>-6.777*$G$471</f>
        <v>0</v>
      </c>
      <c r="H522">
        <f>0*$H$471</f>
        <v>0</v>
      </c>
      <c r="I522">
        <f>-15.462*$I$471</f>
        <v>0</v>
      </c>
      <c r="J522">
        <f>-257.648*$J$471</f>
        <v>0</v>
      </c>
      <c r="K522">
        <f>343.531*$K$471</f>
        <v>0</v>
      </c>
      <c r="L522">
        <f>-0.132*$L$471</f>
        <v>0</v>
      </c>
      <c r="M522">
        <f>0+D522+E522+G522+H522+I522+J522+K522+L522</f>
        <v>0</v>
      </c>
      <c r="N522">
        <f>0+D522+F522+G522+H522+I522+J522+K522+L522</f>
        <v>0</v>
      </c>
    </row>
    <row r="523" spans="3:14">
      <c r="C523" t="s">
        <v>40</v>
      </c>
      <c r="D523">
        <f>-142.041*$D$471</f>
        <v>0</v>
      </c>
      <c r="E523">
        <f>22.169*$E$471</f>
        <v>0</v>
      </c>
      <c r="F523">
        <f>-219.487*$F$471</f>
        <v>0</v>
      </c>
      <c r="G523">
        <f>-12.4*$G$471</f>
        <v>0</v>
      </c>
      <c r="H523">
        <f>0*$H$471</f>
        <v>0</v>
      </c>
      <c r="I523">
        <f>-20.698*$I$471</f>
        <v>0</v>
      </c>
      <c r="J523">
        <f>-251.926*$J$471</f>
        <v>0</v>
      </c>
      <c r="K523">
        <f>335.901*$K$471</f>
        <v>0</v>
      </c>
      <c r="L523">
        <f>0.328*$L$471</f>
        <v>0</v>
      </c>
      <c r="M523">
        <f>0+D523+E523+G523+H523+I523+J523+K523+L523</f>
        <v>0</v>
      </c>
      <c r="N523">
        <f>0+D523+F523+G523+H523+I523+J523+K523+L523</f>
        <v>0</v>
      </c>
    </row>
    <row r="524" spans="3:14">
      <c r="C524" t="s">
        <v>41</v>
      </c>
      <c r="D524">
        <f>-150.818*$D$471</f>
        <v>0</v>
      </c>
      <c r="E524">
        <f>20.913*$E$471</f>
        <v>0</v>
      </c>
      <c r="F524">
        <f>-225.663*$F$471</f>
        <v>0</v>
      </c>
      <c r="G524">
        <f>-16.04*$G$471</f>
        <v>0</v>
      </c>
      <c r="H524">
        <f>0*$H$471</f>
        <v>0</v>
      </c>
      <c r="I524">
        <f>-21.759*$I$471</f>
        <v>0</v>
      </c>
      <c r="J524">
        <f>-238.77*$J$471</f>
        <v>0</v>
      </c>
      <c r="K524">
        <f>318.36*$K$471</f>
        <v>0</v>
      </c>
      <c r="L524">
        <f>0.861*$L$471</f>
        <v>0</v>
      </c>
      <c r="M524">
        <f>0+D524+E524+G524+H524+I524+J524+K524+L524</f>
        <v>0</v>
      </c>
      <c r="N524">
        <f>0+D524+F524+G524+H524+I524+J524+K524+L524</f>
        <v>0</v>
      </c>
    </row>
    <row r="525" spans="3:14">
      <c r="C525" t="s">
        <v>41</v>
      </c>
      <c r="D525">
        <f>-198.928*$D$471</f>
        <v>0</v>
      </c>
      <c r="E525">
        <f>19.371*$E$471</f>
        <v>0</v>
      </c>
      <c r="F525">
        <f>-283.467*$F$471</f>
        <v>0</v>
      </c>
      <c r="G525">
        <f>-23.359*$G$471</f>
        <v>0</v>
      </c>
      <c r="H525">
        <f>0*$H$471</f>
        <v>0</v>
      </c>
      <c r="I525">
        <f>-28.367*$I$471</f>
        <v>0</v>
      </c>
      <c r="J525">
        <f>-223.275*$J$471</f>
        <v>0</v>
      </c>
      <c r="K525">
        <f>297.7*$K$471</f>
        <v>0</v>
      </c>
      <c r="L525">
        <f>1.368*$L$471</f>
        <v>0</v>
      </c>
      <c r="M525">
        <f>0+D525+E525+G525+H525+I525+J525+K525+L525</f>
        <v>0</v>
      </c>
      <c r="N525">
        <f>0+D525+F525+G525+H525+I525+J525+K525+L525</f>
        <v>0</v>
      </c>
    </row>
    <row r="526" spans="3:14">
      <c r="C526" t="s">
        <v>42</v>
      </c>
      <c r="D526">
        <f>-207.652*$D$471</f>
        <v>0</v>
      </c>
      <c r="E526">
        <f>18.44*$E$471</f>
        <v>0</v>
      </c>
      <c r="F526">
        <f>-293.068*$F$471</f>
        <v>0</v>
      </c>
      <c r="G526">
        <f>-25.898*$G$471</f>
        <v>0</v>
      </c>
      <c r="H526">
        <f>0*$H$471</f>
        <v>0</v>
      </c>
      <c r="I526">
        <f>-29.496*$I$471</f>
        <v>0</v>
      </c>
      <c r="J526">
        <f>-216.374*$J$471</f>
        <v>0</v>
      </c>
      <c r="K526">
        <f>288.499*$K$471</f>
        <v>0</v>
      </c>
      <c r="L526">
        <f>1.958*$L$471</f>
        <v>0</v>
      </c>
      <c r="M526">
        <f>0+D526+E526+G526+H526+I526+J526+K526+L526</f>
        <v>0</v>
      </c>
      <c r="N526">
        <f>0+D526+F526+G526+H526+I526+J526+K526+L526</f>
        <v>0</v>
      </c>
    </row>
    <row r="527" spans="3:14">
      <c r="C527" t="s">
        <v>42</v>
      </c>
      <c r="D527">
        <f>-235.655*$D$471</f>
        <v>0</v>
      </c>
      <c r="E527">
        <f>16.776*$E$471</f>
        <v>0</v>
      </c>
      <c r="F527">
        <f>-329.229*$F$471</f>
        <v>0</v>
      </c>
      <c r="G527">
        <f>-28.787*$G$471</f>
        <v>0</v>
      </c>
      <c r="H527">
        <f>0*$H$471</f>
        <v>0</v>
      </c>
      <c r="I527">
        <f>-33.497*$I$471</f>
        <v>0</v>
      </c>
      <c r="J527">
        <f>-211.894*$J$471</f>
        <v>0</v>
      </c>
      <c r="K527">
        <f>282.526*$K$471</f>
        <v>0</v>
      </c>
      <c r="L527">
        <f>2.564*$L$471</f>
        <v>0</v>
      </c>
      <c r="M527">
        <f>0+D527+E527+G527+H527+I527+J527+K527+L527</f>
        <v>0</v>
      </c>
      <c r="N527">
        <f>0+D527+F527+G527+H527+I527+J527+K527+L527</f>
        <v>0</v>
      </c>
    </row>
    <row r="528" spans="3:14">
      <c r="C528" t="s">
        <v>43</v>
      </c>
      <c r="D528">
        <f>-243.903*$D$471</f>
        <v>0</v>
      </c>
      <c r="E528">
        <f>16.897*$E$471</f>
        <v>0</v>
      </c>
      <c r="F528">
        <f>-342.44*$F$471</f>
        <v>0</v>
      </c>
      <c r="G528">
        <f>-29.152*$G$471</f>
        <v>0</v>
      </c>
      <c r="H528">
        <f>0*$H$471</f>
        <v>0</v>
      </c>
      <c r="I528">
        <f>-34.729*$I$471</f>
        <v>0</v>
      </c>
      <c r="J528">
        <f>-218.749*$J$471</f>
        <v>0</v>
      </c>
      <c r="K528">
        <f>291.665*$K$471</f>
        <v>0</v>
      </c>
      <c r="L528">
        <f>3.284*$L$471</f>
        <v>0</v>
      </c>
      <c r="M528">
        <f>0+D528+E528+G528+H528+I528+J528+K528+L528</f>
        <v>0</v>
      </c>
      <c r="N528">
        <f>0+D528+F528+G528+H528+I528+J528+K528+L528</f>
        <v>0</v>
      </c>
    </row>
    <row r="529" spans="3:14">
      <c r="C529" t="s">
        <v>43</v>
      </c>
      <c r="D529">
        <f>-270.286*$D$471</f>
        <v>0</v>
      </c>
      <c r="E529">
        <f>17.536*$E$471</f>
        <v>0</v>
      </c>
      <c r="F529">
        <f>-383.498*$F$471</f>
        <v>0</v>
      </c>
      <c r="G529">
        <f>-30.522*$G$471</f>
        <v>0</v>
      </c>
      <c r="H529">
        <f>0*$H$471</f>
        <v>0</v>
      </c>
      <c r="I529">
        <f>-38.643*$I$471</f>
        <v>0</v>
      </c>
      <c r="J529">
        <f>-233.118*$J$471</f>
        <v>0</v>
      </c>
      <c r="K529">
        <f>310.824*$K$471</f>
        <v>0</v>
      </c>
      <c r="L529">
        <f>4.015*$L$471</f>
        <v>0</v>
      </c>
      <c r="M529">
        <f>0+D529+E529+G529+H529+I529+J529+K529+L529</f>
        <v>0</v>
      </c>
      <c r="N529">
        <f>0+D529+F529+G529+H529+I529+J529+K529+L529</f>
        <v>0</v>
      </c>
    </row>
    <row r="530" spans="3:14">
      <c r="C530" t="s">
        <v>44</v>
      </c>
      <c r="D530">
        <f>-277.158*$D$471</f>
        <v>0</v>
      </c>
      <c r="E530">
        <f>18.004*$E$471</f>
        <v>0</v>
      </c>
      <c r="F530">
        <f>-395.869*$F$471</f>
        <v>0</v>
      </c>
      <c r="G530">
        <f>-29.702*$G$471</f>
        <v>0</v>
      </c>
      <c r="H530">
        <f>0*$H$471</f>
        <v>0</v>
      </c>
      <c r="I530">
        <f>-39.748*$I$471</f>
        <v>0</v>
      </c>
      <c r="J530">
        <f>-246.219*$J$471</f>
        <v>0</v>
      </c>
      <c r="K530">
        <f>328.291*$K$471</f>
        <v>0</v>
      </c>
      <c r="L530">
        <f>4.855*$L$471</f>
        <v>0</v>
      </c>
      <c r="M530">
        <f>0+D530+E530+G530+H530+I530+J530+K530+L530</f>
        <v>0</v>
      </c>
      <c r="N530">
        <f>0+D530+F530+G530+H530+I530+J530+K530+L530</f>
        <v>0</v>
      </c>
    </row>
    <row r="531" spans="3:14">
      <c r="C531" t="s">
        <v>44</v>
      </c>
      <c r="D531">
        <f>-303.296*$D$471</f>
        <v>0</v>
      </c>
      <c r="E531">
        <f>18.408*$E$471</f>
        <v>0</v>
      </c>
      <c r="F531">
        <f>-429.751*$F$471</f>
        <v>0</v>
      </c>
      <c r="G531">
        <f>-31.905*$G$471</f>
        <v>0</v>
      </c>
      <c r="H531">
        <f>0*$H$471</f>
        <v>0</v>
      </c>
      <c r="I531">
        <f>-43.565*$I$471</f>
        <v>0</v>
      </c>
      <c r="J531">
        <f>-252.617*$J$471</f>
        <v>0</v>
      </c>
      <c r="K531">
        <f>336.822*$K$471</f>
        <v>0</v>
      </c>
      <c r="L531">
        <f>5.616*$L$471</f>
        <v>0</v>
      </c>
      <c r="M531">
        <f>0+D531+E531+G531+H531+I531+J531+K531+L531</f>
        <v>0</v>
      </c>
      <c r="N531">
        <f>0+D531+F531+G531+H531+I531+J531+K531+L531</f>
        <v>0</v>
      </c>
    </row>
    <row r="532" spans="3:14">
      <c r="C532" t="s">
        <v>45</v>
      </c>
      <c r="D532">
        <f>-308.014*$D$471</f>
        <v>0</v>
      </c>
      <c r="E532">
        <f>17.885*$E$471</f>
        <v>0</v>
      </c>
      <c r="F532">
        <f>-435.4*$F$471</f>
        <v>0</v>
      </c>
      <c r="G532">
        <f>-32.915*$G$471</f>
        <v>0</v>
      </c>
      <c r="H532">
        <f>0*$H$471</f>
        <v>0</v>
      </c>
      <c r="I532">
        <f>-44.211*$I$471</f>
        <v>0</v>
      </c>
      <c r="J532">
        <f>-252.345*$J$471</f>
        <v>0</v>
      </c>
      <c r="K532">
        <f>336.46*$K$471</f>
        <v>0</v>
      </c>
      <c r="L532">
        <f>6.691*$L$471</f>
        <v>0</v>
      </c>
      <c r="M532">
        <f>0+D532+E532+G532+H532+I532+J532+K532+L532</f>
        <v>0</v>
      </c>
      <c r="N532">
        <f>0+D532+F532+G532+H532+I532+J532+K532+L532</f>
        <v>0</v>
      </c>
    </row>
    <row r="533" spans="3:14">
      <c r="C533" t="s">
        <v>45</v>
      </c>
      <c r="D533">
        <f>-318.02*$D$471</f>
        <v>0</v>
      </c>
      <c r="E533">
        <f>17.276*$E$471</f>
        <v>0</v>
      </c>
      <c r="F533">
        <f>-443.237*$F$471</f>
        <v>0</v>
      </c>
      <c r="G533">
        <f>-35.487*$G$471</f>
        <v>0</v>
      </c>
      <c r="H533">
        <f>0*$H$471</f>
        <v>0</v>
      </c>
      <c r="I533">
        <f>-45.491*$I$471</f>
        <v>0</v>
      </c>
      <c r="J533">
        <f>-246.273*$J$471</f>
        <v>0</v>
      </c>
      <c r="K533">
        <f>328.364*$K$471</f>
        <v>0</v>
      </c>
      <c r="L533">
        <f>7.846*$L$471</f>
        <v>0</v>
      </c>
      <c r="M533">
        <f>0+D533+E533+G533+H533+I533+J533+K533+L533</f>
        <v>0</v>
      </c>
      <c r="N533">
        <f>0+D533+F533+G533+H533+I533+J533+K533+L533</f>
        <v>0</v>
      </c>
    </row>
    <row r="534" spans="3:14">
      <c r="C534" t="s">
        <v>46</v>
      </c>
      <c r="D534">
        <f>-319.827*$D$471</f>
        <v>0</v>
      </c>
      <c r="E534">
        <f>17.036*$E$471</f>
        <v>0</v>
      </c>
      <c r="F534">
        <f>-440.354*$F$471</f>
        <v>0</v>
      </c>
      <c r="G534">
        <f>-38.387*$G$471</f>
        <v>0</v>
      </c>
      <c r="H534">
        <f>0*$H$471</f>
        <v>0</v>
      </c>
      <c r="I534">
        <f>-45.564*$I$471</f>
        <v>0</v>
      </c>
      <c r="J534">
        <f>-233.825*$J$471</f>
        <v>0</v>
      </c>
      <c r="K534">
        <f>311.767*$K$471</f>
        <v>0</v>
      </c>
      <c r="L534">
        <f>9.179*$L$471</f>
        <v>0</v>
      </c>
      <c r="M534">
        <f>0+D534+E534+G534+H534+I534+J534+K534+L534</f>
        <v>0</v>
      </c>
      <c r="N534">
        <f>0+D534+F534+G534+H534+I534+J534+K534+L534</f>
        <v>0</v>
      </c>
    </row>
    <row r="535" spans="3:14">
      <c r="C535" t="s">
        <v>46</v>
      </c>
      <c r="D535">
        <f>-325.94*$D$471</f>
        <v>0</v>
      </c>
      <c r="E535">
        <f>17.601*$E$471</f>
        <v>0</v>
      </c>
      <c r="F535">
        <f>-444.924*$F$471</f>
        <v>0</v>
      </c>
      <c r="G535">
        <f>-41.6*$G$471</f>
        <v>0</v>
      </c>
      <c r="H535">
        <f>0*$H$471</f>
        <v>0</v>
      </c>
      <c r="I535">
        <f>-46.217*$I$471</f>
        <v>0</v>
      </c>
      <c r="J535">
        <f>-221.176*$J$471</f>
        <v>0</v>
      </c>
      <c r="K535">
        <f>294.902*$K$471</f>
        <v>0</v>
      </c>
      <c r="L535">
        <f>10.635*$L$471</f>
        <v>0</v>
      </c>
      <c r="M535">
        <f>0+D535+E535+G535+H535+I535+J535+K535+L535</f>
        <v>0</v>
      </c>
      <c r="N535">
        <f>0+D535+F535+G535+H535+I535+J535+K535+L535</f>
        <v>0</v>
      </c>
    </row>
    <row r="536" spans="3:14">
      <c r="C536" t="s">
        <v>47</v>
      </c>
      <c r="D536">
        <f>-326.4*$D$471</f>
        <v>0</v>
      </c>
      <c r="E536">
        <f>18.105*$E$471</f>
        <v>0</v>
      </c>
      <c r="F536">
        <f>-443.187*$F$471</f>
        <v>0</v>
      </c>
      <c r="G536">
        <f>-43.185*$G$471</f>
        <v>0</v>
      </c>
      <c r="H536">
        <f>0*$H$471</f>
        <v>0</v>
      </c>
      <c r="I536">
        <f>-46.173*$I$471</f>
        <v>0</v>
      </c>
      <c r="J536">
        <f>-214.647*$J$471</f>
        <v>0</v>
      </c>
      <c r="K536">
        <f>286.196*$K$471</f>
        <v>0</v>
      </c>
      <c r="L536">
        <f>12.164*$L$471</f>
        <v>0</v>
      </c>
      <c r="M536">
        <f>0+D536+E536+G536+H536+I536+J536+K536+L536</f>
        <v>0</v>
      </c>
      <c r="N536">
        <f>0+D536+F536+G536+H536+I536+J536+K536+L536</f>
        <v>0</v>
      </c>
    </row>
    <row r="537" spans="3:14">
      <c r="C537" t="s">
        <v>47</v>
      </c>
      <c r="D537">
        <f>-326.537*$D$471</f>
        <v>0</v>
      </c>
      <c r="E537">
        <f>19.62*$E$471</f>
        <v>0</v>
      </c>
      <c r="F537">
        <f>-442.289*$F$471</f>
        <v>0</v>
      </c>
      <c r="G537">
        <f>-43.257*$G$471</f>
        <v>0</v>
      </c>
      <c r="H537">
        <f>0*$H$471</f>
        <v>0</v>
      </c>
      <c r="I537">
        <f>-46.19*$I$471</f>
        <v>0</v>
      </c>
      <c r="J537">
        <f>-215.039*$J$471</f>
        <v>0</v>
      </c>
      <c r="K537">
        <f>286.719*$K$471</f>
        <v>0</v>
      </c>
      <c r="L537">
        <f>13.643*$L$471</f>
        <v>0</v>
      </c>
      <c r="M537">
        <f>0+D537+E537+G537+H537+I537+J537+K537+L537</f>
        <v>0</v>
      </c>
      <c r="N537">
        <f>0+D537+F537+G537+H537+I537+J537+K537+L537</f>
        <v>0</v>
      </c>
    </row>
    <row r="538" spans="3:14">
      <c r="C538" t="s">
        <v>48</v>
      </c>
      <c r="D538">
        <f>-326.194*$D$471</f>
        <v>0</v>
      </c>
      <c r="E538">
        <f>20.131*$E$471</f>
        <v>0</v>
      </c>
      <c r="F538">
        <f>-444.027*$F$471</f>
        <v>0</v>
      </c>
      <c r="G538">
        <f>-41.842*$G$471</f>
        <v>0</v>
      </c>
      <c r="H538">
        <f>0*$H$471</f>
        <v>0</v>
      </c>
      <c r="I538">
        <f>-46.245*$I$471</f>
        <v>0</v>
      </c>
      <c r="J538">
        <f>-222.646*$J$471</f>
        <v>0</v>
      </c>
      <c r="K538">
        <f>296.861*$K$471</f>
        <v>0</v>
      </c>
      <c r="L538">
        <f>15.364*$L$471</f>
        <v>0</v>
      </c>
      <c r="M538">
        <f>0+D538+E538+G538+H538+I538+J538+K538+L538</f>
        <v>0</v>
      </c>
      <c r="N538">
        <f>0+D538+F538+G538+H538+I538+J538+K538+L538</f>
        <v>0</v>
      </c>
    </row>
    <row r="539" spans="3:14">
      <c r="C539" t="s">
        <v>48</v>
      </c>
      <c r="D539">
        <f>-320.141*$D$471</f>
        <v>0</v>
      </c>
      <c r="E539">
        <f>21.197*$E$471</f>
        <v>0</v>
      </c>
      <c r="F539">
        <f>-438.354*$F$471</f>
        <v>0</v>
      </c>
      <c r="G539">
        <f>-38.797*$G$471</f>
        <v>0</v>
      </c>
      <c r="H539">
        <f>0*$H$471</f>
        <v>0</v>
      </c>
      <c r="I539">
        <f>-45.594*$I$471</f>
        <v>0</v>
      </c>
      <c r="J539">
        <f>-236.396*$J$471</f>
        <v>0</v>
      </c>
      <c r="K539">
        <f>315.195*$K$471</f>
        <v>0</v>
      </c>
      <c r="L539">
        <f>17.097*$L$471</f>
        <v>0</v>
      </c>
      <c r="M539">
        <f>0+D539+E539+G539+H539+I539+J539+K539+L539</f>
        <v>0</v>
      </c>
      <c r="N539">
        <f>0+D539+F539+G539+H539+I539+J539+K539+L539</f>
        <v>0</v>
      </c>
    </row>
    <row r="540" spans="3:14">
      <c r="C540" t="s">
        <v>49</v>
      </c>
      <c r="D540">
        <f>-318.382*$D$471</f>
        <v>0</v>
      </c>
      <c r="E540">
        <f>21.939*$E$471</f>
        <v>0</v>
      </c>
      <c r="F540">
        <f>-440.382*$F$471</f>
        <v>0</v>
      </c>
      <c r="G540">
        <f>-36.072*$G$471</f>
        <v>0</v>
      </c>
      <c r="H540">
        <f>0*$H$471</f>
        <v>0</v>
      </c>
      <c r="I540">
        <f>-45.522*$I$471</f>
        <v>0</v>
      </c>
      <c r="J540">
        <f>-250.002*$J$471</f>
        <v>0</v>
      </c>
      <c r="K540">
        <f>333.336*$K$471</f>
        <v>0</v>
      </c>
      <c r="L540">
        <f>18.915*$L$471</f>
        <v>0</v>
      </c>
      <c r="M540">
        <f>0+D540+E540+G540+H540+I540+J540+K540+L540</f>
        <v>0</v>
      </c>
      <c r="N540">
        <f>0+D540+F540+G540+H540+I540+J540+K540+L540</f>
        <v>0</v>
      </c>
    </row>
    <row r="541" spans="3:14">
      <c r="C541" t="s">
        <v>49</v>
      </c>
      <c r="D541">
        <f>-308.213*$D$471</f>
        <v>0</v>
      </c>
      <c r="E541">
        <f>22.997*$E$471</f>
        <v>0</v>
      </c>
      <c r="F541">
        <f>-431.309*$F$471</f>
        <v>0</v>
      </c>
      <c r="G541">
        <f>-33.675*$G$471</f>
        <v>0</v>
      </c>
      <c r="H541">
        <f>0*$H$471</f>
        <v>0</v>
      </c>
      <c r="I541">
        <f>-44.211*$I$471</f>
        <v>0</v>
      </c>
      <c r="J541">
        <f>-257.378*$J$471</f>
        <v>0</v>
      </c>
      <c r="K541">
        <f>343.17*$K$471</f>
        <v>0</v>
      </c>
      <c r="L541">
        <f>20.636*$L$471</f>
        <v>0</v>
      </c>
      <c r="M541">
        <f>0+D541+E541+G541+H541+I541+J541+K541+L541</f>
        <v>0</v>
      </c>
      <c r="N541">
        <f>0+D541+F541+G541+H541+I541+J541+K541+L541</f>
        <v>0</v>
      </c>
    </row>
    <row r="542" spans="3:14">
      <c r="C542" t="s">
        <v>50</v>
      </c>
      <c r="D542">
        <f>-303.183*$D$471</f>
        <v>0</v>
      </c>
      <c r="E542">
        <f>23.598*$E$471</f>
        <v>0</v>
      </c>
      <c r="F542">
        <f>-425.091*$F$471</f>
        <v>0</v>
      </c>
      <c r="G542">
        <f>-32.848*$G$471</f>
        <v>0</v>
      </c>
      <c r="H542">
        <f>0*$H$471</f>
        <v>0</v>
      </c>
      <c r="I542">
        <f>-43.512*$I$471</f>
        <v>0</v>
      </c>
      <c r="J542">
        <f>-259.111*$J$471</f>
        <v>0</v>
      </c>
      <c r="K542">
        <f>345.482*$K$471</f>
        <v>0</v>
      </c>
      <c r="L542">
        <f>22.182*$L$471</f>
        <v>0</v>
      </c>
      <c r="M542">
        <f>0+D542+E542+G542+H542+I542+J542+K542+L542</f>
        <v>0</v>
      </c>
      <c r="N542">
        <f>0+D542+F542+G542+H542+I542+J542+K542+L542</f>
        <v>0</v>
      </c>
    </row>
    <row r="543" spans="3:14">
      <c r="C543" t="s">
        <v>50</v>
      </c>
      <c r="D543">
        <f>-276.381*$D$471</f>
        <v>0</v>
      </c>
      <c r="E543">
        <f>24.508*$E$471</f>
        <v>0</v>
      </c>
      <c r="F543">
        <f>-389.543*$F$471</f>
        <v>0</v>
      </c>
      <c r="G543">
        <f>-30.8*$G$471</f>
        <v>0</v>
      </c>
      <c r="H543">
        <f>0*$H$471</f>
        <v>0</v>
      </c>
      <c r="I543">
        <f>-39.592*$I$471</f>
        <v>0</v>
      </c>
      <c r="J543">
        <f>-254.24*$J$471</f>
        <v>0</v>
      </c>
      <c r="K543">
        <f>338.987*$K$471</f>
        <v>0</v>
      </c>
      <c r="L543">
        <f>22.876*$L$471</f>
        <v>0</v>
      </c>
      <c r="M543">
        <f>0+D543+E543+G543+H543+I543+J543+K543+L543</f>
        <v>0</v>
      </c>
      <c r="N543">
        <f>0+D543+F543+G543+H543+I543+J543+K543+L543</f>
        <v>0</v>
      </c>
    </row>
    <row r="544" spans="3:14">
      <c r="C544" t="s">
        <v>51</v>
      </c>
      <c r="D544">
        <f>-268.613*$D$471</f>
        <v>0</v>
      </c>
      <c r="E544">
        <f>24.738*$E$471</f>
        <v>0</v>
      </c>
      <c r="F544">
        <f>-375.783*$F$471</f>
        <v>0</v>
      </c>
      <c r="G544">
        <f>-31.809*$G$471</f>
        <v>0</v>
      </c>
      <c r="H544">
        <f>0*$H$471</f>
        <v>0</v>
      </c>
      <c r="I544">
        <f>-38.347*$I$471</f>
        <v>0</v>
      </c>
      <c r="J544">
        <f>-243.065*$J$471</f>
        <v>0</v>
      </c>
      <c r="K544">
        <f>324.087*$K$471</f>
        <v>0</v>
      </c>
      <c r="L544">
        <f>23.643*$L$471</f>
        <v>0</v>
      </c>
      <c r="M544">
        <f>0+D544+E544+G544+H544+I544+J544+K544+L544</f>
        <v>0</v>
      </c>
      <c r="N544">
        <f>0+D544+F544+G544+H544+I544+J544+K544+L544</f>
        <v>0</v>
      </c>
    </row>
    <row r="545" spans="3:14">
      <c r="C545" t="s">
        <v>51</v>
      </c>
      <c r="D545">
        <f>-241.163*$D$471</f>
        <v>0</v>
      </c>
      <c r="E545">
        <f>25.14*$E$471</f>
        <v>0</v>
      </c>
      <c r="F545">
        <f>-333.243*$F$471</f>
        <v>0</v>
      </c>
      <c r="G545">
        <f>-30.613*$G$471</f>
        <v>0</v>
      </c>
      <c r="H545">
        <f>0*$H$471</f>
        <v>0</v>
      </c>
      <c r="I545">
        <f>-34.27*$I$471</f>
        <v>0</v>
      </c>
      <c r="J545">
        <f>-230.64*$J$471</f>
        <v>0</v>
      </c>
      <c r="K545">
        <f>307.52*$K$471</f>
        <v>0</v>
      </c>
      <c r="L545">
        <f>23.996*$L$471</f>
        <v>0</v>
      </c>
      <c r="M545">
        <f>0+D545+E545+G545+H545+I545+J545+K545+L545</f>
        <v>0</v>
      </c>
      <c r="N545">
        <f>0+D545+F545+G545+H545+I545+J545+K545+L545</f>
        <v>0</v>
      </c>
    </row>
    <row r="546" spans="3:14">
      <c r="C546" t="s">
        <v>52</v>
      </c>
      <c r="D546">
        <f>-232.066*$D$471</f>
        <v>0</v>
      </c>
      <c r="E546">
        <f>25.358*$E$471</f>
        <v>0</v>
      </c>
      <c r="F546">
        <f>-318.31*$F$471</f>
        <v>0</v>
      </c>
      <c r="G546">
        <f>-30.439*$G$471</f>
        <v>0</v>
      </c>
      <c r="H546">
        <f>0*$H$471</f>
        <v>0</v>
      </c>
      <c r="I546">
        <f>-32.905*$I$471</f>
        <v>0</v>
      </c>
      <c r="J546">
        <f>-225.698*$J$471</f>
        <v>0</v>
      </c>
      <c r="K546">
        <f>300.931*$K$471</f>
        <v>0</v>
      </c>
      <c r="L546">
        <f>24.768*$L$471</f>
        <v>0</v>
      </c>
      <c r="M546">
        <f>0+D546+E546+G546+H546+I546+J546+K546+L546</f>
        <v>0</v>
      </c>
      <c r="N546">
        <f>0+D546+F546+G546+H546+I546+J546+K546+L546</f>
        <v>0</v>
      </c>
    </row>
    <row r="547" spans="3:14">
      <c r="C547" t="s">
        <v>52</v>
      </c>
      <c r="D547">
        <f>-203.934*$D$471</f>
        <v>0</v>
      </c>
      <c r="E547">
        <f>26.874*$E$471</f>
        <v>0</v>
      </c>
      <c r="F547">
        <f>-281.35*$F$471</f>
        <v>0</v>
      </c>
      <c r="G547">
        <f>-27.764*$G$471</f>
        <v>0</v>
      </c>
      <c r="H547">
        <f>0*$H$471</f>
        <v>0</v>
      </c>
      <c r="I547">
        <f>-28.877*$I$471</f>
        <v>0</v>
      </c>
      <c r="J547">
        <f>-231.737*$J$471</f>
        <v>0</v>
      </c>
      <c r="K547">
        <f>308.983*$K$471</f>
        <v>0</v>
      </c>
      <c r="L547">
        <f>27.451*$L$471</f>
        <v>0</v>
      </c>
      <c r="M547">
        <f>0+D547+E547+G547+H547+I547+J547+K547+L547</f>
        <v>0</v>
      </c>
      <c r="N547">
        <f>0+D547+F547+G547+H547+I547+J547+K547+L547</f>
        <v>0</v>
      </c>
    </row>
    <row r="548" spans="3:14">
      <c r="C548" t="s">
        <v>53</v>
      </c>
      <c r="D548">
        <f>-194.846*$D$471</f>
        <v>0</v>
      </c>
      <c r="E548">
        <f>27.271*$E$471</f>
        <v>0</v>
      </c>
      <c r="F548">
        <f>-268.994*$F$471</f>
        <v>0</v>
      </c>
      <c r="G548">
        <f>-25.399*$G$471</f>
        <v>0</v>
      </c>
      <c r="H548">
        <f>0*$H$471</f>
        <v>0</v>
      </c>
      <c r="I548">
        <f>-27.688*$I$471</f>
        <v>0</v>
      </c>
      <c r="J548">
        <f>-240.096*$J$471</f>
        <v>0</v>
      </c>
      <c r="K548">
        <f>320.129*$K$471</f>
        <v>0</v>
      </c>
      <c r="L548">
        <f>28.766*$L$471</f>
        <v>0</v>
      </c>
      <c r="M548">
        <f>0+D548+E548+G548+H548+I548+J548+K548+L548</f>
        <v>0</v>
      </c>
      <c r="N548">
        <f>0+D548+F548+G548+H548+I548+J548+K548+L548</f>
        <v>0</v>
      </c>
    </row>
    <row r="549" spans="3:14">
      <c r="C549" t="s">
        <v>53</v>
      </c>
      <c r="D549">
        <f>-146.828*$D$471</f>
        <v>0</v>
      </c>
      <c r="E549">
        <f>27.973*$E$471</f>
        <v>0</v>
      </c>
      <c r="F549">
        <f>-208.919*$F$471</f>
        <v>0</v>
      </c>
      <c r="G549">
        <f>-18.229*$G$471</f>
        <v>0</v>
      </c>
      <c r="H549">
        <f>0*$H$471</f>
        <v>0</v>
      </c>
      <c r="I549">
        <f>-21.088*$I$471</f>
        <v>0</v>
      </c>
      <c r="J549">
        <f>-256.57*$J$471</f>
        <v>0</v>
      </c>
      <c r="K549">
        <f>342.094*$K$471</f>
        <v>0</v>
      </c>
      <c r="L549">
        <f>30.435*$L$471</f>
        <v>0</v>
      </c>
      <c r="M549">
        <f>0+D549+E549+G549+H549+I549+J549+K549+L549</f>
        <v>0</v>
      </c>
      <c r="N549">
        <f>0+D549+F549+G549+H549+I549+J549+K549+L549</f>
        <v>0</v>
      </c>
    </row>
    <row r="550" spans="3:14">
      <c r="C550" t="s">
        <v>54</v>
      </c>
      <c r="D550">
        <f>-137.849*$D$471</f>
        <v>0</v>
      </c>
      <c r="E550">
        <f>28.217*$E$471</f>
        <v>0</v>
      </c>
      <c r="F550">
        <f>-199.56*$F$471</f>
        <v>0</v>
      </c>
      <c r="G550">
        <f>-14.749*$G$471</f>
        <v>0</v>
      </c>
      <c r="H550">
        <f>0*$H$471</f>
        <v>0</v>
      </c>
      <c r="I550">
        <f>-19.99*$I$471</f>
        <v>0</v>
      </c>
      <c r="J550">
        <f>-270.977*$J$471</f>
        <v>0</v>
      </c>
      <c r="K550">
        <f>361.303*$K$471</f>
        <v>0</v>
      </c>
      <c r="L550">
        <f>31.62*$L$471</f>
        <v>0</v>
      </c>
      <c r="M550">
        <f>0+D550+E550+G550+H550+I550+J550+K550+L550</f>
        <v>0</v>
      </c>
      <c r="N550">
        <f>0+D550+F550+G550+H550+I550+J550+K550+L550</f>
        <v>0</v>
      </c>
    </row>
    <row r="551" spans="3:14">
      <c r="C551" t="s">
        <v>54</v>
      </c>
      <c r="D551">
        <f>-99.548*$D$471</f>
        <v>0</v>
      </c>
      <c r="E551">
        <f>27.446*$E$471</f>
        <v>0</v>
      </c>
      <c r="F551">
        <f>-148.421*$F$471</f>
        <v>0</v>
      </c>
      <c r="G551">
        <f>-9.249*$G$471</f>
        <v>0</v>
      </c>
      <c r="H551">
        <f>0*$H$471</f>
        <v>0</v>
      </c>
      <c r="I551">
        <f>-14.655*$I$471</f>
        <v>0</v>
      </c>
      <c r="J551">
        <f>-278.018*$J$471</f>
        <v>0</v>
      </c>
      <c r="K551">
        <f>370.691*$K$471</f>
        <v>0</v>
      </c>
      <c r="L551">
        <f>31.436*$L$471</f>
        <v>0</v>
      </c>
      <c r="M551">
        <f>0+D551+E551+G551+H551+I551+J551+K551+L551</f>
        <v>0</v>
      </c>
      <c r="N551">
        <f>0+D551+F551+G551+H551+I551+J551+K551+L551</f>
        <v>0</v>
      </c>
    </row>
    <row r="552" spans="3:14">
      <c r="C552" t="s">
        <v>55</v>
      </c>
      <c r="D552">
        <f>-92.734*$D$471</f>
        <v>0</v>
      </c>
      <c r="E552">
        <f>25.648*$E$471</f>
        <v>0</v>
      </c>
      <c r="F552">
        <f>-139.359*$F$471</f>
        <v>0</v>
      </c>
      <c r="G552">
        <f>-7.417*$G$471</f>
        <v>0</v>
      </c>
      <c r="H552">
        <f>0*$H$471</f>
        <v>0</v>
      </c>
      <c r="I552">
        <f>-13.737*$I$471</f>
        <v>0</v>
      </c>
      <c r="J552">
        <f>-273.628*$J$471</f>
        <v>0</v>
      </c>
      <c r="K552">
        <f>364.837*$K$471</f>
        <v>0</v>
      </c>
      <c r="L552">
        <f>29.544*$L$471</f>
        <v>0</v>
      </c>
      <c r="M552">
        <f>0+D552+E552+G552+H552+I552+J552+K552+L552</f>
        <v>0</v>
      </c>
      <c r="N552">
        <f>0+D552+F552+G552+H552+I552+J552+K552+L552</f>
        <v>0</v>
      </c>
    </row>
    <row r="553" spans="3:14">
      <c r="C553" t="s">
        <v>55</v>
      </c>
      <c r="D553">
        <f>-62.011*$D$471</f>
        <v>0</v>
      </c>
      <c r="E553">
        <f>22.175*$E$471</f>
        <v>0</v>
      </c>
      <c r="F553">
        <f>-99.702*$F$471</f>
        <v>0</v>
      </c>
      <c r="G553">
        <f>-3.688*$G$471</f>
        <v>0</v>
      </c>
      <c r="H553">
        <f>0*$H$471</f>
        <v>0</v>
      </c>
      <c r="I553">
        <f>-9.369*$I$471</f>
        <v>0</v>
      </c>
      <c r="J553">
        <f>-260.34*$J$471</f>
        <v>0</v>
      </c>
      <c r="K553">
        <f>347.12*$K$471</f>
        <v>0</v>
      </c>
      <c r="L553">
        <f>25.383*$L$471</f>
        <v>0</v>
      </c>
      <c r="M553">
        <f>0+D553+E553+G553+H553+I553+J553+K553+L553</f>
        <v>0</v>
      </c>
      <c r="N553">
        <f>0+D553+F553+G553+H553+I553+J553+K553+L553</f>
        <v>0</v>
      </c>
    </row>
    <row r="554" spans="3:14">
      <c r="C554" t="s">
        <v>56</v>
      </c>
      <c r="D554">
        <f>-59.82*$D$471</f>
        <v>0</v>
      </c>
      <c r="E554">
        <f>19.679*$E$471</f>
        <v>0</v>
      </c>
      <c r="F554">
        <f>-94.076*$F$471</f>
        <v>0</v>
      </c>
      <c r="G554">
        <f>-3.729*$G$471</f>
        <v>0</v>
      </c>
      <c r="H554">
        <f>0*$H$471</f>
        <v>0</v>
      </c>
      <c r="I554">
        <f>-8.973*$I$471</f>
        <v>0</v>
      </c>
      <c r="J554">
        <f>-232.374*$J$471</f>
        <v>0</v>
      </c>
      <c r="K554">
        <f>309.832*$K$471</f>
        <v>0</v>
      </c>
      <c r="L554">
        <f>19.268*$L$471</f>
        <v>0</v>
      </c>
      <c r="M554">
        <f>0+D554+E554+G554+H554+I554+J554+K554+L554</f>
        <v>0</v>
      </c>
      <c r="N554">
        <f>0+D554+F554+G554+H554+I554+J554+K554+L554</f>
        <v>0</v>
      </c>
    </row>
    <row r="555" spans="3:14">
      <c r="C555" t="s">
        <v>56</v>
      </c>
      <c r="D555">
        <f>-13.21*$D$471</f>
        <v>0</v>
      </c>
      <c r="E555">
        <f>13.917*$E$471</f>
        <v>0</v>
      </c>
      <c r="F555">
        <f>-28.895*$F$471</f>
        <v>0</v>
      </c>
      <c r="G555">
        <f>0.462*$G$471</f>
        <v>0</v>
      </c>
      <c r="H555">
        <f>0*$H$471</f>
        <v>0</v>
      </c>
      <c r="I555">
        <f>-2.165*$I$471</f>
        <v>0</v>
      </c>
      <c r="J555">
        <f>-202.209*$J$471</f>
        <v>0</v>
      </c>
      <c r="K555">
        <f>269.612*$K$471</f>
        <v>0</v>
      </c>
      <c r="L555">
        <f>12.041*$L$471</f>
        <v>0</v>
      </c>
      <c r="M555">
        <f>0+D555+E555+G555+H555+I555+J555+K555+L555</f>
        <v>0</v>
      </c>
      <c r="N555">
        <f>0+D555+F555+G555+H555+I555+J555+K555+L555</f>
        <v>0</v>
      </c>
    </row>
    <row r="556" spans="3:14">
      <c r="C556" t="s">
        <v>57</v>
      </c>
      <c r="D556">
        <f>-14.514*$D$471</f>
        <v>0</v>
      </c>
      <c r="E556">
        <f>11.452*$E$471</f>
        <v>0</v>
      </c>
      <c r="F556">
        <f>-26.894*$F$471</f>
        <v>0</v>
      </c>
      <c r="G556">
        <f>-0.166*$G$471</f>
        <v>0</v>
      </c>
      <c r="H556">
        <f>0*$H$471</f>
        <v>0</v>
      </c>
      <c r="I556">
        <f>-2.256*$I$471</f>
        <v>0</v>
      </c>
      <c r="J556">
        <f>-175.447*$J$471</f>
        <v>0</v>
      </c>
      <c r="K556">
        <f>233.929*$K$471</f>
        <v>0</v>
      </c>
      <c r="L556">
        <f>6.142*$L$471</f>
        <v>0</v>
      </c>
      <c r="M556">
        <f>0+D556+E556+G556+H556+I556+J556+K556+L556</f>
        <v>0</v>
      </c>
      <c r="N556">
        <f>0+D556+F556+G556+H556+I556+J556+K556+L556</f>
        <v>0</v>
      </c>
    </row>
    <row r="557" spans="3:14">
      <c r="C557" t="s">
        <v>57</v>
      </c>
      <c r="D557">
        <f>-14.469*$D$471</f>
        <v>0</v>
      </c>
      <c r="E557">
        <f>8.387*$E$471</f>
        <v>0</v>
      </c>
      <c r="F557">
        <f>-23.96*$F$471</f>
        <v>0</v>
      </c>
      <c r="G557">
        <f>-1.203*$G$471</f>
        <v>0</v>
      </c>
      <c r="H557">
        <f>0*$H$471</f>
        <v>0</v>
      </c>
      <c r="I557">
        <f>-2.138*$I$471</f>
        <v>0</v>
      </c>
      <c r="J557">
        <f>-153.09*$J$471</f>
        <v>0</v>
      </c>
      <c r="K557">
        <f>204.12*$K$471</f>
        <v>0</v>
      </c>
      <c r="L557">
        <f>2.16*$L$471</f>
        <v>0</v>
      </c>
      <c r="M557">
        <f>0+D557+E557+G557+H557+I557+J557+K557+L557</f>
        <v>0</v>
      </c>
      <c r="N557">
        <f>0+D557+F557+G557+H557+I557+J557+K557+L557</f>
        <v>0</v>
      </c>
    </row>
    <row r="558" spans="3:14">
      <c r="C558" t="s">
        <v>58</v>
      </c>
      <c r="D558">
        <f>-14.469*$D$471</f>
        <v>0</v>
      </c>
      <c r="E558">
        <f>8.387*$E$471</f>
        <v>0</v>
      </c>
      <c r="F558">
        <f>-23.96*$F$471</f>
        <v>0</v>
      </c>
      <c r="G558">
        <f>-1.203*$G$471</f>
        <v>0</v>
      </c>
      <c r="H558">
        <f>0*$H$471</f>
        <v>0</v>
      </c>
      <c r="I558">
        <f>-2.138*$I$471</f>
        <v>0</v>
      </c>
      <c r="J558">
        <f>-153.09*$J$471</f>
        <v>0</v>
      </c>
      <c r="K558">
        <f>204.12*$K$471</f>
        <v>0</v>
      </c>
      <c r="L558">
        <f>2.16*$L$471</f>
        <v>0</v>
      </c>
      <c r="M558">
        <f>0+D558+E558+G558+H558+I558+J558+K558+L558</f>
        <v>0</v>
      </c>
      <c r="N558">
        <f>0+D558+F558+G558+H558+I558+J558+K558+L558</f>
        <v>0</v>
      </c>
    </row>
    <row r="559" spans="3:14">
      <c r="C559" t="s">
        <v>58</v>
      </c>
      <c r="D559">
        <f>-4.832*$D$471</f>
        <v>0</v>
      </c>
      <c r="E559">
        <f>4.137*$E$471</f>
        <v>0</v>
      </c>
      <c r="F559">
        <f>-18.507*$F$471</f>
        <v>0</v>
      </c>
      <c r="G559">
        <f>-0.344*$G$471</f>
        <v>0</v>
      </c>
      <c r="H559">
        <f>0*$H$471</f>
        <v>0</v>
      </c>
      <c r="I559">
        <f>-0.772*$I$471</f>
        <v>0</v>
      </c>
      <c r="J559">
        <f>-145.899*$J$471</f>
        <v>0</v>
      </c>
      <c r="K559">
        <f>194.532*$K$471</f>
        <v>0</v>
      </c>
      <c r="L559">
        <f>-8.436*$L$471</f>
        <v>0</v>
      </c>
      <c r="M559">
        <f>0+D559+E559+G559+H559+I559+J559+K559+L559</f>
        <v>0</v>
      </c>
      <c r="N559">
        <f>0+D559+F559+G559+H559+I559+J559+K559+L559</f>
        <v>0</v>
      </c>
    </row>
    <row r="560" spans="3:14">
      <c r="C560" t="s">
        <v>59</v>
      </c>
      <c r="D560">
        <f>-4.832*$D$471</f>
        <v>0</v>
      </c>
      <c r="E560">
        <f>4.137*$E$471</f>
        <v>0</v>
      </c>
      <c r="F560">
        <f>-18.507*$F$471</f>
        <v>0</v>
      </c>
      <c r="G560">
        <f>-0.344*$G$471</f>
        <v>0</v>
      </c>
      <c r="H560">
        <f>0*$H$471</f>
        <v>0</v>
      </c>
      <c r="I560">
        <f>-0.772*$I$471</f>
        <v>0</v>
      </c>
      <c r="J560">
        <f>-145.899*$J$471</f>
        <v>0</v>
      </c>
      <c r="K560">
        <f>194.532*$K$471</f>
        <v>0</v>
      </c>
      <c r="L560">
        <f>-8.436*$L$471</f>
        <v>0</v>
      </c>
      <c r="M560">
        <f>0+D560+E560+G560+H560+I560+J560+K560+L560</f>
        <v>0</v>
      </c>
      <c r="N560">
        <f>0+D560+F560+G560+H560+I560+J560+K560+L560</f>
        <v>0</v>
      </c>
    </row>
    <row r="561" spans="3:14">
      <c r="C561" t="s">
        <v>59</v>
      </c>
      <c r="D561">
        <f>-22.307*$D$471</f>
        <v>0</v>
      </c>
      <c r="E561">
        <f>36.77*$E$471</f>
        <v>0</v>
      </c>
      <c r="F561">
        <f>-78.799*$F$471</f>
        <v>0</v>
      </c>
      <c r="G561">
        <f>1.659*$G$471</f>
        <v>0</v>
      </c>
      <c r="H561">
        <f>0*$H$471</f>
        <v>0</v>
      </c>
      <c r="I561">
        <f>-3.457*$I$471</f>
        <v>0</v>
      </c>
      <c r="J561">
        <f>-157.043*$J$471</f>
        <v>0</v>
      </c>
      <c r="K561">
        <f>209.39*$K$471</f>
        <v>0</v>
      </c>
      <c r="L561">
        <f>-7.09*$L$471</f>
        <v>0</v>
      </c>
      <c r="M561">
        <f>0+D561+E561+G561+H561+I561+J561+K561+L561</f>
        <v>0</v>
      </c>
      <c r="N561">
        <f>0+D561+F561+G561+H561+I561+J561+K561+L561</f>
        <v>0</v>
      </c>
    </row>
    <row r="562" spans="3:14">
      <c r="C562" t="s">
        <v>60</v>
      </c>
      <c r="D562">
        <f>-17.687*$D$471</f>
        <v>0</v>
      </c>
      <c r="E562">
        <f>34.282*$E$471</f>
        <v>0</v>
      </c>
      <c r="F562">
        <f>-69.968*$F$471</f>
        <v>0</v>
      </c>
      <c r="G562">
        <f>2.188*$G$471</f>
        <v>0</v>
      </c>
      <c r="H562">
        <f>0*$H$471</f>
        <v>0</v>
      </c>
      <c r="I562">
        <f>-2.861*$I$471</f>
        <v>0</v>
      </c>
      <c r="J562">
        <f>-190.536*$J$471</f>
        <v>0</v>
      </c>
      <c r="K562">
        <f>254.049*$K$471</f>
        <v>0</v>
      </c>
      <c r="L562">
        <f>-7.688*$L$471</f>
        <v>0</v>
      </c>
      <c r="M562">
        <f>0+D562+E562+G562+H562+I562+J562+K562+L562</f>
        <v>0</v>
      </c>
      <c r="N562">
        <f>0+D562+F562+G562+H562+I562+J562+K562+L562</f>
        <v>0</v>
      </c>
    </row>
    <row r="563" spans="3:14">
      <c r="C563" t="s">
        <v>60</v>
      </c>
      <c r="D563">
        <f>-30.498*$D$471</f>
        <v>0</v>
      </c>
      <c r="E563">
        <f>21.908*$E$471</f>
        <v>0</v>
      </c>
      <c r="F563">
        <f>-90.257*$F$471</f>
        <v>0</v>
      </c>
      <c r="G563">
        <f>0.955*$G$471</f>
        <v>0</v>
      </c>
      <c r="H563">
        <f>0*$H$471</f>
        <v>0</v>
      </c>
      <c r="I563">
        <f>-4.82*$I$471</f>
        <v>0</v>
      </c>
      <c r="J563">
        <f>-229.336*$J$471</f>
        <v>0</v>
      </c>
      <c r="K563">
        <f>305.781*$K$471</f>
        <v>0</v>
      </c>
      <c r="L563">
        <f>-35.053*$L$471</f>
        <v>0</v>
      </c>
      <c r="M563">
        <f>0+D563+E563+G563+H563+I563+J563+K563+L563</f>
        <v>0</v>
      </c>
      <c r="N563">
        <f>0+D563+F563+G563+H563+I563+J563+K563+L563</f>
        <v>0</v>
      </c>
    </row>
    <row r="564" spans="3:14">
      <c r="C564" t="s">
        <v>61</v>
      </c>
      <c r="D564">
        <f>-26.493*$D$471</f>
        <v>0</v>
      </c>
      <c r="E564">
        <f>22.509*$E$471</f>
        <v>0</v>
      </c>
      <c r="F564">
        <f>-90.577*$F$471</f>
        <v>0</v>
      </c>
      <c r="G564">
        <f>1.081*$G$471</f>
        <v>0</v>
      </c>
      <c r="H564">
        <f>0*$H$471</f>
        <v>0</v>
      </c>
      <c r="I564">
        <f>-4.288*$I$471</f>
        <v>0</v>
      </c>
      <c r="J564">
        <f>-267.038*$J$471</f>
        <v>0</v>
      </c>
      <c r="K564">
        <f>356.051*$K$471</f>
        <v>0</v>
      </c>
      <c r="L564">
        <f>-39.953*$L$471</f>
        <v>0</v>
      </c>
      <c r="M564">
        <f>0+D564+E564+G564+H564+I564+J564+K564+L564</f>
        <v>0</v>
      </c>
      <c r="N564">
        <f>0+D564+F564+G564+H564+I564+J564+K564+L564</f>
        <v>0</v>
      </c>
    </row>
    <row r="565" spans="3:14">
      <c r="C565" t="s">
        <v>61</v>
      </c>
      <c r="D565">
        <f>-33.06*$D$471</f>
        <v>0</v>
      </c>
      <c r="E565">
        <f>22.561*$E$471</f>
        <v>0</v>
      </c>
      <c r="F565">
        <f>-97.24*$F$471</f>
        <v>0</v>
      </c>
      <c r="G565">
        <f>-0.634*$G$471</f>
        <v>0</v>
      </c>
      <c r="H565">
        <f>0*$H$471</f>
        <v>0</v>
      </c>
      <c r="I565">
        <f>-5.189*$I$471</f>
        <v>0</v>
      </c>
      <c r="J565">
        <f>-294.843*$J$471</f>
        <v>0</v>
      </c>
      <c r="K565">
        <f>393.124*$K$471</f>
        <v>0</v>
      </c>
      <c r="L565">
        <f>-64.382*$L$471</f>
        <v>0</v>
      </c>
      <c r="M565">
        <f>0+D565+E565+G565+H565+I565+J565+K565+L565</f>
        <v>0</v>
      </c>
      <c r="N565">
        <f>0+D565+F565+G565+H565+I565+J565+K565+L565</f>
        <v>0</v>
      </c>
    </row>
    <row r="566" spans="3:14">
      <c r="C566" t="s">
        <v>62</v>
      </c>
      <c r="D566">
        <f>-32.213*$D$471</f>
        <v>0</v>
      </c>
      <c r="E566">
        <f>21.333*$E$471</f>
        <v>0</v>
      </c>
      <c r="F566">
        <f>-94.343*$F$471</f>
        <v>0</v>
      </c>
      <c r="G566">
        <f>-2.002*$G$471</f>
        <v>0</v>
      </c>
      <c r="H566">
        <f>0*$H$471</f>
        <v>0</v>
      </c>
      <c r="I566">
        <f>-4.981*$I$471</f>
        <v>0</v>
      </c>
      <c r="J566">
        <f>-308.175*$J$471</f>
        <v>0</v>
      </c>
      <c r="K566">
        <f>410.9*$K$471</f>
        <v>0</v>
      </c>
      <c r="L566">
        <f>-77.71*$L$471</f>
        <v>0</v>
      </c>
      <c r="M566">
        <f>0+D566+E566+G566+H566+I566+J566+K566+L566</f>
        <v>0</v>
      </c>
      <c r="N566">
        <f>0+D566+F566+G566+H566+I566+J566+K566+L566</f>
        <v>0</v>
      </c>
    </row>
    <row r="567" spans="3:14">
      <c r="C567" t="s">
        <v>62</v>
      </c>
      <c r="D567">
        <f>-42.842*$D$471</f>
        <v>0</v>
      </c>
      <c r="E567">
        <f>19.608*$E$471</f>
        <v>0</v>
      </c>
      <c r="F567">
        <f>-110.236*$F$471</f>
        <v>0</v>
      </c>
      <c r="G567">
        <f>-4.755*$G$471</f>
        <v>0</v>
      </c>
      <c r="H567">
        <f>0*$H$471</f>
        <v>0</v>
      </c>
      <c r="I567">
        <f>-6.329*$I$471</f>
        <v>0</v>
      </c>
      <c r="J567">
        <f>-308.355*$J$471</f>
        <v>0</v>
      </c>
      <c r="K567">
        <f>411.14*$K$471</f>
        <v>0</v>
      </c>
      <c r="L567">
        <f>-107.925*$L$471</f>
        <v>0</v>
      </c>
      <c r="M567">
        <f>0+D567+E567+G567+H567+I567+J567+K567+L567</f>
        <v>0</v>
      </c>
      <c r="N567">
        <f>0+D567+F567+G567+H567+I567+J567+K567+L567</f>
        <v>0</v>
      </c>
    </row>
    <row r="568" spans="3:14">
      <c r="C568" t="s">
        <v>63</v>
      </c>
      <c r="D568">
        <f>-43.84*$D$471</f>
        <v>0</v>
      </c>
      <c r="E568">
        <f>17.41*$E$471</f>
        <v>0</v>
      </c>
      <c r="F568">
        <f>-106.203*$F$471</f>
        <v>0</v>
      </c>
      <c r="G568">
        <f>-7.277*$G$471</f>
        <v>0</v>
      </c>
      <c r="H568">
        <f>0*$H$471</f>
        <v>0</v>
      </c>
      <c r="I568">
        <f>-6.28*$I$471</f>
        <v>0</v>
      </c>
      <c r="J568">
        <f>-299.88*$J$471</f>
        <v>0</v>
      </c>
      <c r="K568">
        <f>399.84*$K$471</f>
        <v>0</v>
      </c>
      <c r="L568">
        <f>-126.63*$L$471</f>
        <v>0</v>
      </c>
      <c r="M568">
        <f>0+D568+E568+G568+H568+I568+J568+K568+L568</f>
        <v>0</v>
      </c>
      <c r="N568">
        <f>0+D568+F568+G568+H568+I568+J568+K568+L568</f>
        <v>0</v>
      </c>
    </row>
    <row r="569" spans="3:14">
      <c r="C569" t="s">
        <v>63</v>
      </c>
      <c r="D569">
        <f>-50.62*$D$471</f>
        <v>0</v>
      </c>
      <c r="E569">
        <f>16.133*$E$471</f>
        <v>0</v>
      </c>
      <c r="F569">
        <f>-112.055*$F$471</f>
        <v>0</v>
      </c>
      <c r="G569">
        <f>-9.871*$G$471</f>
        <v>0</v>
      </c>
      <c r="H569">
        <f>0*$H$471</f>
        <v>0</v>
      </c>
      <c r="I569">
        <f>-7.041*$I$471</f>
        <v>0</v>
      </c>
      <c r="J569">
        <f>-288.588*$J$471</f>
        <v>0</v>
      </c>
      <c r="K569">
        <f>384.784*$K$471</f>
        <v>0</v>
      </c>
      <c r="L569">
        <f>-150.958*$L$471</f>
        <v>0</v>
      </c>
      <c r="M569">
        <f>0+D569+E569+G569+H569+I569+J569+K569+L569</f>
        <v>0</v>
      </c>
      <c r="N569">
        <f>0+D569+F569+G569+H569+I569+J569+K569+L569</f>
        <v>0</v>
      </c>
    </row>
    <row r="570" spans="3:14">
      <c r="C570" t="s">
        <v>64</v>
      </c>
      <c r="D570">
        <f>-51.59*$D$471</f>
        <v>0</v>
      </c>
      <c r="E570">
        <f>16.473*$E$471</f>
        <v>0</v>
      </c>
      <c r="F570">
        <f>-109.573*$F$471</f>
        <v>0</v>
      </c>
      <c r="G570">
        <f>-11.26*$G$471</f>
        <v>0</v>
      </c>
      <c r="H570">
        <f>0*$H$471</f>
        <v>0</v>
      </c>
      <c r="I570">
        <f>-7.063*$I$471</f>
        <v>0</v>
      </c>
      <c r="J570">
        <f>-287.726*$J$471</f>
        <v>0</v>
      </c>
      <c r="K570">
        <f>383.634*$K$471</f>
        <v>0</v>
      </c>
      <c r="L570">
        <f>-160.208*$L$471</f>
        <v>0</v>
      </c>
      <c r="M570">
        <f>0+D570+E570+G570+H570+I570+J570+K570+L570</f>
        <v>0</v>
      </c>
      <c r="N570">
        <f>0+D570+F570+G570+H570+I570+J570+K570+L570</f>
        <v>0</v>
      </c>
    </row>
    <row r="571" spans="3:14">
      <c r="C571" t="s">
        <v>64</v>
      </c>
      <c r="D571">
        <f>-54.856*$D$471</f>
        <v>0</v>
      </c>
      <c r="E571">
        <f>11.971*$E$471</f>
        <v>0</v>
      </c>
      <c r="F571">
        <f>-110.387*$F$471</f>
        <v>0</v>
      </c>
      <c r="G571">
        <f>-11.953*$G$471</f>
        <v>0</v>
      </c>
      <c r="H571">
        <f>0*$H$471</f>
        <v>0</v>
      </c>
      <c r="I571">
        <f>-7.478*$I$471</f>
        <v>0</v>
      </c>
      <c r="J571">
        <f>-296.482*$J$471</f>
        <v>0</v>
      </c>
      <c r="K571">
        <f>395.31*$K$471</f>
        <v>0</v>
      </c>
      <c r="L571">
        <f>-165.082*$L$471</f>
        <v>0</v>
      </c>
      <c r="M571">
        <f>0+D571+E571+G571+H571+I571+J571+K571+L571</f>
        <v>0</v>
      </c>
      <c r="N571">
        <f>0+D571+F571+G571+H571+I571+J571+K571+L571</f>
        <v>0</v>
      </c>
    </row>
    <row r="572" spans="3:14">
      <c r="C572" t="s">
        <v>65</v>
      </c>
      <c r="D572">
        <f>-55.368*$D$471</f>
        <v>0</v>
      </c>
      <c r="E572">
        <f>10.973*$E$471</f>
        <v>0</v>
      </c>
      <c r="F572">
        <f>-111.23*$F$471</f>
        <v>0</v>
      </c>
      <c r="G572">
        <f>-11.32*$G$471</f>
        <v>0</v>
      </c>
      <c r="H572">
        <f>0*$H$471</f>
        <v>0</v>
      </c>
      <c r="I572">
        <f>-7.595*$I$471</f>
        <v>0</v>
      </c>
      <c r="J572">
        <f>-313.038*$J$471</f>
        <v>0</v>
      </c>
      <c r="K572">
        <f>417.384*$K$471</f>
        <v>0</v>
      </c>
      <c r="L572">
        <f>-159.775*$L$471</f>
        <v>0</v>
      </c>
      <c r="M572">
        <f>0+D572+E572+G572+H572+I572+J572+K572+L572</f>
        <v>0</v>
      </c>
      <c r="N572">
        <f>0+D572+F572+G572+H572+I572+J572+K572+L572</f>
        <v>0</v>
      </c>
    </row>
    <row r="573" spans="3:14">
      <c r="C573" t="s">
        <v>65</v>
      </c>
      <c r="D573">
        <f>-51.669*$D$471</f>
        <v>0</v>
      </c>
      <c r="E573">
        <f>10.022*$E$471</f>
        <v>0</v>
      </c>
      <c r="F573">
        <f>-110.537*$F$471</f>
        <v>0</v>
      </c>
      <c r="G573">
        <f>-9.471*$G$471</f>
        <v>0</v>
      </c>
      <c r="H573">
        <f>0*$H$471</f>
        <v>0</v>
      </c>
      <c r="I573">
        <f>-7.222*$I$471</f>
        <v>0</v>
      </c>
      <c r="J573">
        <f>-337.629*$J$471</f>
        <v>0</v>
      </c>
      <c r="K573">
        <f>450.171*$K$471</f>
        <v>0</v>
      </c>
      <c r="L573">
        <f>-140.81*$L$471</f>
        <v>0</v>
      </c>
      <c r="M573">
        <f>0+D573+E573+G573+H573+I573+J573+K573+L573</f>
        <v>0</v>
      </c>
      <c r="N573">
        <f>0+D573+F573+G573+H573+I573+J573+K573+L573</f>
        <v>0</v>
      </c>
    </row>
    <row r="574" spans="3:14">
      <c r="C574" t="s">
        <v>66</v>
      </c>
      <c r="D574">
        <f>-52.027*$D$471</f>
        <v>0</v>
      </c>
      <c r="E574">
        <f>10.188*$E$471</f>
        <v>0</v>
      </c>
      <c r="F574">
        <f>-111.173*$F$471</f>
        <v>0</v>
      </c>
      <c r="G574">
        <f>-7.616*$G$471</f>
        <v>0</v>
      </c>
      <c r="H574">
        <f>0*$H$471</f>
        <v>0</v>
      </c>
      <c r="I574">
        <f>-7.399*$I$471</f>
        <v>0</v>
      </c>
      <c r="J574">
        <f>-357.363*$J$471</f>
        <v>0</v>
      </c>
      <c r="K574">
        <f>476.485*$K$471</f>
        <v>0</v>
      </c>
      <c r="L574">
        <f>-125.005*$L$471</f>
        <v>0</v>
      </c>
      <c r="M574">
        <f>0+D574+E574+G574+H574+I574+J574+K574+L574</f>
        <v>0</v>
      </c>
      <c r="N574">
        <f>0+D574+F574+G574+H574+I574+J574+K574+L574</f>
        <v>0</v>
      </c>
    </row>
    <row r="575" spans="3:14">
      <c r="C575" t="s">
        <v>66</v>
      </c>
      <c r="D575">
        <f>-43.304*$D$471</f>
        <v>0</v>
      </c>
      <c r="E575">
        <f>9.573*$E$471</f>
        <v>0</v>
      </c>
      <c r="F575">
        <f>-97.066*$F$471</f>
        <v>0</v>
      </c>
      <c r="G575">
        <f>-5.349*$G$471</f>
        <v>0</v>
      </c>
      <c r="H575">
        <f>0*$H$471</f>
        <v>0</v>
      </c>
      <c r="I575">
        <f>-6.288*$I$471</f>
        <v>0</v>
      </c>
      <c r="J575">
        <f>-361.808*$J$471</f>
        <v>0</v>
      </c>
      <c r="K575">
        <f>482.411*$K$471</f>
        <v>0</v>
      </c>
      <c r="L575">
        <f>-97.431*$L$471</f>
        <v>0</v>
      </c>
      <c r="M575">
        <f>0+D575+E575+G575+H575+I575+J575+K575+L575</f>
        <v>0</v>
      </c>
      <c r="N575">
        <f>0+D575+F575+G575+H575+I575+J575+K575+L575</f>
        <v>0</v>
      </c>
    </row>
    <row r="576" spans="3:14">
      <c r="C576" t="s">
        <v>67</v>
      </c>
      <c r="D576">
        <f>-43.604*$D$471</f>
        <v>0</v>
      </c>
      <c r="E576">
        <f>8.564*$E$471</f>
        <v>0</v>
      </c>
      <c r="F576">
        <f>-97.464*$F$471</f>
        <v>0</v>
      </c>
      <c r="G576">
        <f>-4.221*$G$471</f>
        <v>0</v>
      </c>
      <c r="H576">
        <f>0*$H$471</f>
        <v>0</v>
      </c>
      <c r="I576">
        <f>-6.394*$I$471</f>
        <v>0</v>
      </c>
      <c r="J576">
        <f>-346.796*$J$471</f>
        <v>0</v>
      </c>
      <c r="K576">
        <f>462.395*$K$471</f>
        <v>0</v>
      </c>
      <c r="L576">
        <f>-83.827*$L$471</f>
        <v>0</v>
      </c>
      <c r="M576">
        <f>0+D576+E576+G576+H576+I576+J576+K576+L576</f>
        <v>0</v>
      </c>
      <c r="N576">
        <f>0+D576+F576+G576+H576+I576+J576+K576+L576</f>
        <v>0</v>
      </c>
    </row>
    <row r="577" spans="3:14">
      <c r="C577" t="s">
        <v>67</v>
      </c>
      <c r="D577">
        <f>-30.056*$D$471</f>
        <v>0</v>
      </c>
      <c r="E577">
        <f>6.969*$E$471</f>
        <v>0</v>
      </c>
      <c r="F577">
        <f>-71.566*$F$471</f>
        <v>0</v>
      </c>
      <c r="G577">
        <f>-2.154*$G$471</f>
        <v>0</v>
      </c>
      <c r="H577">
        <f>0*$H$471</f>
        <v>0</v>
      </c>
      <c r="I577">
        <f>-4.472*$I$471</f>
        <v>0</v>
      </c>
      <c r="J577">
        <f>-309.16*$J$471</f>
        <v>0</v>
      </c>
      <c r="K577">
        <f>412.214*$K$471</f>
        <v>0</v>
      </c>
      <c r="L577">
        <f>-52.048*$L$471</f>
        <v>0</v>
      </c>
      <c r="M577">
        <f>0+D577+E577+G577+H577+I577+J577+K577+L577</f>
        <v>0</v>
      </c>
      <c r="N577">
        <f>0+D577+F577+G577+H577+I577+J577+K577+L577</f>
        <v>0</v>
      </c>
    </row>
    <row r="578" spans="3:14">
      <c r="C578" t="s">
        <v>68</v>
      </c>
      <c r="D578">
        <f>-30.334*$D$471</f>
        <v>0</v>
      </c>
      <c r="E578">
        <f>4.877*$E$471</f>
        <v>0</v>
      </c>
      <c r="F578">
        <f>-70.135*$F$471</f>
        <v>0</v>
      </c>
      <c r="G578">
        <f>-1.699*$G$471</f>
        <v>0</v>
      </c>
      <c r="H578">
        <f>0*$H$471</f>
        <v>0</v>
      </c>
      <c r="I578">
        <f>-4.531*$I$471</f>
        <v>0</v>
      </c>
      <c r="J578">
        <f>-246.014*$J$471</f>
        <v>0</v>
      </c>
      <c r="K578">
        <f>328.019*$K$471</f>
        <v>0</v>
      </c>
      <c r="L578">
        <f>-42.242*$L$471</f>
        <v>0</v>
      </c>
      <c r="M578">
        <f>0+D578+E578+G578+H578+I578+J578+K578+L578</f>
        <v>0</v>
      </c>
      <c r="N578">
        <f>0+D578+F578+G578+H578+I578+J578+K578+L578</f>
        <v>0</v>
      </c>
    </row>
    <row r="579" spans="3:14">
      <c r="C579" t="s">
        <v>68</v>
      </c>
      <c r="D579">
        <f>-16.75*$D$471</f>
        <v>0</v>
      </c>
      <c r="E579">
        <f>3.544*$E$471</f>
        <v>0</v>
      </c>
      <c r="F579">
        <f>-45.607*$F$471</f>
        <v>0</v>
      </c>
      <c r="G579">
        <f>0.288*$G$471</f>
        <v>0</v>
      </c>
      <c r="H579">
        <f>0*$H$471</f>
        <v>0</v>
      </c>
      <c r="I579">
        <f>-2.599*$I$471</f>
        <v>0</v>
      </c>
      <c r="J579">
        <f>-176.529*$J$471</f>
        <v>0</v>
      </c>
      <c r="K579">
        <f>235.372*$K$471</f>
        <v>0</v>
      </c>
      <c r="L579">
        <f>-13.263*$L$471</f>
        <v>0</v>
      </c>
      <c r="M579">
        <f>0+D579+E579+G579+H579+I579+J579+K579+L579</f>
        <v>0</v>
      </c>
      <c r="N579">
        <f>0+D579+F579+G579+H579+I579+J579+K579+L579</f>
        <v>0</v>
      </c>
    </row>
    <row r="580" spans="3:14">
      <c r="C580" t="s">
        <v>69</v>
      </c>
      <c r="D580">
        <f>-16.681*$D$471</f>
        <v>0</v>
      </c>
      <c r="E580">
        <f>0.633*$E$471</f>
        <v>0</v>
      </c>
      <c r="F580">
        <f>-39.109*$F$471</f>
        <v>0</v>
      </c>
      <c r="G580">
        <f>0.043*$G$471</f>
        <v>0</v>
      </c>
      <c r="H580">
        <f>0*$H$471</f>
        <v>0</v>
      </c>
      <c r="I580">
        <f>-2.572*$I$471</f>
        <v>0</v>
      </c>
      <c r="J580">
        <f>-132.169*$J$471</f>
        <v>0</v>
      </c>
      <c r="K580">
        <f>176.226*$K$471</f>
        <v>0</v>
      </c>
      <c r="L580">
        <f>-12.567*$L$471</f>
        <v>0</v>
      </c>
      <c r="M580">
        <f>0+D580+E580+G580+H580+I580+J580+K580+L580</f>
        <v>0</v>
      </c>
      <c r="N580">
        <f>0+D580+F580+G580+H580+I580+J580+K580+L580</f>
        <v>0</v>
      </c>
    </row>
    <row r="585" spans="3:14">
      <c r="C585" t="s">
        <v>74</v>
      </c>
    </row>
    <row r="587" spans="3:14">
      <c r="C587" t="s">
        <v>2</v>
      </c>
    </row>
    <row r="588" spans="3:14">
      <c r="C588" t="s">
        <v>3</v>
      </c>
      <c r="D588" t="s">
        <v>4</v>
      </c>
      <c r="E588" t="s">
        <v>5</v>
      </c>
      <c r="F588" t="s">
        <v>6</v>
      </c>
      <c r="G588" t="s">
        <v>7</v>
      </c>
      <c r="H588" t="s">
        <v>8</v>
      </c>
      <c r="I588" t="s">
        <v>9</v>
      </c>
      <c r="J588" t="s">
        <v>10</v>
      </c>
      <c r="K588" t="s">
        <v>11</v>
      </c>
      <c r="L588" t="s">
        <v>12</v>
      </c>
      <c r="M588" t="s">
        <v>13</v>
      </c>
      <c r="N588" t="s">
        <v>14</v>
      </c>
    </row>
    <row r="589" spans="3:14">
      <c r="C589" t="s">
        <v>76</v>
      </c>
      <c r="D589">
        <f>2.0884*$D$587</f>
        <v>0</v>
      </c>
      <c r="E589">
        <f>124.1748*$E$587</f>
        <v>0</v>
      </c>
      <c r="F589">
        <f>-113.8225*$F$587</f>
        <v>0</v>
      </c>
      <c r="G589">
        <f>-2.5375*$G$587</f>
        <v>0</v>
      </c>
      <c r="H589">
        <f>0*$H$587</f>
        <v>0</v>
      </c>
      <c r="I589">
        <f>0.4764*$I$587</f>
        <v>0</v>
      </c>
      <c r="J589">
        <f>-32.3677*$J$587</f>
        <v>0</v>
      </c>
      <c r="K589">
        <f>43.1569*$K$587</f>
        <v>0</v>
      </c>
      <c r="L589">
        <f>-0.0275*$L$587</f>
        <v>0</v>
      </c>
      <c r="M589">
        <f>0+D589+E589+G589+H589+I589+J589+K589+L589</f>
        <v>0</v>
      </c>
      <c r="N589">
        <f>0+D589+F589+G589+H589+I589+J589+K589+L589</f>
        <v>0</v>
      </c>
    </row>
    <row r="590" spans="3:14">
      <c r="C590" t="s">
        <v>16</v>
      </c>
      <c r="D590">
        <f>1.1599*$D$587</f>
        <v>0</v>
      </c>
      <c r="E590">
        <f>121.1148*$E$587</f>
        <v>0</v>
      </c>
      <c r="F590">
        <f>-114.8421*$F$587</f>
        <v>0</v>
      </c>
      <c r="G590">
        <f>-2.4209*$G$587</f>
        <v>0</v>
      </c>
      <c r="H590">
        <f>0*$H$587</f>
        <v>0</v>
      </c>
      <c r="I590">
        <f>0.3334*$I$587</f>
        <v>0</v>
      </c>
      <c r="J590">
        <f>-33.8118*$J$587</f>
        <v>0</v>
      </c>
      <c r="K590">
        <f>45.0824*$K$587</f>
        <v>0</v>
      </c>
      <c r="L590">
        <f>-0.0302*$L$587</f>
        <v>0</v>
      </c>
      <c r="M590">
        <f>0+D590+E590+G590+H590+I590+J590+K590+L590</f>
        <v>0</v>
      </c>
      <c r="N590">
        <f>0+D590+F590+G590+H590+I590+J590+K590+L590</f>
        <v>0</v>
      </c>
    </row>
    <row r="591" spans="3:14">
      <c r="C591" t="s">
        <v>16</v>
      </c>
      <c r="D591">
        <f>0.8784*$D$587</f>
        <v>0</v>
      </c>
      <c r="E591">
        <f>124.2161*$E$587</f>
        <v>0</v>
      </c>
      <c r="F591">
        <f>-121.7968*$F$587</f>
        <v>0</v>
      </c>
      <c r="G591">
        <f>-3.2284*$G$587</f>
        <v>0</v>
      </c>
      <c r="H591">
        <f>0*$H$587</f>
        <v>0</v>
      </c>
      <c r="I591">
        <f>0.3531*$I$587</f>
        <v>0</v>
      </c>
      <c r="J591">
        <f>-35.6618*$J$587</f>
        <v>0</v>
      </c>
      <c r="K591">
        <f>47.5491*$K$587</f>
        <v>0</v>
      </c>
      <c r="L591">
        <f>-0.0339*$L$587</f>
        <v>0</v>
      </c>
      <c r="M591">
        <f>0+D591+E591+G591+H591+I591+J591+K591+L591</f>
        <v>0</v>
      </c>
      <c r="N591">
        <f>0+D591+F591+G591+H591+I591+J591+K591+L591</f>
        <v>0</v>
      </c>
    </row>
    <row r="592" spans="3:14">
      <c r="C592" t="s">
        <v>17</v>
      </c>
      <c r="D592">
        <f>0.095*$D$587</f>
        <v>0</v>
      </c>
      <c r="E592">
        <f>126.7513*$E$587</f>
        <v>0</v>
      </c>
      <c r="F592">
        <f>-126.4383*$F$587</f>
        <v>0</v>
      </c>
      <c r="G592">
        <f>-3.705*$G$587</f>
        <v>0</v>
      </c>
      <c r="H592">
        <f>0*$H$587</f>
        <v>0</v>
      </c>
      <c r="I592">
        <f>0.2605*$I$587</f>
        <v>0</v>
      </c>
      <c r="J592">
        <f>-40.2149*$J$587</f>
        <v>0</v>
      </c>
      <c r="K592">
        <f>53.6198*$K$587</f>
        <v>0</v>
      </c>
      <c r="L592">
        <f>-0.0379*$L$587</f>
        <v>0</v>
      </c>
      <c r="M592">
        <f>0+D592+E592+G592+H592+I592+J592+K592+L592</f>
        <v>0</v>
      </c>
      <c r="N592">
        <f>0+D592+F592+G592+H592+I592+J592+K592+L592</f>
        <v>0</v>
      </c>
    </row>
    <row r="593" spans="3:14">
      <c r="C593" t="s">
        <v>17</v>
      </c>
      <c r="D593">
        <f>-0.3636*$D$587</f>
        <v>0</v>
      </c>
      <c r="E593">
        <f>129.6718*$E$587</f>
        <v>0</v>
      </c>
      <c r="F593">
        <f>-131.8062*$F$587</f>
        <v>0</v>
      </c>
      <c r="G593">
        <f>-4.3904*$G$587</f>
        <v>0</v>
      </c>
      <c r="H593">
        <f>0*$H$587</f>
        <v>0</v>
      </c>
      <c r="I593">
        <f>0.2341*$I$587</f>
        <v>0</v>
      </c>
      <c r="J593">
        <f>-39.7924*$J$587</f>
        <v>0</v>
      </c>
      <c r="K593">
        <f>53.0566*$K$587</f>
        <v>0</v>
      </c>
      <c r="L593">
        <f>-0.041*$L$587</f>
        <v>0</v>
      </c>
      <c r="M593">
        <f>0+D593+E593+G593+H593+I593+J593+K593+L593</f>
        <v>0</v>
      </c>
      <c r="N593">
        <f>0+D593+F593+G593+H593+I593+J593+K593+L593</f>
        <v>0</v>
      </c>
    </row>
    <row r="594" spans="3:14">
      <c r="C594" t="s">
        <v>18</v>
      </c>
      <c r="D594">
        <f>-0.8936*$D$587</f>
        <v>0</v>
      </c>
      <c r="E594">
        <f>128.878*$E$587</f>
        <v>0</v>
      </c>
      <c r="F594">
        <f>-133.5949*$F$587</f>
        <v>0</v>
      </c>
      <c r="G594">
        <f>-4.6025*$G$587</f>
        <v>0</v>
      </c>
      <c r="H594">
        <f>0*$H$587</f>
        <v>0</v>
      </c>
      <c r="I594">
        <f>0.1577*$I$587</f>
        <v>0</v>
      </c>
      <c r="J594">
        <f>-38.2097*$J$587</f>
        <v>0</v>
      </c>
      <c r="K594">
        <f>50.9462*$K$587</f>
        <v>0</v>
      </c>
      <c r="L594">
        <f>-0.0441*$L$587</f>
        <v>0</v>
      </c>
      <c r="M594">
        <f>0+D594+E594+G594+H594+I594+J594+K594+L594</f>
        <v>0</v>
      </c>
      <c r="N594">
        <f>0+D594+F594+G594+H594+I594+J594+K594+L594</f>
        <v>0</v>
      </c>
    </row>
    <row r="595" spans="3:14">
      <c r="C595" t="s">
        <v>18</v>
      </c>
      <c r="D595">
        <f>-1.2369*$D$587</f>
        <v>0</v>
      </c>
      <c r="E595">
        <f>128.6484*$E$587</f>
        <v>0</v>
      </c>
      <c r="F595">
        <f>-137.058*$F$587</f>
        <v>0</v>
      </c>
      <c r="G595">
        <f>-4.924*$G$587</f>
        <v>0</v>
      </c>
      <c r="H595">
        <f>0*$H$587</f>
        <v>0</v>
      </c>
      <c r="I595">
        <f>0.1236*$I$587</f>
        <v>0</v>
      </c>
      <c r="J595">
        <f>-35.2228*$J$587</f>
        <v>0</v>
      </c>
      <c r="K595">
        <f>46.9637*$K$587</f>
        <v>0</v>
      </c>
      <c r="L595">
        <f>-0.0468*$L$587</f>
        <v>0</v>
      </c>
      <c r="M595">
        <f>0+D595+E595+G595+H595+I595+J595+K595+L595</f>
        <v>0</v>
      </c>
      <c r="N595">
        <f>0+D595+F595+G595+H595+I595+J595+K595+L595</f>
        <v>0</v>
      </c>
    </row>
    <row r="596" spans="3:14">
      <c r="C596" t="s">
        <v>19</v>
      </c>
      <c r="D596">
        <f>-1.6351*$D$587</f>
        <v>0</v>
      </c>
      <c r="E596">
        <f>126.8109*$E$587</f>
        <v>0</v>
      </c>
      <c r="F596">
        <f>-138.7389*$F$587</f>
        <v>0</v>
      </c>
      <c r="G596">
        <f>-4.6579*$G$587</f>
        <v>0</v>
      </c>
      <c r="H596">
        <f>0*$H$587</f>
        <v>0</v>
      </c>
      <c r="I596">
        <f>0.0362*$I$587</f>
        <v>0</v>
      </c>
      <c r="J596">
        <f>-33.8883*$J$587</f>
        <v>0</v>
      </c>
      <c r="K596">
        <f>45.1844*$K$587</f>
        <v>0</v>
      </c>
      <c r="L596">
        <f>-0.05*$L$587</f>
        <v>0</v>
      </c>
      <c r="M596">
        <f>0+D596+E596+G596+H596+I596+J596+K596+L596</f>
        <v>0</v>
      </c>
      <c r="N596">
        <f>0+D596+F596+G596+H596+I596+J596+K596+L596</f>
        <v>0</v>
      </c>
    </row>
    <row r="597" spans="3:14">
      <c r="C597" t="s">
        <v>19</v>
      </c>
      <c r="D597">
        <f>-1.8233*$D$587</f>
        <v>0</v>
      </c>
      <c r="E597">
        <f>126.2702*$E$587</f>
        <v>0</v>
      </c>
      <c r="F597">
        <f>-141.254*$F$587</f>
        <v>0</v>
      </c>
      <c r="G597">
        <f>-4.6931*$G$587</f>
        <v>0</v>
      </c>
      <c r="H597">
        <f>0*$H$587</f>
        <v>0</v>
      </c>
      <c r="I597">
        <f>0.0174*$I$587</f>
        <v>0</v>
      </c>
      <c r="J597">
        <f>-31.3215*$J$587</f>
        <v>0</v>
      </c>
      <c r="K597">
        <f>41.762*$K$587</f>
        <v>0</v>
      </c>
      <c r="L597">
        <f>-0.0522*$L$587</f>
        <v>0</v>
      </c>
      <c r="M597">
        <f>0+D597+E597+G597+H597+I597+J597+K597+L597</f>
        <v>0</v>
      </c>
      <c r="N597">
        <f>0+D597+F597+G597+H597+I597+J597+K597+L597</f>
        <v>0</v>
      </c>
    </row>
    <row r="598" spans="3:14">
      <c r="C598" t="s">
        <v>20</v>
      </c>
      <c r="D598">
        <f>-2.0162*$D$587</f>
        <v>0</v>
      </c>
      <c r="E598">
        <f>124.3705*$E$587</f>
        <v>0</v>
      </c>
      <c r="F598">
        <f>-141.0103*$F$587</f>
        <v>0</v>
      </c>
      <c r="G598">
        <f>-3.9566*$G$587</f>
        <v>0</v>
      </c>
      <c r="H598">
        <f>0*$H$587</f>
        <v>0</v>
      </c>
      <c r="I598">
        <f>-0.0518*$I$587</f>
        <v>0</v>
      </c>
      <c r="J598">
        <f>-32.6875*$J$587</f>
        <v>0</v>
      </c>
      <c r="K598">
        <f>43.5833*$K$587</f>
        <v>0</v>
      </c>
      <c r="L598">
        <f>-0.0548*$L$587</f>
        <v>0</v>
      </c>
      <c r="M598">
        <f>0+D598+E598+G598+H598+I598+J598+K598+L598</f>
        <v>0</v>
      </c>
      <c r="N598">
        <f>0+D598+F598+G598+H598+I598+J598+K598+L598</f>
        <v>0</v>
      </c>
    </row>
    <row r="599" spans="3:14">
      <c r="C599" t="s">
        <v>20</v>
      </c>
      <c r="D599">
        <f>-0.2817*$D$587</f>
        <v>0</v>
      </c>
      <c r="E599">
        <f>126.5001*$E$587</f>
        <v>0</v>
      </c>
      <c r="F599">
        <f>-138.8952*$F$587</f>
        <v>0</v>
      </c>
      <c r="G599">
        <f>-3.3493*$G$587</f>
        <v>0</v>
      </c>
      <c r="H599">
        <f>0*$H$587</f>
        <v>0</v>
      </c>
      <c r="I599">
        <f>0.1737*$I$587</f>
        <v>0</v>
      </c>
      <c r="J599">
        <f>-26.1254*$J$587</f>
        <v>0</v>
      </c>
      <c r="K599">
        <f>34.8339*$K$587</f>
        <v>0</v>
      </c>
      <c r="L599">
        <f>-0.0566*$L$587</f>
        <v>0</v>
      </c>
      <c r="M599">
        <f>0+D599+E599+G599+H599+I599+J599+K599+L599</f>
        <v>0</v>
      </c>
      <c r="N599">
        <f>0+D599+F599+G599+H599+I599+J599+K599+L599</f>
        <v>0</v>
      </c>
    </row>
    <row r="600" spans="3:14">
      <c r="C600" t="s">
        <v>21</v>
      </c>
      <c r="D600">
        <f>-0.4467*$D$587</f>
        <v>0</v>
      </c>
      <c r="E600">
        <f>118.8065*$E$587</f>
        <v>0</v>
      </c>
      <c r="F600">
        <f>-132.745*$F$587</f>
        <v>0</v>
      </c>
      <c r="G600">
        <f>-2.5281*$G$587</f>
        <v>0</v>
      </c>
      <c r="H600">
        <f>0*$H$587</f>
        <v>0</v>
      </c>
      <c r="I600">
        <f>0.1038*$I$587</f>
        <v>0</v>
      </c>
      <c r="J600">
        <f>-26.9369*$J$587</f>
        <v>0</v>
      </c>
      <c r="K600">
        <f>35.9159*$K$587</f>
        <v>0</v>
      </c>
      <c r="L600">
        <f>-0.0573*$L$587</f>
        <v>0</v>
      </c>
      <c r="M600">
        <f>0+D600+E600+G600+H600+I600+J600+K600+L600</f>
        <v>0</v>
      </c>
      <c r="N600">
        <f>0+D600+F600+G600+H600+I600+J600+K600+L600</f>
        <v>0</v>
      </c>
    </row>
    <row r="601" spans="3:14">
      <c r="C601" t="s">
        <v>21</v>
      </c>
      <c r="D601">
        <f>-0.5695*$D$587</f>
        <v>0</v>
      </c>
      <c r="E601">
        <f>114.7967*$E$587</f>
        <v>0</v>
      </c>
      <c r="F601">
        <f>-130.1137*$F$587</f>
        <v>0</v>
      </c>
      <c r="G601">
        <f>-2.4527*$G$587</f>
        <v>0</v>
      </c>
      <c r="H601">
        <f>0*$H$587</f>
        <v>0</v>
      </c>
      <c r="I601">
        <f>0.0888*$I$587</f>
        <v>0</v>
      </c>
      <c r="J601">
        <f>-23.8801*$J$587</f>
        <v>0</v>
      </c>
      <c r="K601">
        <f>31.8401*$K$587</f>
        <v>0</v>
      </c>
      <c r="L601">
        <f>-0.0584*$L$587</f>
        <v>0</v>
      </c>
      <c r="M601">
        <f>0+D601+E601+G601+H601+I601+J601+K601+L601</f>
        <v>0</v>
      </c>
      <c r="N601">
        <f>0+D601+F601+G601+H601+I601+J601+K601+L601</f>
        <v>0</v>
      </c>
    </row>
    <row r="602" spans="3:14">
      <c r="C602" t="s">
        <v>22</v>
      </c>
      <c r="D602">
        <f>-0.8088*$D$587</f>
        <v>0</v>
      </c>
      <c r="E602">
        <f>107.0603*$E$587</f>
        <v>0</v>
      </c>
      <c r="F602">
        <f>-124.0851*$F$587</f>
        <v>0</v>
      </c>
      <c r="G602">
        <f>-1.9956*$G$587</f>
        <v>0</v>
      </c>
      <c r="H602">
        <f>0*$H$587</f>
        <v>0</v>
      </c>
      <c r="I602">
        <f>0.0143*$I$587</f>
        <v>0</v>
      </c>
      <c r="J602">
        <f>-21.6765*$J$587</f>
        <v>0</v>
      </c>
      <c r="K602">
        <f>28.902*$K$587</f>
        <v>0</v>
      </c>
      <c r="L602">
        <f>-0.0588*$L$587</f>
        <v>0</v>
      </c>
      <c r="M602">
        <f>0+D602+E602+G602+H602+I602+J602+K602+L602</f>
        <v>0</v>
      </c>
      <c r="N602">
        <f>0+D602+F602+G602+H602+I602+J602+K602+L602</f>
        <v>0</v>
      </c>
    </row>
    <row r="603" spans="3:14">
      <c r="C603" t="s">
        <v>22</v>
      </c>
      <c r="D603">
        <f>-0.9765*$D$587</f>
        <v>0</v>
      </c>
      <c r="E603">
        <f>103.3453*$E$587</f>
        <v>0</v>
      </c>
      <c r="F603">
        <f>-121.3192*$F$587</f>
        <v>0</v>
      </c>
      <c r="G603">
        <f>-2.013*$G$587</f>
        <v>0</v>
      </c>
      <c r="H603">
        <f>0*$H$587</f>
        <v>0</v>
      </c>
      <c r="I603">
        <f>-0.0115*$I$587</f>
        <v>0</v>
      </c>
      <c r="J603">
        <f>-17.1878*$J$587</f>
        <v>0</v>
      </c>
      <c r="K603">
        <f>22.9171*$K$587</f>
        <v>0</v>
      </c>
      <c r="L603">
        <f>-0.0599*$L$587</f>
        <v>0</v>
      </c>
      <c r="M603">
        <f>0+D603+E603+G603+H603+I603+J603+K603+L603</f>
        <v>0</v>
      </c>
      <c r="N603">
        <f>0+D603+F603+G603+H603+I603+J603+K603+L603</f>
        <v>0</v>
      </c>
    </row>
    <row r="604" spans="3:14">
      <c r="C604" t="s">
        <v>23</v>
      </c>
      <c r="D604">
        <f>-1.1976*$D$587</f>
        <v>0</v>
      </c>
      <c r="E604">
        <f>97.7336*$E$587</f>
        <v>0</v>
      </c>
      <c r="F604">
        <f>-116.0728*$F$587</f>
        <v>0</v>
      </c>
      <c r="G604">
        <f>-1.7673*$G$587</f>
        <v>0</v>
      </c>
      <c r="H604">
        <f>0*$H$587</f>
        <v>0</v>
      </c>
      <c r="I604">
        <f>-0.0703*$I$587</f>
        <v>0</v>
      </c>
      <c r="J604">
        <f>-13.0882*$J$587</f>
        <v>0</v>
      </c>
      <c r="K604">
        <f>17.4509*$K$587</f>
        <v>0</v>
      </c>
      <c r="L604">
        <f>-0.0612*$L$587</f>
        <v>0</v>
      </c>
      <c r="M604">
        <f>0+D604+E604+G604+H604+I604+J604+K604+L604</f>
        <v>0</v>
      </c>
      <c r="N604">
        <f>0+D604+F604+G604+H604+I604+J604+K604+L604</f>
        <v>0</v>
      </c>
    </row>
    <row r="605" spans="3:14">
      <c r="C605" t="s">
        <v>23</v>
      </c>
      <c r="D605">
        <f>-1.3925*$D$587</f>
        <v>0</v>
      </c>
      <c r="E605">
        <f>95.0341*$E$587</f>
        <v>0</v>
      </c>
      <c r="F605">
        <f>-114.0862*$F$587</f>
        <v>0</v>
      </c>
      <c r="G605">
        <f>-1.786*$G$587</f>
        <v>0</v>
      </c>
      <c r="H605">
        <f>0*$H$587</f>
        <v>0</v>
      </c>
      <c r="I605">
        <f>-0.0996*$I$587</f>
        <v>0</v>
      </c>
      <c r="J605">
        <f>-8.5475*$J$587</f>
        <v>0</v>
      </c>
      <c r="K605">
        <f>11.3966*$K$587</f>
        <v>0</v>
      </c>
      <c r="L605">
        <f>-0.0627*$L$587</f>
        <v>0</v>
      </c>
      <c r="M605">
        <f>0+D605+E605+G605+H605+I605+J605+K605+L605</f>
        <v>0</v>
      </c>
      <c r="N605">
        <f>0+D605+F605+G605+H605+I605+J605+K605+L605</f>
        <v>0</v>
      </c>
    </row>
    <row r="606" spans="3:14">
      <c r="C606" t="s">
        <v>24</v>
      </c>
      <c r="D606">
        <f>-1.6399*$D$587</f>
        <v>0</v>
      </c>
      <c r="E606">
        <f>95.4143*$E$587</f>
        <v>0</v>
      </c>
      <c r="F606">
        <f>-110.1699*$F$587</f>
        <v>0</v>
      </c>
      <c r="G606">
        <f>-1.3183*$G$587</f>
        <v>0</v>
      </c>
      <c r="H606">
        <f>0*$H$587</f>
        <v>0</v>
      </c>
      <c r="I606">
        <f>-0.1752*$I$587</f>
        <v>0</v>
      </c>
      <c r="J606">
        <f>-6.1747*$J$587</f>
        <v>0</v>
      </c>
      <c r="K606">
        <f>8.2329*$K$587</f>
        <v>0</v>
      </c>
      <c r="L606">
        <f>-0.0651*$L$587</f>
        <v>0</v>
      </c>
      <c r="M606">
        <f>0+D606+E606+G606+H606+I606+J606+K606+L606</f>
        <v>0</v>
      </c>
      <c r="N606">
        <f>0+D606+F606+G606+H606+I606+J606+K606+L606</f>
        <v>0</v>
      </c>
    </row>
    <row r="607" spans="3:14">
      <c r="C607" t="s">
        <v>24</v>
      </c>
      <c r="D607">
        <f>-1.7823*$D$587</f>
        <v>0</v>
      </c>
      <c r="E607">
        <f>94.0148*$E$587</f>
        <v>0</v>
      </c>
      <c r="F607">
        <f>-108.5345*$F$587</f>
        <v>0</v>
      </c>
      <c r="G607">
        <f>-1.2927*$G$587</f>
        <v>0</v>
      </c>
      <c r="H607">
        <f>0*$H$587</f>
        <v>0</v>
      </c>
      <c r="I607">
        <f>-0.1885*$I$587</f>
        <v>0</v>
      </c>
      <c r="J607">
        <f>-3.5356*$J$587</f>
        <v>0</v>
      </c>
      <c r="K607">
        <f>4.7141*$K$587</f>
        <v>0</v>
      </c>
      <c r="L607">
        <f>-0.0665*$L$587</f>
        <v>0</v>
      </c>
      <c r="M607">
        <f>0+D607+E607+G607+H607+I607+J607+K607+L607</f>
        <v>0</v>
      </c>
      <c r="N607">
        <f>0+D607+F607+G607+H607+I607+J607+K607+L607</f>
        <v>0</v>
      </c>
    </row>
    <row r="608" spans="3:14">
      <c r="C608" t="s">
        <v>25</v>
      </c>
      <c r="D608">
        <f>-1.8133*$D$587</f>
        <v>0</v>
      </c>
      <c r="E608">
        <f>89.3557*$E$587</f>
        <v>0</v>
      </c>
      <c r="F608">
        <f>-104.5824*$F$587</f>
        <v>0</v>
      </c>
      <c r="G608">
        <f>-0.5164*$G$587</f>
        <v>0</v>
      </c>
      <c r="H608">
        <f>0*$H$587</f>
        <v>0</v>
      </c>
      <c r="I608">
        <f>-0.2338*$I$587</f>
        <v>0</v>
      </c>
      <c r="J608">
        <f>-4.9187*$J$587</f>
        <v>0</v>
      </c>
      <c r="K608">
        <f>6.5583*$K$587</f>
        <v>0</v>
      </c>
      <c r="L608">
        <f>-0.0685*$L$587</f>
        <v>0</v>
      </c>
      <c r="M608">
        <f>0+D608+E608+G608+H608+I608+J608+K608+L608</f>
        <v>0</v>
      </c>
      <c r="N608">
        <f>0+D608+F608+G608+H608+I608+J608+K608+L608</f>
        <v>0</v>
      </c>
    </row>
    <row r="609" spans="3:14">
      <c r="C609" t="s">
        <v>25</v>
      </c>
      <c r="D609">
        <f>0.756*$D$587</f>
        <v>0</v>
      </c>
      <c r="E609">
        <f>90.8704*$E$587</f>
        <v>0</v>
      </c>
      <c r="F609">
        <f>-96.3057*$F$587</f>
        <v>0</v>
      </c>
      <c r="G609">
        <f>-0.7296*$G$587</f>
        <v>0</v>
      </c>
      <c r="H609">
        <f>0*$H$587</f>
        <v>0</v>
      </c>
      <c r="I609">
        <f>0.1747*$I$587</f>
        <v>0</v>
      </c>
      <c r="J609">
        <f>-7.1486*$J$587</f>
        <v>0</v>
      </c>
      <c r="K609">
        <f>9.5315*$K$587</f>
        <v>0</v>
      </c>
      <c r="L609">
        <f>-0.0692*$L$587</f>
        <v>0</v>
      </c>
      <c r="M609">
        <f>0+D609+E609+G609+H609+I609+J609+K609+L609</f>
        <v>0</v>
      </c>
      <c r="N609">
        <f>0+D609+F609+G609+H609+I609+J609+K609+L609</f>
        <v>0</v>
      </c>
    </row>
    <row r="610" spans="3:14">
      <c r="C610" t="s">
        <v>26</v>
      </c>
      <c r="D610">
        <f>0.6785*$D$587</f>
        <v>0</v>
      </c>
      <c r="E610">
        <f>92.8158*$E$587</f>
        <v>0</v>
      </c>
      <c r="F610">
        <f>-90.0719*$F$587</f>
        <v>0</v>
      </c>
      <c r="G610">
        <f>0.0408*$G$587</f>
        <v>0</v>
      </c>
      <c r="H610">
        <f>0*$H$587</f>
        <v>0</v>
      </c>
      <c r="I610">
        <f>0.1233*$I$587</f>
        <v>0</v>
      </c>
      <c r="J610">
        <f>-8.5553*$J$587</f>
        <v>0</v>
      </c>
      <c r="K610">
        <f>11.4071*$K$587</f>
        <v>0</v>
      </c>
      <c r="L610">
        <f>-0.0687*$L$587</f>
        <v>0</v>
      </c>
      <c r="M610">
        <f>0+D610+E610+G610+H610+I610+J610+K610+L610</f>
        <v>0</v>
      </c>
      <c r="N610">
        <f>0+D610+F610+G610+H610+I610+J610+K610+L610</f>
        <v>0</v>
      </c>
    </row>
    <row r="611" spans="3:14">
      <c r="C611" t="s">
        <v>26</v>
      </c>
      <c r="D611">
        <f>0.3809*$D$587</f>
        <v>0</v>
      </c>
      <c r="E611">
        <f>92.0942*$E$587</f>
        <v>0</v>
      </c>
      <c r="F611">
        <f>-87.4084*$F$587</f>
        <v>0</v>
      </c>
      <c r="G611">
        <f>0.0376*$G$587</f>
        <v>0</v>
      </c>
      <c r="H611">
        <f>0*$H$587</f>
        <v>0</v>
      </c>
      <c r="I611">
        <f>0.0901*$I$587</f>
        <v>0</v>
      </c>
      <c r="J611">
        <f>-6.1081*$J$587</f>
        <v>0</v>
      </c>
      <c r="K611">
        <f>8.1442*$K$587</f>
        <v>0</v>
      </c>
      <c r="L611">
        <f>-0.0688*$L$587</f>
        <v>0</v>
      </c>
      <c r="M611">
        <f>0+D611+E611+G611+H611+I611+J611+K611+L611</f>
        <v>0</v>
      </c>
      <c r="N611">
        <f>0+D611+F611+G611+H611+I611+J611+K611+L611</f>
        <v>0</v>
      </c>
    </row>
    <row r="612" spans="3:14">
      <c r="C612" t="s">
        <v>27</v>
      </c>
      <c r="D612">
        <f>-0.0807*$D$587</f>
        <v>0</v>
      </c>
      <c r="E612">
        <f>93.9398*$E$587</f>
        <v>0</v>
      </c>
      <c r="F612">
        <f>-86.2308*$F$587</f>
        <v>0</v>
      </c>
      <c r="G612">
        <f>0.4667*$G$587</f>
        <v>0</v>
      </c>
      <c r="H612">
        <f>0*$H$587</f>
        <v>0</v>
      </c>
      <c r="I612">
        <f>-0.013*$I$587</f>
        <v>0</v>
      </c>
      <c r="J612">
        <f>-3.9808*$J$587</f>
        <v>0</v>
      </c>
      <c r="K612">
        <f>5.3077*$K$587</f>
        <v>0</v>
      </c>
      <c r="L612">
        <f>-0.068*$L$587</f>
        <v>0</v>
      </c>
      <c r="M612">
        <f>0+D612+E612+G612+H612+I612+J612+K612+L612</f>
        <v>0</v>
      </c>
      <c r="N612">
        <f>0+D612+F612+G612+H612+I612+J612+K612+L612</f>
        <v>0</v>
      </c>
    </row>
    <row r="613" spans="3:14">
      <c r="C613" t="s">
        <v>27</v>
      </c>
      <c r="D613">
        <f>-0.5886*$D$587</f>
        <v>0</v>
      </c>
      <c r="E613">
        <f>94.2306*$E$587</f>
        <v>0</v>
      </c>
      <c r="F613">
        <f>-91.2796*$F$587</f>
        <v>0</v>
      </c>
      <c r="G613">
        <f>0.3965*$G$587</f>
        <v>0</v>
      </c>
      <c r="H613">
        <f>0*$H$587</f>
        <v>0</v>
      </c>
      <c r="I613">
        <f>-0.083*$I$587</f>
        <v>0</v>
      </c>
      <c r="J613">
        <f>0.2531*$J$587</f>
        <v>0</v>
      </c>
      <c r="K613">
        <f>-0.3374*$K$587</f>
        <v>0</v>
      </c>
      <c r="L613">
        <f>-0.0683*$L$587</f>
        <v>0</v>
      </c>
      <c r="M613">
        <f>0+D613+E613+G613+H613+I613+J613+K613+L613</f>
        <v>0</v>
      </c>
      <c r="N613">
        <f>0+D613+F613+G613+H613+I613+J613+K613+L613</f>
        <v>0</v>
      </c>
    </row>
    <row r="614" spans="3:14">
      <c r="C614" t="s">
        <v>28</v>
      </c>
      <c r="D614">
        <f>-1.1763*$D$587</f>
        <v>0</v>
      </c>
      <c r="E614">
        <f>97.7831*$E$587</f>
        <v>0</v>
      </c>
      <c r="F614">
        <f>-87.9565*$F$587</f>
        <v>0</v>
      </c>
      <c r="G614">
        <f>0.5826*$G$587</f>
        <v>0</v>
      </c>
      <c r="H614">
        <f>0*$H$587</f>
        <v>0</v>
      </c>
      <c r="I614">
        <f>-0.1893*$I$587</f>
        <v>0</v>
      </c>
      <c r="J614">
        <f>4.0261*$J$587</f>
        <v>0</v>
      </c>
      <c r="K614">
        <f>-5.3681*$K$587</f>
        <v>0</v>
      </c>
      <c r="L614">
        <f>-0.0688*$L$587</f>
        <v>0</v>
      </c>
      <c r="M614">
        <f>0+D614+E614+G614+H614+I614+J614+K614+L614</f>
        <v>0</v>
      </c>
      <c r="N614">
        <f>0+D614+F614+G614+H614+I614+J614+K614+L614</f>
        <v>0</v>
      </c>
    </row>
    <row r="615" spans="3:14">
      <c r="C615" t="s">
        <v>28</v>
      </c>
      <c r="D615">
        <f>-1.7827*$D$587</f>
        <v>0</v>
      </c>
      <c r="E615">
        <f>100.1369*$E$587</f>
        <v>0</v>
      </c>
      <c r="F615">
        <f>-91.0284*$F$587</f>
        <v>0</v>
      </c>
      <c r="G615">
        <f>0.5055*$G$587</f>
        <v>0</v>
      </c>
      <c r="H615">
        <f>0*$H$587</f>
        <v>0</v>
      </c>
      <c r="I615">
        <f>-0.2729*$I$587</f>
        <v>0</v>
      </c>
      <c r="J615">
        <f>8.2694*$J$587</f>
        <v>0</v>
      </c>
      <c r="K615">
        <f>-11.0258*$K$587</f>
        <v>0</v>
      </c>
      <c r="L615">
        <f>-0.0696*$L$587</f>
        <v>0</v>
      </c>
      <c r="M615">
        <f>0+D615+E615+G615+H615+I615+J615+K615+L615</f>
        <v>0</v>
      </c>
      <c r="N615">
        <f>0+D615+F615+G615+H615+I615+J615+K615+L615</f>
        <v>0</v>
      </c>
    </row>
    <row r="616" spans="3:14">
      <c r="C616" t="s">
        <v>29</v>
      </c>
      <c r="D616">
        <f>-2.4669*$D$587</f>
        <v>0</v>
      </c>
      <c r="E616">
        <f>107.4997*$E$587</f>
        <v>0</v>
      </c>
      <c r="F616">
        <f>-96.6497*$F$587</f>
        <v>0</v>
      </c>
      <c r="G616">
        <f>0.9097*$G$587</f>
        <v>0</v>
      </c>
      <c r="H616">
        <f>0*$H$587</f>
        <v>0</v>
      </c>
      <c r="I616">
        <f>-0.4066*$I$587</f>
        <v>0</v>
      </c>
      <c r="J616">
        <f>10.3953*$J$587</f>
        <v>0</v>
      </c>
      <c r="K616">
        <f>-13.8604*$K$587</f>
        <v>0</v>
      </c>
      <c r="L616">
        <f>-0.0715*$L$587</f>
        <v>0</v>
      </c>
      <c r="M616">
        <f>0+D616+E616+G616+H616+I616+J616+K616+L616</f>
        <v>0</v>
      </c>
      <c r="N616">
        <f>0+D616+F616+G616+H616+I616+J616+K616+L616</f>
        <v>0</v>
      </c>
    </row>
    <row r="617" spans="3:14">
      <c r="C617" t="s">
        <v>29</v>
      </c>
      <c r="D617">
        <f>-3.2509*$D$587</f>
        <v>0</v>
      </c>
      <c r="E617">
        <f>112.174*$E$587</f>
        <v>0</v>
      </c>
      <c r="F617">
        <f>-102.5176*$F$587</f>
        <v>0</v>
      </c>
      <c r="G617">
        <f>0.8828*$G$587</f>
        <v>0</v>
      </c>
      <c r="H617">
        <f>0*$H$587</f>
        <v>0</v>
      </c>
      <c r="I617">
        <f>-0.5077*$I$587</f>
        <v>0</v>
      </c>
      <c r="J617">
        <f>13.1228*$J$587</f>
        <v>0</v>
      </c>
      <c r="K617">
        <f>-17.497*$K$587</f>
        <v>0</v>
      </c>
      <c r="L617">
        <f>-0.0724*$L$587</f>
        <v>0</v>
      </c>
      <c r="M617">
        <f>0+D617+E617+G617+H617+I617+J617+K617+L617</f>
        <v>0</v>
      </c>
      <c r="N617">
        <f>0+D617+F617+G617+H617+I617+J617+K617+L617</f>
        <v>0</v>
      </c>
    </row>
    <row r="618" spans="3:14">
      <c r="C618" t="s">
        <v>30</v>
      </c>
      <c r="D618">
        <f>-4.122*$D$587</f>
        <v>0</v>
      </c>
      <c r="E618">
        <f>120.0324*$E$587</f>
        <v>0</v>
      </c>
      <c r="F618">
        <f>-118.0204*$F$587</f>
        <v>0</v>
      </c>
      <c r="G618">
        <f>1.5868*$G$587</f>
        <v>0</v>
      </c>
      <c r="H618">
        <f>0*$H$587</f>
        <v>0</v>
      </c>
      <c r="I618">
        <f>-0.6694*$I$587</f>
        <v>0</v>
      </c>
      <c r="J618">
        <f>12.1677*$J$587</f>
        <v>0</v>
      </c>
      <c r="K618">
        <f>-16.2236*$K$587</f>
        <v>0</v>
      </c>
      <c r="L618">
        <f>-0.0741*$L$587</f>
        <v>0</v>
      </c>
      <c r="M618">
        <f>0+D618+E618+G618+H618+I618+J618+K618+L618</f>
        <v>0</v>
      </c>
      <c r="N618">
        <f>0+D618+F618+G618+H618+I618+J618+K618+L618</f>
        <v>0</v>
      </c>
    </row>
    <row r="619" spans="3:14">
      <c r="C619" t="s">
        <v>30</v>
      </c>
      <c r="D619">
        <f>-5.6172*$D$587</f>
        <v>0</v>
      </c>
      <c r="E619">
        <f>125.3673*$E$587</f>
        <v>0</v>
      </c>
      <c r="F619">
        <f>-115.1103*$F$587</f>
        <v>0</v>
      </c>
      <c r="G619">
        <f>1.3348*$G$587</f>
        <v>0</v>
      </c>
      <c r="H619">
        <f>0*$H$587</f>
        <v>0</v>
      </c>
      <c r="I619">
        <f>-0.8378*$I$587</f>
        <v>0</v>
      </c>
      <c r="J619">
        <f>13.7237*$J$587</f>
        <v>0</v>
      </c>
      <c r="K619">
        <f>-18.2982*$K$587</f>
        <v>0</v>
      </c>
      <c r="L619">
        <f>-0.0752*$L$587</f>
        <v>0</v>
      </c>
      <c r="M619">
        <f>0+D619+E619+G619+H619+I619+J619+K619+L619</f>
        <v>0</v>
      </c>
      <c r="N619">
        <f>0+D619+F619+G619+H619+I619+J619+K619+L619</f>
        <v>0</v>
      </c>
    </row>
    <row r="620" spans="3:14">
      <c r="C620" t="s">
        <v>31</v>
      </c>
      <c r="D620">
        <f>-6.4123*$D$587</f>
        <v>0</v>
      </c>
      <c r="E620">
        <f>127.4111*$E$587</f>
        <v>0</v>
      </c>
      <c r="F620">
        <f>-118.1101*$F$587</f>
        <v>0</v>
      </c>
      <c r="G620">
        <f>2.0161*$G$587</f>
        <v>0</v>
      </c>
      <c r="H620">
        <f>0*$H$587</f>
        <v>0</v>
      </c>
      <c r="I620">
        <f>-0.9885*$I$587</f>
        <v>0</v>
      </c>
      <c r="J620">
        <f>12.4288*$J$587</f>
        <v>0</v>
      </c>
      <c r="K620">
        <f>-16.5717*$K$587</f>
        <v>0</v>
      </c>
      <c r="L620">
        <f>-0.0742*$L$587</f>
        <v>0</v>
      </c>
      <c r="M620">
        <f>0+D620+E620+G620+H620+I620+J620+K620+L620</f>
        <v>0</v>
      </c>
      <c r="N620">
        <f>0+D620+F620+G620+H620+I620+J620+K620+L620</f>
        <v>0</v>
      </c>
    </row>
    <row r="621" spans="3:14">
      <c r="C621" t="s">
        <v>31</v>
      </c>
      <c r="D621">
        <f>-7.4444*$D$587</f>
        <v>0</v>
      </c>
      <c r="E621">
        <f>127.5806*$E$587</f>
        <v>0</v>
      </c>
      <c r="F621">
        <f>-121.6541*$F$587</f>
        <v>0</v>
      </c>
      <c r="G621">
        <f>1.9426*$G$587</f>
        <v>0</v>
      </c>
      <c r="H621">
        <f>0*$H$587</f>
        <v>0</v>
      </c>
      <c r="I621">
        <f>-1.122*$I$587</f>
        <v>0</v>
      </c>
      <c r="J621">
        <f>15.2465*$J$587</f>
        <v>0</v>
      </c>
      <c r="K621">
        <f>-20.3286*$K$587</f>
        <v>0</v>
      </c>
      <c r="L621">
        <f>-0.074*$L$587</f>
        <v>0</v>
      </c>
      <c r="M621">
        <f>0+D621+E621+G621+H621+I621+J621+K621+L621</f>
        <v>0</v>
      </c>
      <c r="N621">
        <f>0+D621+F621+G621+H621+I621+J621+K621+L621</f>
        <v>0</v>
      </c>
    </row>
    <row r="622" spans="3:14">
      <c r="C622" t="s">
        <v>32</v>
      </c>
      <c r="D622">
        <f>-8.4788*$D$587</f>
        <v>0</v>
      </c>
      <c r="E622">
        <f>129.2113*$E$587</f>
        <v>0</v>
      </c>
      <c r="F622">
        <f>-126.9954*$F$587</f>
        <v>0</v>
      </c>
      <c r="G622">
        <f>2.2923*$G$587</f>
        <v>0</v>
      </c>
      <c r="H622">
        <f>0*$H$587</f>
        <v>0</v>
      </c>
      <c r="I622">
        <f>-1.302*$I$587</f>
        <v>0</v>
      </c>
      <c r="J622">
        <f>17.4321*$J$587</f>
        <v>0</v>
      </c>
      <c r="K622">
        <f>-23.2428*$K$587</f>
        <v>0</v>
      </c>
      <c r="L622">
        <f>-0.0726*$L$587</f>
        <v>0</v>
      </c>
      <c r="M622">
        <f>0+D622+E622+G622+H622+I622+J622+K622+L622</f>
        <v>0</v>
      </c>
      <c r="N622">
        <f>0+D622+F622+G622+H622+I622+J622+K622+L622</f>
        <v>0</v>
      </c>
    </row>
    <row r="623" spans="3:14">
      <c r="C623" t="s">
        <v>32</v>
      </c>
      <c r="D623">
        <f>-9.6045*$D$587</f>
        <v>0</v>
      </c>
      <c r="E623">
        <f>129.4329*$E$587</f>
        <v>0</v>
      </c>
      <c r="F623">
        <f>-131.9534*$F$587</f>
        <v>0</v>
      </c>
      <c r="G623">
        <f>2.1313*$G$587</f>
        <v>0</v>
      </c>
      <c r="H623">
        <f>0*$H$587</f>
        <v>0</v>
      </c>
      <c r="I623">
        <f>-1.4557*$I$587</f>
        <v>0</v>
      </c>
      <c r="J623">
        <f>21.9358*$J$587</f>
        <v>0</v>
      </c>
      <c r="K623">
        <f>-29.2477*$K$587</f>
        <v>0</v>
      </c>
      <c r="L623">
        <f>-0.0721*$L$587</f>
        <v>0</v>
      </c>
      <c r="M623">
        <f>0+D623+E623+G623+H623+I623+J623+K623+L623</f>
        <v>0</v>
      </c>
      <c r="N623">
        <f>0+D623+F623+G623+H623+I623+J623+K623+L623</f>
        <v>0</v>
      </c>
    </row>
    <row r="624" spans="3:14">
      <c r="C624" t="s">
        <v>33</v>
      </c>
      <c r="D624">
        <f>-10.7981*$D$587</f>
        <v>0</v>
      </c>
      <c r="E624">
        <f>133.437*$E$587</f>
        <v>0</v>
      </c>
      <c r="F624">
        <f>-139.9523*$F$587</f>
        <v>0</v>
      </c>
      <c r="G624">
        <f>2.182*$G$587</f>
        <v>0</v>
      </c>
      <c r="H624">
        <f>0*$H$587</f>
        <v>0</v>
      </c>
      <c r="I624">
        <f>-1.6411*$I$587</f>
        <v>0</v>
      </c>
      <c r="J624">
        <f>26.2188*$J$587</f>
        <v>0</v>
      </c>
      <c r="K624">
        <f>-34.9584*$K$587</f>
        <v>0</v>
      </c>
      <c r="L624">
        <f>-0.0717*$L$587</f>
        <v>0</v>
      </c>
      <c r="M624">
        <f>0+D624+E624+G624+H624+I624+J624+K624+L624</f>
        <v>0</v>
      </c>
      <c r="N624">
        <f>0+D624+F624+G624+H624+I624+J624+K624+L624</f>
        <v>0</v>
      </c>
    </row>
    <row r="625" spans="3:14">
      <c r="C625" t="s">
        <v>33</v>
      </c>
      <c r="D625">
        <f>-11.8593*$D$587</f>
        <v>0</v>
      </c>
      <c r="E625">
        <f>134.3891*$E$587</f>
        <v>0</v>
      </c>
      <c r="F625">
        <f>-147.4279*$F$587</f>
        <v>0</v>
      </c>
      <c r="G625">
        <f>1.8967*$G$587</f>
        <v>0</v>
      </c>
      <c r="H625">
        <f>0*$H$587</f>
        <v>0</v>
      </c>
      <c r="I625">
        <f>-1.7793*$I$587</f>
        <v>0</v>
      </c>
      <c r="J625">
        <f>30.8637*$J$587</f>
        <v>0</v>
      </c>
      <c r="K625">
        <f>-41.1516*$K$587</f>
        <v>0</v>
      </c>
      <c r="L625">
        <f>-0.0714*$L$587</f>
        <v>0</v>
      </c>
      <c r="M625">
        <f>0+D625+E625+G625+H625+I625+J625+K625+L625</f>
        <v>0</v>
      </c>
      <c r="N625">
        <f>0+D625+F625+G625+H625+I625+J625+K625+L625</f>
        <v>0</v>
      </c>
    </row>
    <row r="626" spans="3:14">
      <c r="C626" t="s">
        <v>34</v>
      </c>
      <c r="D626">
        <f>-12.6661*$D$587</f>
        <v>0</v>
      </c>
      <c r="E626">
        <f>140.8218*$E$587</f>
        <v>0</v>
      </c>
      <c r="F626">
        <f>-159.4314*$F$587</f>
        <v>0</v>
      </c>
      <c r="G626">
        <f>1.9522*$G$587</f>
        <v>0</v>
      </c>
      <c r="H626">
        <f>0*$H$587</f>
        <v>0</v>
      </c>
      <c r="I626">
        <f>-1.9121*$I$587</f>
        <v>0</v>
      </c>
      <c r="J626">
        <f>33.1189*$J$587</f>
        <v>0</v>
      </c>
      <c r="K626">
        <f>-44.1585*$K$587</f>
        <v>0</v>
      </c>
      <c r="L626">
        <f>-0.0715*$L$587</f>
        <v>0</v>
      </c>
      <c r="M626">
        <f>0+D626+E626+G626+H626+I626+J626+K626+L626</f>
        <v>0</v>
      </c>
      <c r="N626">
        <f>0+D626+F626+G626+H626+I626+J626+K626+L626</f>
        <v>0</v>
      </c>
    </row>
    <row r="627" spans="3:14">
      <c r="C627" t="s">
        <v>34</v>
      </c>
      <c r="D627">
        <f>-12.9592*$D$587</f>
        <v>0</v>
      </c>
      <c r="E627">
        <f>141.2673*$E$587</f>
        <v>0</v>
      </c>
      <c r="F627">
        <f>-167.4292*$F$587</f>
        <v>0</v>
      </c>
      <c r="G627">
        <f>1.5611*$G$587</f>
        <v>0</v>
      </c>
      <c r="H627">
        <f>0*$H$587</f>
        <v>0</v>
      </c>
      <c r="I627">
        <f>-1.9277*$I$587</f>
        <v>0</v>
      </c>
      <c r="J627">
        <f>35.1067*$J$587</f>
        <v>0</v>
      </c>
      <c r="K627">
        <f>-46.809*$K$587</f>
        <v>0</v>
      </c>
      <c r="L627">
        <f>-0.0698*$L$587</f>
        <v>0</v>
      </c>
      <c r="M627">
        <f>0+D627+E627+G627+H627+I627+J627+K627+L627</f>
        <v>0</v>
      </c>
      <c r="N627">
        <f>0+D627+F627+G627+H627+I627+J627+K627+L627</f>
        <v>0</v>
      </c>
    </row>
    <row r="628" spans="3:14">
      <c r="C628" t="s">
        <v>35</v>
      </c>
      <c r="D628">
        <f>-11.9608*$D$587</f>
        <v>0</v>
      </c>
      <c r="E628">
        <f>145.3498*$E$587</f>
        <v>0</v>
      </c>
      <c r="F628">
        <f>-179.8184*$F$587</f>
        <v>0</v>
      </c>
      <c r="G628">
        <f>1.6825*$G$587</f>
        <v>0</v>
      </c>
      <c r="H628">
        <f>0*$H$587</f>
        <v>0</v>
      </c>
      <c r="I628">
        <f>-1.8098*$I$587</f>
        <v>0</v>
      </c>
      <c r="J628">
        <f>29.444*$J$587</f>
        <v>0</v>
      </c>
      <c r="K628">
        <f>-39.2587*$K$587</f>
        <v>0</v>
      </c>
      <c r="L628">
        <f>-0.0657*$L$587</f>
        <v>0</v>
      </c>
      <c r="M628">
        <f>0+D628+E628+G628+H628+I628+J628+K628+L628</f>
        <v>0</v>
      </c>
      <c r="N628">
        <f>0+D628+F628+G628+H628+I628+J628+K628+L628</f>
        <v>0</v>
      </c>
    </row>
    <row r="629" spans="3:14">
      <c r="C629" t="s">
        <v>35</v>
      </c>
      <c r="D629">
        <f>-15.5957*$D$587</f>
        <v>0</v>
      </c>
      <c r="E629">
        <f>140.8533*$E$587</f>
        <v>0</v>
      </c>
      <c r="F629">
        <f>-170.2227*$F$587</f>
        <v>0</v>
      </c>
      <c r="G629">
        <f>1.0928*$G$587</f>
        <v>0</v>
      </c>
      <c r="H629">
        <f>0*$H$587</f>
        <v>0</v>
      </c>
      <c r="I629">
        <f>-2.277*$I$587</f>
        <v>0</v>
      </c>
      <c r="J629">
        <f>30.2999*$J$587</f>
        <v>0</v>
      </c>
      <c r="K629">
        <f>-40.3999*$K$587</f>
        <v>0</v>
      </c>
      <c r="L629">
        <f>-0.0735*$L$587</f>
        <v>0</v>
      </c>
      <c r="M629">
        <f>0+D629+E629+G629+H629+I629+J629+K629+L629</f>
        <v>0</v>
      </c>
      <c r="N629">
        <f>0+D629+F629+G629+H629+I629+J629+K629+L629</f>
        <v>0</v>
      </c>
    </row>
    <row r="630" spans="3:14">
      <c r="C630" t="s">
        <v>36</v>
      </c>
      <c r="D630">
        <f>-15.5957*$D$587</f>
        <v>0</v>
      </c>
      <c r="E630">
        <f>140.8533*$E$587</f>
        <v>0</v>
      </c>
      <c r="F630">
        <f>-170.2227*$F$587</f>
        <v>0</v>
      </c>
      <c r="G630">
        <f>1.0928*$G$587</f>
        <v>0</v>
      </c>
      <c r="H630">
        <f>0*$H$587</f>
        <v>0</v>
      </c>
      <c r="I630">
        <f>-2.277*$I$587</f>
        <v>0</v>
      </c>
      <c r="J630">
        <f>30.2999*$J$587</f>
        <v>0</v>
      </c>
      <c r="K630">
        <f>-40.3999*$K$587</f>
        <v>0</v>
      </c>
      <c r="L630">
        <f>-0.0735*$L$587</f>
        <v>0</v>
      </c>
      <c r="M630">
        <f>0+D630+E630+G630+H630+I630+J630+K630+L630</f>
        <v>0</v>
      </c>
      <c r="N630">
        <f>0+D630+F630+G630+H630+I630+J630+K630+L630</f>
        <v>0</v>
      </c>
    </row>
    <row r="631" spans="3:14">
      <c r="C631" t="s">
        <v>36</v>
      </c>
      <c r="D631">
        <f>13.4187*$D$587</f>
        <v>0</v>
      </c>
      <c r="E631">
        <f>127.4777*$E$587</f>
        <v>0</v>
      </c>
      <c r="F631">
        <f>-112.6074*$F$587</f>
        <v>0</v>
      </c>
      <c r="G631">
        <f>-1.1438*$G$587</f>
        <v>0</v>
      </c>
      <c r="H631">
        <f>0*$H$587</f>
        <v>0</v>
      </c>
      <c r="I631">
        <f>1.967*$I$587</f>
        <v>0</v>
      </c>
      <c r="J631">
        <f>-30.0129*$J$587</f>
        <v>0</v>
      </c>
      <c r="K631">
        <f>40.0172*$K$587</f>
        <v>0</v>
      </c>
      <c r="L631">
        <f>-1.7797*$L$587</f>
        <v>0</v>
      </c>
      <c r="M631">
        <f>0+D631+E631+G631+H631+I631+J631+K631+L631</f>
        <v>0</v>
      </c>
      <c r="N631">
        <f>0+D631+F631+G631+H631+I631+J631+K631+L631</f>
        <v>0</v>
      </c>
    </row>
    <row r="632" spans="3:14">
      <c r="C632" t="s">
        <v>37</v>
      </c>
      <c r="D632">
        <f>13.4187*$D$587</f>
        <v>0</v>
      </c>
      <c r="E632">
        <f>127.4777*$E$587</f>
        <v>0</v>
      </c>
      <c r="F632">
        <f>-112.6076*$F$587</f>
        <v>0</v>
      </c>
      <c r="G632">
        <f>-1.1438*$G$587</f>
        <v>0</v>
      </c>
      <c r="H632">
        <f>0*$H$587</f>
        <v>0</v>
      </c>
      <c r="I632">
        <f>1.967*$I$587</f>
        <v>0</v>
      </c>
      <c r="J632">
        <f>-30.0129*$J$587</f>
        <v>0</v>
      </c>
      <c r="K632">
        <f>40.0172*$K$587</f>
        <v>0</v>
      </c>
      <c r="L632">
        <f>-1.7797*$L$587</f>
        <v>0</v>
      </c>
      <c r="M632">
        <f>0+D632+E632+G632+H632+I632+J632+K632+L632</f>
        <v>0</v>
      </c>
      <c r="N632">
        <f>0+D632+F632+G632+H632+I632+J632+K632+L632</f>
        <v>0</v>
      </c>
    </row>
    <row r="633" spans="3:14">
      <c r="C633" t="s">
        <v>37</v>
      </c>
      <c r="D633">
        <f>10.3167*$D$587</f>
        <v>0</v>
      </c>
      <c r="E633">
        <f>180.475*$E$587</f>
        <v>0</v>
      </c>
      <c r="F633">
        <f>-145.1614*$F$587</f>
        <v>0</v>
      </c>
      <c r="G633">
        <f>-1.5804*$G$587</f>
        <v>0</v>
      </c>
      <c r="H633">
        <f>0*$H$587</f>
        <v>0</v>
      </c>
      <c r="I633">
        <f>1.5661*$I$587</f>
        <v>0</v>
      </c>
      <c r="J633">
        <f>-27.8699*$J$587</f>
        <v>0</v>
      </c>
      <c r="K633">
        <f>37.1598*$K$587</f>
        <v>0</v>
      </c>
      <c r="L633">
        <f>-1.6316*$L$587</f>
        <v>0</v>
      </c>
      <c r="M633">
        <f>0+D633+E633+G633+H633+I633+J633+K633+L633</f>
        <v>0</v>
      </c>
      <c r="N633">
        <f>0+D633+F633+G633+H633+I633+J633+K633+L633</f>
        <v>0</v>
      </c>
    </row>
    <row r="634" spans="3:14">
      <c r="C634" t="s">
        <v>38</v>
      </c>
      <c r="D634">
        <f>11.5754*$D$587</f>
        <v>0</v>
      </c>
      <c r="E634">
        <f>177.8731*$E$587</f>
        <v>0</v>
      </c>
      <c r="F634">
        <f>-151.5459*$F$587</f>
        <v>0</v>
      </c>
      <c r="G634">
        <f>-1.5493*$G$587</f>
        <v>0</v>
      </c>
      <c r="H634">
        <f>0*$H$587</f>
        <v>0</v>
      </c>
      <c r="I634">
        <f>1.7271*$I$587</f>
        <v>0</v>
      </c>
      <c r="J634">
        <f>-34.5035*$J$587</f>
        <v>0</v>
      </c>
      <c r="K634">
        <f>46.0047*$K$587</f>
        <v>0</v>
      </c>
      <c r="L634">
        <f>-1.7282*$L$587</f>
        <v>0</v>
      </c>
      <c r="M634">
        <f>0+D634+E634+G634+H634+I634+J634+K634+L634</f>
        <v>0</v>
      </c>
      <c r="N634">
        <f>0+D634+F634+G634+H634+I634+J634+K634+L634</f>
        <v>0</v>
      </c>
    </row>
    <row r="635" spans="3:14">
      <c r="C635" t="s">
        <v>38</v>
      </c>
      <c r="D635">
        <f>11.7032*$D$587</f>
        <v>0</v>
      </c>
      <c r="E635">
        <f>174.1868*$E$587</f>
        <v>0</v>
      </c>
      <c r="F635">
        <f>-155.4408*$F$587</f>
        <v>0</v>
      </c>
      <c r="G635">
        <f>-2.0127*$G$587</f>
        <v>0</v>
      </c>
      <c r="H635">
        <f>0*$H$587</f>
        <v>0</v>
      </c>
      <c r="I635">
        <f>1.7765*$I$587</f>
        <v>0</v>
      </c>
      <c r="J635">
        <f>-33.3675*$J$587</f>
        <v>0</v>
      </c>
      <c r="K635">
        <f>44.49*$K$587</f>
        <v>0</v>
      </c>
      <c r="L635">
        <f>-1.808*$L$587</f>
        <v>0</v>
      </c>
      <c r="M635">
        <f>0+D635+E635+G635+H635+I635+J635+K635+L635</f>
        <v>0</v>
      </c>
      <c r="N635">
        <f>0+D635+F635+G635+H635+I635+J635+K635+L635</f>
        <v>0</v>
      </c>
    </row>
    <row r="636" spans="3:14">
      <c r="C636" t="s">
        <v>39</v>
      </c>
      <c r="D636">
        <f>11.2979*$D$587</f>
        <v>0</v>
      </c>
      <c r="E636">
        <f>166.5003*$E$587</f>
        <v>0</v>
      </c>
      <c r="F636">
        <f>-152.9285*$F$587</f>
        <v>0</v>
      </c>
      <c r="G636">
        <f>-2.0202*$G$587</f>
        <v>0</v>
      </c>
      <c r="H636">
        <f>0*$H$587</f>
        <v>0</v>
      </c>
      <c r="I636">
        <f>1.7054*$I$587</f>
        <v>0</v>
      </c>
      <c r="J636">
        <f>-31.8707*$J$587</f>
        <v>0</v>
      </c>
      <c r="K636">
        <f>42.4943*$K$587</f>
        <v>0</v>
      </c>
      <c r="L636">
        <f>-1.8469*$L$587</f>
        <v>0</v>
      </c>
      <c r="M636">
        <f>0+D636+E636+G636+H636+I636+J636+K636+L636</f>
        <v>0</v>
      </c>
      <c r="N636">
        <f>0+D636+F636+G636+H636+I636+J636+K636+L636</f>
        <v>0</v>
      </c>
    </row>
    <row r="637" spans="3:14">
      <c r="C637" t="s">
        <v>39</v>
      </c>
      <c r="D637">
        <f>10.6126*$D$587</f>
        <v>0</v>
      </c>
      <c r="E637">
        <f>162.3588*$E$587</f>
        <v>0</v>
      </c>
      <c r="F637">
        <f>-154.0982*$F$587</f>
        <v>0</v>
      </c>
      <c r="G637">
        <f>-2.3544*$G$587</f>
        <v>0</v>
      </c>
      <c r="H637">
        <f>0*$H$587</f>
        <v>0</v>
      </c>
      <c r="I637">
        <f>1.6245*$I$587</f>
        <v>0</v>
      </c>
      <c r="J637">
        <f>-27.8402*$J$587</f>
        <v>0</v>
      </c>
      <c r="K637">
        <f>37.1203*$K$587</f>
        <v>0</v>
      </c>
      <c r="L637">
        <f>-1.901*$L$587</f>
        <v>0</v>
      </c>
      <c r="M637">
        <f>0+D637+E637+G637+H637+I637+J637+K637+L637</f>
        <v>0</v>
      </c>
      <c r="N637">
        <f>0+D637+F637+G637+H637+I637+J637+K637+L637</f>
        <v>0</v>
      </c>
    </row>
    <row r="638" spans="3:14">
      <c r="C638" t="s">
        <v>40</v>
      </c>
      <c r="D638">
        <f>9.7107*$D$587</f>
        <v>0</v>
      </c>
      <c r="E638">
        <f>154.4871*$E$587</f>
        <v>0</v>
      </c>
      <c r="F638">
        <f>-151.8489*$F$587</f>
        <v>0</v>
      </c>
      <c r="G638">
        <f>-2.3426*$G$587</f>
        <v>0</v>
      </c>
      <c r="H638">
        <f>0*$H$587</f>
        <v>0</v>
      </c>
      <c r="I638">
        <f>1.4836*$I$587</f>
        <v>0</v>
      </c>
      <c r="J638">
        <f>-24.0439*$J$587</f>
        <v>0</v>
      </c>
      <c r="K638">
        <f>32.0586*$K$587</f>
        <v>0</v>
      </c>
      <c r="L638">
        <f>-1.9602*$L$587</f>
        <v>0</v>
      </c>
      <c r="M638">
        <f>0+D638+E638+G638+H638+I638+J638+K638+L638</f>
        <v>0</v>
      </c>
      <c r="N638">
        <f>0+D638+F638+G638+H638+I638+J638+K638+L638</f>
        <v>0</v>
      </c>
    </row>
    <row r="639" spans="3:14">
      <c r="C639" t="s">
        <v>40</v>
      </c>
      <c r="D639">
        <f>8.8324*$D$587</f>
        <v>0</v>
      </c>
      <c r="E639">
        <f>149.9336*$E$587</f>
        <v>0</v>
      </c>
      <c r="F639">
        <f>-152.5104*$F$587</f>
        <v>0</v>
      </c>
      <c r="G639">
        <f>-2.5363*$G$587</f>
        <v>0</v>
      </c>
      <c r="H639">
        <f>0*$H$587</f>
        <v>0</v>
      </c>
      <c r="I639">
        <f>1.3676*$I$587</f>
        <v>0</v>
      </c>
      <c r="J639">
        <f>-19.9532*$J$587</f>
        <v>0</v>
      </c>
      <c r="K639">
        <f>26.6042*$K$587</f>
        <v>0</v>
      </c>
      <c r="L639">
        <f>-2.0226*$L$587</f>
        <v>0</v>
      </c>
      <c r="M639">
        <f>0+D639+E639+G639+H639+I639+J639+K639+L639</f>
        <v>0</v>
      </c>
      <c r="N639">
        <f>0+D639+F639+G639+H639+I639+J639+K639+L639</f>
        <v>0</v>
      </c>
    </row>
    <row r="640" spans="3:14">
      <c r="C640" t="s">
        <v>41</v>
      </c>
      <c r="D640">
        <f>7.9708*$D$587</f>
        <v>0</v>
      </c>
      <c r="E640">
        <f>145.0184*$E$587</f>
        <v>0</v>
      </c>
      <c r="F640">
        <f>-151.5061*$F$587</f>
        <v>0</v>
      </c>
      <c r="G640">
        <f>-2.2152*$G$587</f>
        <v>0</v>
      </c>
      <c r="H640">
        <f>0*$H$587</f>
        <v>0</v>
      </c>
      <c r="I640">
        <f>1.2144*$I$587</f>
        <v>0</v>
      </c>
      <c r="J640">
        <f>-18.1102*$J$587</f>
        <v>0</v>
      </c>
      <c r="K640">
        <f>24.147*$K$587</f>
        <v>0</v>
      </c>
      <c r="L640">
        <f>-2.1194*$L$587</f>
        <v>0</v>
      </c>
      <c r="M640">
        <f>0+D640+E640+G640+H640+I640+J640+K640+L640</f>
        <v>0</v>
      </c>
      <c r="N640">
        <f>0+D640+F640+G640+H640+I640+J640+K640+L640</f>
        <v>0</v>
      </c>
    </row>
    <row r="641" spans="3:14">
      <c r="C641" t="s">
        <v>41</v>
      </c>
      <c r="D641">
        <f>7.0722*$D$587</f>
        <v>0</v>
      </c>
      <c r="E641">
        <f>141.2974*$E$587</f>
        <v>0</v>
      </c>
      <c r="F641">
        <f>-150.7994*$F$587</f>
        <v>0</v>
      </c>
      <c r="G641">
        <f>-2.3095*$G$587</f>
        <v>0</v>
      </c>
      <c r="H641">
        <f>0*$H$587</f>
        <v>0</v>
      </c>
      <c r="I641">
        <f>1.1016*$I$587</f>
        <v>0</v>
      </c>
      <c r="J641">
        <f>-15.5503*$J$587</f>
        <v>0</v>
      </c>
      <c r="K641">
        <f>20.7337*$K$587</f>
        <v>0</v>
      </c>
      <c r="L641">
        <f>-2.1729*$L$587</f>
        <v>0</v>
      </c>
      <c r="M641">
        <f>0+D641+E641+G641+H641+I641+J641+K641+L641</f>
        <v>0</v>
      </c>
      <c r="N641">
        <f>0+D641+F641+G641+H641+I641+J641+K641+L641</f>
        <v>0</v>
      </c>
    </row>
    <row r="642" spans="3:14">
      <c r="C642" t="s">
        <v>42</v>
      </c>
      <c r="D642">
        <f>6.3556*$D$587</f>
        <v>0</v>
      </c>
      <c r="E642">
        <f>137.483*$E$587</f>
        <v>0</v>
      </c>
      <c r="F642">
        <f>-149.244*$F$587</f>
        <v>0</v>
      </c>
      <c r="G642">
        <f>-1.648*$G$587</f>
        <v>0</v>
      </c>
      <c r="H642">
        <f>0*$H$587</f>
        <v>0</v>
      </c>
      <c r="I642">
        <f>0.9634*$I$587</f>
        <v>0</v>
      </c>
      <c r="J642">
        <f>-17.065*$J$587</f>
        <v>0</v>
      </c>
      <c r="K642">
        <f>22.7534*$K$587</f>
        <v>0</v>
      </c>
      <c r="L642">
        <f>-2.2518*$L$587</f>
        <v>0</v>
      </c>
      <c r="M642">
        <f>0+D642+E642+G642+H642+I642+J642+K642+L642</f>
        <v>0</v>
      </c>
      <c r="N642">
        <f>0+D642+F642+G642+H642+I642+J642+K642+L642</f>
        <v>0</v>
      </c>
    </row>
    <row r="643" spans="3:14">
      <c r="C643" t="s">
        <v>42</v>
      </c>
      <c r="D643">
        <f>4.6631*$D$587</f>
        <v>0</v>
      </c>
      <c r="E643">
        <f>133.2313*$E$587</f>
        <v>0</v>
      </c>
      <c r="F643">
        <f>-144.1997*$F$587</f>
        <v>0</v>
      </c>
      <c r="G643">
        <f>-1.8896*$G$587</f>
        <v>0</v>
      </c>
      <c r="H643">
        <f>0*$H$587</f>
        <v>0</v>
      </c>
      <c r="I643">
        <f>0.7659*$I$587</f>
        <v>0</v>
      </c>
      <c r="J643">
        <f>-15.3204*$J$587</f>
        <v>0</v>
      </c>
      <c r="K643">
        <f>20.4272*$K$587</f>
        <v>0</v>
      </c>
      <c r="L643">
        <f>-2.2503*$L$587</f>
        <v>0</v>
      </c>
      <c r="M643">
        <f>0+D643+E643+G643+H643+I643+J643+K643+L643</f>
        <v>0</v>
      </c>
      <c r="N643">
        <f>0+D643+F643+G643+H643+I643+J643+K643+L643</f>
        <v>0</v>
      </c>
    </row>
    <row r="644" spans="3:14">
      <c r="C644" t="s">
        <v>43</v>
      </c>
      <c r="D644">
        <f>3.8379*$D$587</f>
        <v>0</v>
      </c>
      <c r="E644">
        <f>124.7682*$E$587</f>
        <v>0</v>
      </c>
      <c r="F644">
        <f>-135.5877*$F$587</f>
        <v>0</v>
      </c>
      <c r="G644">
        <f>-1.1998*$G$587</f>
        <v>0</v>
      </c>
      <c r="H644">
        <f>0*$H$587</f>
        <v>0</v>
      </c>
      <c r="I644">
        <f>0.6118*$I$587</f>
        <v>0</v>
      </c>
      <c r="J644">
        <f>-16.4346*$J$587</f>
        <v>0</v>
      </c>
      <c r="K644">
        <f>21.9128*$K$587</f>
        <v>0</v>
      </c>
      <c r="L644">
        <f>-2.2512*$L$587</f>
        <v>0</v>
      </c>
      <c r="M644">
        <f>0+D644+E644+G644+H644+I644+J644+K644+L644</f>
        <v>0</v>
      </c>
      <c r="N644">
        <f>0+D644+F644+G644+H644+I644+J644+K644+L644</f>
        <v>0</v>
      </c>
    </row>
    <row r="645" spans="3:14">
      <c r="C645" t="s">
        <v>43</v>
      </c>
      <c r="D645">
        <f>3.0741*$D$587</f>
        <v>0</v>
      </c>
      <c r="E645">
        <f>117.8615*$E$587</f>
        <v>0</v>
      </c>
      <c r="F645">
        <f>-130.6154*$F$587</f>
        <v>0</v>
      </c>
      <c r="G645">
        <f>-1.2455*$G$587</f>
        <v>0</v>
      </c>
      <c r="H645">
        <f>0*$H$587</f>
        <v>0</v>
      </c>
      <c r="I645">
        <f>0.5152*$I$587</f>
        <v>0</v>
      </c>
      <c r="J645">
        <f>-13.9163*$J$587</f>
        <v>0</v>
      </c>
      <c r="K645">
        <f>18.5551*$K$587</f>
        <v>0</v>
      </c>
      <c r="L645">
        <f>-2.286*$L$587</f>
        <v>0</v>
      </c>
      <c r="M645">
        <f>0+D645+E645+G645+H645+I645+J645+K645+L645</f>
        <v>0</v>
      </c>
      <c r="N645">
        <f>0+D645+F645+G645+H645+I645+J645+K645+L645</f>
        <v>0</v>
      </c>
    </row>
    <row r="646" spans="3:14">
      <c r="C646" t="s">
        <v>44</v>
      </c>
      <c r="D646">
        <f>2.4122*$D$587</f>
        <v>0</v>
      </c>
      <c r="E646">
        <f>107.9876*$E$587</f>
        <v>0</v>
      </c>
      <c r="F646">
        <f>-122.0006*$F$587</f>
        <v>0</v>
      </c>
      <c r="G646">
        <f>-0.8619*$G$587</f>
        <v>0</v>
      </c>
      <c r="H646">
        <f>0*$H$587</f>
        <v>0</v>
      </c>
      <c r="I646">
        <f>0.3865*$I$587</f>
        <v>0</v>
      </c>
      <c r="J646">
        <f>-12.0171*$J$587</f>
        <v>0</v>
      </c>
      <c r="K646">
        <f>16.0228*$K$587</f>
        <v>0</v>
      </c>
      <c r="L646">
        <f>-2.2947*$L$587</f>
        <v>0</v>
      </c>
      <c r="M646">
        <f>0+D646+E646+G646+H646+I646+J646+K646+L646</f>
        <v>0</v>
      </c>
      <c r="N646">
        <f>0+D646+F646+G646+H646+I646+J646+K646+L646</f>
        <v>0</v>
      </c>
    </row>
    <row r="647" spans="3:14">
      <c r="C647" t="s">
        <v>44</v>
      </c>
      <c r="D647">
        <f>1.7956*$D$587</f>
        <v>0</v>
      </c>
      <c r="E647">
        <f>102.4042*$E$587</f>
        <v>0</v>
      </c>
      <c r="F647">
        <f>-117.3917*$F$587</f>
        <v>0</v>
      </c>
      <c r="G647">
        <f>-0.965*$G$587</f>
        <v>0</v>
      </c>
      <c r="H647">
        <f>0*$H$587</f>
        <v>0</v>
      </c>
      <c r="I647">
        <f>0.3039*$I$587</f>
        <v>0</v>
      </c>
      <c r="J647">
        <f>-8.0502*$J$587</f>
        <v>0</v>
      </c>
      <c r="K647">
        <f>10.7336*$K$587</f>
        <v>0</v>
      </c>
      <c r="L647">
        <f>-2.3489*$L$587</f>
        <v>0</v>
      </c>
      <c r="M647">
        <f>0+D647+E647+G647+H647+I647+J647+K647+L647</f>
        <v>0</v>
      </c>
      <c r="N647">
        <f>0+D647+F647+G647+H647+I647+J647+K647+L647</f>
        <v>0</v>
      </c>
    </row>
    <row r="648" spans="3:14">
      <c r="C648" t="s">
        <v>45</v>
      </c>
      <c r="D648">
        <f>1.1762*$D$587</f>
        <v>0</v>
      </c>
      <c r="E648">
        <f>95.8406*$E$587</f>
        <v>0</v>
      </c>
      <c r="F648">
        <f>-110.7572*$F$587</f>
        <v>0</v>
      </c>
      <c r="G648">
        <f>-0.8066*$G$587</f>
        <v>0</v>
      </c>
      <c r="H648">
        <f>0*$H$587</f>
        <v>0</v>
      </c>
      <c r="I648">
        <f>0.1954*$I$587</f>
        <v>0</v>
      </c>
      <c r="J648">
        <f>-4.5618*$J$587</f>
        <v>0</v>
      </c>
      <c r="K648">
        <f>6.0824*$K$587</f>
        <v>0</v>
      </c>
      <c r="L648">
        <f>-2.4199*$L$587</f>
        <v>0</v>
      </c>
      <c r="M648">
        <f>0+D648+E648+G648+H648+I648+J648+K648+L648</f>
        <v>0</v>
      </c>
      <c r="N648">
        <f>0+D648+F648+G648+H648+I648+J648+K648+L648</f>
        <v>0</v>
      </c>
    </row>
    <row r="649" spans="3:14">
      <c r="C649" t="s">
        <v>45</v>
      </c>
      <c r="D649">
        <f>0.6125*$D$587</f>
        <v>0</v>
      </c>
      <c r="E649">
        <f>96.1865*$E$587</f>
        <v>0</v>
      </c>
      <c r="F649">
        <f>-108.0772*$F$587</f>
        <v>0</v>
      </c>
      <c r="G649">
        <f>-0.9094*$G$587</f>
        <v>0</v>
      </c>
      <c r="H649">
        <f>0*$H$587</f>
        <v>0</v>
      </c>
      <c r="I649">
        <f>0.1205*$I$587</f>
        <v>0</v>
      </c>
      <c r="J649">
        <f>-0.6585*$J$587</f>
        <v>0</v>
      </c>
      <c r="K649">
        <f>0.878*$K$587</f>
        <v>0</v>
      </c>
      <c r="L649">
        <f>-2.5115*$L$587</f>
        <v>0</v>
      </c>
      <c r="M649">
        <f>0+D649+E649+G649+H649+I649+J649+K649+L649</f>
        <v>0</v>
      </c>
      <c r="N649">
        <f>0+D649+F649+G649+H649+I649+J649+K649+L649</f>
        <v>0</v>
      </c>
    </row>
    <row r="650" spans="3:14">
      <c r="C650" t="s">
        <v>46</v>
      </c>
      <c r="D650">
        <f>0.0694*$D$587</f>
        <v>0</v>
      </c>
      <c r="E650">
        <f>92.1046*$E$587</f>
        <v>0</v>
      </c>
      <c r="F650">
        <f>-103.254*$F$587</f>
        <v>0</v>
      </c>
      <c r="G650">
        <f>-0.5154*$G$587</f>
        <v>0</v>
      </c>
      <c r="H650">
        <f>0*$H$587</f>
        <v>0</v>
      </c>
      <c r="I650">
        <f>0.0087*$I$587</f>
        <v>0</v>
      </c>
      <c r="J650">
        <f>1.1337*$J$587</f>
        <v>0</v>
      </c>
      <c r="K650">
        <f>-1.5116*$K$587</f>
        <v>0</v>
      </c>
      <c r="L650">
        <f>-2.6503*$L$587</f>
        <v>0</v>
      </c>
      <c r="M650">
        <f>0+D650+E650+G650+H650+I650+J650+K650+L650</f>
        <v>0</v>
      </c>
      <c r="N650">
        <f>0+D650+F650+G650+H650+I650+J650+K650+L650</f>
        <v>0</v>
      </c>
    </row>
    <row r="651" spans="3:14">
      <c r="C651" t="s">
        <v>46</v>
      </c>
      <c r="D651">
        <f>-0.3308*$D$587</f>
        <v>0</v>
      </c>
      <c r="E651">
        <f>90.208*$E$587</f>
        <v>0</v>
      </c>
      <c r="F651">
        <f>-102.997*$F$587</f>
        <v>0</v>
      </c>
      <c r="G651">
        <f>-0.5656*$G$587</f>
        <v>0</v>
      </c>
      <c r="H651">
        <f>0*$H$587</f>
        <v>0</v>
      </c>
      <c r="I651">
        <f>-0.035*$I$587</f>
        <v>0</v>
      </c>
      <c r="J651">
        <f>3.1275*$J$587</f>
        <v>0</v>
      </c>
      <c r="K651">
        <f>-4.1701*$K$587</f>
        <v>0</v>
      </c>
      <c r="L651">
        <f>-2.7693*$L$587</f>
        <v>0</v>
      </c>
      <c r="M651">
        <f>0+D651+E651+G651+H651+I651+J651+K651+L651</f>
        <v>0</v>
      </c>
      <c r="N651">
        <f>0+D651+F651+G651+H651+I651+J651+K651+L651</f>
        <v>0</v>
      </c>
    </row>
    <row r="652" spans="3:14">
      <c r="C652" t="s">
        <v>47</v>
      </c>
      <c r="D652">
        <f>-0.5405*$D$587</f>
        <v>0</v>
      </c>
      <c r="E652">
        <f>98.1117*$E$587</f>
        <v>0</v>
      </c>
      <c r="F652">
        <f>-101.3639*$F$587</f>
        <v>0</v>
      </c>
      <c r="G652">
        <f>0.1514*$G$587</f>
        <v>0</v>
      </c>
      <c r="H652">
        <f>0*$H$587</f>
        <v>0</v>
      </c>
      <c r="I652">
        <f>-0.1011*$I$587</f>
        <v>0</v>
      </c>
      <c r="J652">
        <f>1.2409*$J$587</f>
        <v>0</v>
      </c>
      <c r="K652">
        <f>-1.6545*$K$587</f>
        <v>0</v>
      </c>
      <c r="L652">
        <f>-2.9181*$L$587</f>
        <v>0</v>
      </c>
      <c r="M652">
        <f>0+D652+E652+G652+H652+I652+J652+K652+L652</f>
        <v>0</v>
      </c>
      <c r="N652">
        <f>0+D652+F652+G652+H652+I652+J652+K652+L652</f>
        <v>0</v>
      </c>
    </row>
    <row r="653" spans="3:14">
      <c r="C653" t="s">
        <v>47</v>
      </c>
      <c r="D653">
        <f>1.6521*$D$587</f>
        <v>0</v>
      </c>
      <c r="E653">
        <f>99.2923*$E$587</f>
        <v>0</v>
      </c>
      <c r="F653">
        <f>-94.2878*$F$587</f>
        <v>0</v>
      </c>
      <c r="G653">
        <f>-0.2479*$G$587</f>
        <v>0</v>
      </c>
      <c r="H653">
        <f>0*$H$587</f>
        <v>0</v>
      </c>
      <c r="I653">
        <f>0.2681*$I$587</f>
        <v>0</v>
      </c>
      <c r="J653">
        <f>-2.6902*$J$587</f>
        <v>0</v>
      </c>
      <c r="K653">
        <f>3.587*$K$587</f>
        <v>0</v>
      </c>
      <c r="L653">
        <f>-3.1653*$L$587</f>
        <v>0</v>
      </c>
      <c r="M653">
        <f>0+D653+E653+G653+H653+I653+J653+K653+L653</f>
        <v>0</v>
      </c>
      <c r="N653">
        <f>0+D653+F653+G653+H653+I653+J653+K653+L653</f>
        <v>0</v>
      </c>
    </row>
    <row r="654" spans="3:14">
      <c r="C654" t="s">
        <v>48</v>
      </c>
      <c r="D654">
        <f>1.4556*$D$587</f>
        <v>0</v>
      </c>
      <c r="E654">
        <f>101.8203*$E$587</f>
        <v>0</v>
      </c>
      <c r="F654">
        <f>-88.4667*$F$587</f>
        <v>0</v>
      </c>
      <c r="G654">
        <f>0.4707*$G$587</f>
        <v>0</v>
      </c>
      <c r="H654">
        <f>0*$H$587</f>
        <v>0</v>
      </c>
      <c r="I654">
        <f>0.204*$I$587</f>
        <v>0</v>
      </c>
      <c r="J654">
        <f>-4.5753*$J$587</f>
        <v>0</v>
      </c>
      <c r="K654">
        <f>6.1004*$K$587</f>
        <v>0</v>
      </c>
      <c r="L654">
        <f>-3.2306*$L$587</f>
        <v>0</v>
      </c>
      <c r="M654">
        <f>0+D654+E654+G654+H654+I654+J654+K654+L654</f>
        <v>0</v>
      </c>
      <c r="N654">
        <f>0+D654+F654+G654+H654+I654+J654+K654+L654</f>
        <v>0</v>
      </c>
    </row>
    <row r="655" spans="3:14">
      <c r="C655" t="s">
        <v>48</v>
      </c>
      <c r="D655">
        <f>1.1009*$D$587</f>
        <v>0</v>
      </c>
      <c r="E655">
        <f>102.1493*$E$587</f>
        <v>0</v>
      </c>
      <c r="F655">
        <f>-90.2704*$F$587</f>
        <v>0</v>
      </c>
      <c r="G655">
        <f>0.4237*$G$587</f>
        <v>0</v>
      </c>
      <c r="H655">
        <f>0*$H$587</f>
        <v>0</v>
      </c>
      <c r="I655">
        <f>0.1667*$I$587</f>
        <v>0</v>
      </c>
      <c r="J655">
        <f>-2.5901*$J$587</f>
        <v>0</v>
      </c>
      <c r="K655">
        <f>3.4534*$K$587</f>
        <v>0</v>
      </c>
      <c r="L655">
        <f>-3.3604*$L$587</f>
        <v>0</v>
      </c>
      <c r="M655">
        <f>0+D655+E655+G655+H655+I655+J655+K655+L655</f>
        <v>0</v>
      </c>
      <c r="N655">
        <f>0+D655+F655+G655+H655+I655+J655+K655+L655</f>
        <v>0</v>
      </c>
    </row>
    <row r="656" spans="3:14">
      <c r="C656" t="s">
        <v>49</v>
      </c>
      <c r="D656">
        <f>0.6214*$D$587</f>
        <v>0</v>
      </c>
      <c r="E656">
        <f>106.3682*$E$587</f>
        <v>0</v>
      </c>
      <c r="F656">
        <f>-93.8137*$F$587</f>
        <v>0</v>
      </c>
      <c r="G656">
        <f>0.8225*$G$587</f>
        <v>0</v>
      </c>
      <c r="H656">
        <f>0*$H$587</f>
        <v>0</v>
      </c>
      <c r="I656">
        <f>0.0641*$I$587</f>
        <v>0</v>
      </c>
      <c r="J656">
        <f>-0.8082*$J$587</f>
        <v>0</v>
      </c>
      <c r="K656">
        <f>1.0776*$K$587</f>
        <v>0</v>
      </c>
      <c r="L656">
        <f>-3.453*$L$587</f>
        <v>0</v>
      </c>
      <c r="M656">
        <f>0+D656+E656+G656+H656+I656+J656+K656+L656</f>
        <v>0</v>
      </c>
      <c r="N656">
        <f>0+D656+F656+G656+H656+I656+J656+K656+L656</f>
        <v>0</v>
      </c>
    </row>
    <row r="657" spans="3:14">
      <c r="C657" t="s">
        <v>49</v>
      </c>
      <c r="D657">
        <f>0.1403*$D$587</f>
        <v>0</v>
      </c>
      <c r="E657">
        <f>109.1492*$E$587</f>
        <v>0</v>
      </c>
      <c r="F657">
        <f>-97.3395*$F$587</f>
        <v>0</v>
      </c>
      <c r="G657">
        <f>0.7268*$G$587</f>
        <v>0</v>
      </c>
      <c r="H657">
        <f>0*$H$587</f>
        <v>0</v>
      </c>
      <c r="I657">
        <f>0.001*$I$587</f>
        <v>0</v>
      </c>
      <c r="J657">
        <f>3.0886*$J$587</f>
        <v>0</v>
      </c>
      <c r="K657">
        <f>-4.1181*$K$587</f>
        <v>0</v>
      </c>
      <c r="L657">
        <f>-3.6111*$L$587</f>
        <v>0</v>
      </c>
      <c r="M657">
        <f>0+D657+E657+G657+H657+I657+J657+K657+L657</f>
        <v>0</v>
      </c>
      <c r="N657">
        <f>0+D657+F657+G657+H657+I657+J657+K657+L657</f>
        <v>0</v>
      </c>
    </row>
    <row r="658" spans="3:14">
      <c r="C658" t="s">
        <v>50</v>
      </c>
      <c r="D658">
        <f>-0.3844*$D$587</f>
        <v>0</v>
      </c>
      <c r="E658">
        <f>115.3795*$E$587</f>
        <v>0</v>
      </c>
      <c r="F658">
        <f>-99.8794*$F$587</f>
        <v>0</v>
      </c>
      <c r="G658">
        <f>0.8939*$G$587</f>
        <v>0</v>
      </c>
      <c r="H658">
        <f>0*$H$587</f>
        <v>0</v>
      </c>
      <c r="I658">
        <f>-0.0939*$I$587</f>
        <v>0</v>
      </c>
      <c r="J658">
        <f>6.5723*$J$587</f>
        <v>0</v>
      </c>
      <c r="K658">
        <f>-8.763*$K$587</f>
        <v>0</v>
      </c>
      <c r="L658">
        <f>-3.7854*$L$587</f>
        <v>0</v>
      </c>
      <c r="M658">
        <f>0+D658+E658+G658+H658+I658+J658+K658+L658</f>
        <v>0</v>
      </c>
      <c r="N658">
        <f>0+D658+F658+G658+H658+I658+J658+K658+L658</f>
        <v>0</v>
      </c>
    </row>
    <row r="659" spans="3:14">
      <c r="C659" t="s">
        <v>50</v>
      </c>
      <c r="D659">
        <f>-0.9039*$D$587</f>
        <v>0</v>
      </c>
      <c r="E659">
        <f>119.9732*$E$587</f>
        <v>0</v>
      </c>
      <c r="F659">
        <f>-103.6942*$F$587</f>
        <v>0</v>
      </c>
      <c r="G659">
        <f>0.8024*$G$587</f>
        <v>0</v>
      </c>
      <c r="H659">
        <f>0*$H$587</f>
        <v>0</v>
      </c>
      <c r="I659">
        <f>-0.1628*$I$587</f>
        <v>0</v>
      </c>
      <c r="J659">
        <f>10.5534*$J$587</f>
        <v>0</v>
      </c>
      <c r="K659">
        <f>-14.0712*$K$587</f>
        <v>0</v>
      </c>
      <c r="L659">
        <f>-3.9759*$L$587</f>
        <v>0</v>
      </c>
      <c r="M659">
        <f>0+D659+E659+G659+H659+I659+J659+K659+L659</f>
        <v>0</v>
      </c>
      <c r="N659">
        <f>0+D659+F659+G659+H659+I659+J659+K659+L659</f>
        <v>0</v>
      </c>
    </row>
    <row r="660" spans="3:14">
      <c r="C660" t="s">
        <v>51</v>
      </c>
      <c r="D660">
        <f>-1.4824*$D$587</f>
        <v>0</v>
      </c>
      <c r="E660">
        <f>129.0227*$E$587</f>
        <v>0</v>
      </c>
      <c r="F660">
        <f>-115.1191*$F$587</f>
        <v>0</v>
      </c>
      <c r="G660">
        <f>1.1993*$G$587</f>
        <v>0</v>
      </c>
      <c r="H660">
        <f>0*$H$587</f>
        <v>0</v>
      </c>
      <c r="I660">
        <f>-0.2798*$I$587</f>
        <v>0</v>
      </c>
      <c r="J660">
        <f>12.4875*$J$587</f>
        <v>0</v>
      </c>
      <c r="K660">
        <f>-16.65*$K$587</f>
        <v>0</v>
      </c>
      <c r="L660">
        <f>-4.1848*$L$587</f>
        <v>0</v>
      </c>
      <c r="M660">
        <f>0+D660+E660+G660+H660+I660+J660+K660+L660</f>
        <v>0</v>
      </c>
      <c r="N660">
        <f>0+D660+F660+G660+H660+I660+J660+K660+L660</f>
        <v>0</v>
      </c>
    </row>
    <row r="661" spans="3:14">
      <c r="C661" t="s">
        <v>51</v>
      </c>
      <c r="D661">
        <f>-2.1018*$D$587</f>
        <v>0</v>
      </c>
      <c r="E661">
        <f>134.3732*$E$587</f>
        <v>0</v>
      </c>
      <c r="F661">
        <f>-122.3106*$F$587</f>
        <v>0</v>
      </c>
      <c r="G661">
        <f>1.1711*$G$587</f>
        <v>0</v>
      </c>
      <c r="H661">
        <f>0*$H$587</f>
        <v>0</v>
      </c>
      <c r="I661">
        <f>-0.3559*$I$587</f>
        <v>0</v>
      </c>
      <c r="J661">
        <f>15.0289*$J$587</f>
        <v>0</v>
      </c>
      <c r="K661">
        <f>-20.0386*$K$587</f>
        <v>0</v>
      </c>
      <c r="L661">
        <f>-4.3989*$L$587</f>
        <v>0</v>
      </c>
      <c r="M661">
        <f>0+D661+E661+G661+H661+I661+J661+K661+L661</f>
        <v>0</v>
      </c>
      <c r="N661">
        <f>0+D661+F661+G661+H661+I661+J661+K661+L661</f>
        <v>0</v>
      </c>
    </row>
    <row r="662" spans="3:14">
      <c r="C662" t="s">
        <v>52</v>
      </c>
      <c r="D662">
        <f>-2.7963*$D$587</f>
        <v>0</v>
      </c>
      <c r="E662">
        <f>142.8487*$E$587</f>
        <v>0</v>
      </c>
      <c r="F662">
        <f>-133.8575*$F$587</f>
        <v>0</v>
      </c>
      <c r="G662">
        <f>1.8809*$G$587</f>
        <v>0</v>
      </c>
      <c r="H662">
        <f>0*$H$587</f>
        <v>0</v>
      </c>
      <c r="I662">
        <f>-0.4916*$I$587</f>
        <v>0</v>
      </c>
      <c r="J662">
        <f>13.9642*$J$587</f>
        <v>0</v>
      </c>
      <c r="K662">
        <f>-18.619*$K$587</f>
        <v>0</v>
      </c>
      <c r="L662">
        <f>-4.6181*$L$587</f>
        <v>0</v>
      </c>
      <c r="M662">
        <f>0+D662+E662+G662+H662+I662+J662+K662+L662</f>
        <v>0</v>
      </c>
      <c r="N662">
        <f>0+D662+F662+G662+H662+I662+J662+K662+L662</f>
        <v>0</v>
      </c>
    </row>
    <row r="663" spans="3:14">
      <c r="C663" t="s">
        <v>52</v>
      </c>
      <c r="D663">
        <f>-3.4278*$D$587</f>
        <v>0</v>
      </c>
      <c r="E663">
        <f>148.431*$E$587</f>
        <v>0</v>
      </c>
      <c r="F663">
        <f>-135.3578*$F$587</f>
        <v>0</v>
      </c>
      <c r="G663">
        <f>1.6854*$G$587</f>
        <v>0</v>
      </c>
      <c r="H663">
        <f>0*$H$587</f>
        <v>0</v>
      </c>
      <c r="I663">
        <f>-0.5354*$I$587</f>
        <v>0</v>
      </c>
      <c r="J663">
        <f>15.3077*$J$587</f>
        <v>0</v>
      </c>
      <c r="K663">
        <f>-20.4103*$K$587</f>
        <v>0</v>
      </c>
      <c r="L663">
        <f>-5.3073*$L$587</f>
        <v>0</v>
      </c>
      <c r="M663">
        <f>0+D663+E663+G663+H663+I663+J663+K663+L663</f>
        <v>0</v>
      </c>
      <c r="N663">
        <f>0+D663+F663+G663+H663+I663+J663+K663+L663</f>
        <v>0</v>
      </c>
    </row>
    <row r="664" spans="3:14">
      <c r="C664" t="s">
        <v>53</v>
      </c>
      <c r="D664">
        <f>-4.0821*$D$587</f>
        <v>0</v>
      </c>
      <c r="E664">
        <f>150.656*$E$587</f>
        <v>0</v>
      </c>
      <c r="F664">
        <f>-138.2856*$F$587</f>
        <v>0</v>
      </c>
      <c r="G664">
        <f>2.3706*$G$587</f>
        <v>0</v>
      </c>
      <c r="H664">
        <f>0*$H$587</f>
        <v>0</v>
      </c>
      <c r="I664">
        <f>-0.6654*$I$587</f>
        <v>0</v>
      </c>
      <c r="J664">
        <f>13.9159*$J$587</f>
        <v>0</v>
      </c>
      <c r="K664">
        <f>-18.5545*$K$587</f>
        <v>0</v>
      </c>
      <c r="L664">
        <f>-5.3888*$L$587</f>
        <v>0</v>
      </c>
      <c r="M664">
        <f>0+D664+E664+G664+H664+I664+J664+K664+L664</f>
        <v>0</v>
      </c>
      <c r="N664">
        <f>0+D664+F664+G664+H664+I664+J664+K664+L664</f>
        <v>0</v>
      </c>
    </row>
    <row r="665" spans="3:14">
      <c r="C665" t="s">
        <v>53</v>
      </c>
      <c r="D665">
        <f>-4.8944*$D$587</f>
        <v>0</v>
      </c>
      <c r="E665">
        <f>150.5527*$E$587</f>
        <v>0</v>
      </c>
      <c r="F665">
        <f>-142.2595*$F$587</f>
        <v>0</v>
      </c>
      <c r="G665">
        <f>2.3099*$G$587</f>
        <v>0</v>
      </c>
      <c r="H665">
        <f>0*$H$587</f>
        <v>0</v>
      </c>
      <c r="I665">
        <f>-0.7669*$I$587</f>
        <v>0</v>
      </c>
      <c r="J665">
        <f>16.6499*$J$587</f>
        <v>0</v>
      </c>
      <c r="K665">
        <f>-22.1999*$K$587</f>
        <v>0</v>
      </c>
      <c r="L665">
        <f>-5.645*$L$587</f>
        <v>0</v>
      </c>
      <c r="M665">
        <f>0+D665+E665+G665+H665+I665+J665+K665+L665</f>
        <v>0</v>
      </c>
      <c r="N665">
        <f>0+D665+F665+G665+H665+I665+J665+K665+L665</f>
        <v>0</v>
      </c>
    </row>
    <row r="666" spans="3:14">
      <c r="C666" t="s">
        <v>54</v>
      </c>
      <c r="D666">
        <f>-5.7705*$D$587</f>
        <v>0</v>
      </c>
      <c r="E666">
        <f>151.796*$E$587</f>
        <v>0</v>
      </c>
      <c r="F666">
        <f>-147.6305*$F$587</f>
        <v>0</v>
      </c>
      <c r="G666">
        <f>2.6676*$G$587</f>
        <v>0</v>
      </c>
      <c r="H666">
        <f>0*$H$587</f>
        <v>0</v>
      </c>
      <c r="I666">
        <f>-0.9237*$I$587</f>
        <v>0</v>
      </c>
      <c r="J666">
        <f>18.7555*$J$587</f>
        <v>0</v>
      </c>
      <c r="K666">
        <f>-25.0074*$K$587</f>
        <v>0</v>
      </c>
      <c r="L666">
        <f>-5.8174*$L$587</f>
        <v>0</v>
      </c>
      <c r="M666">
        <f>0+D666+E666+G666+H666+I666+J666+K666+L666</f>
        <v>0</v>
      </c>
      <c r="N666">
        <f>0+D666+F666+G666+H666+I666+J666+K666+L666</f>
        <v>0</v>
      </c>
    </row>
    <row r="667" spans="3:14">
      <c r="C667" t="s">
        <v>54</v>
      </c>
      <c r="D667">
        <f>-6.6963*$D$587</f>
        <v>0</v>
      </c>
      <c r="E667">
        <f>151.4688*$E$587</f>
        <v>0</v>
      </c>
      <c r="F667">
        <f>-152.7525*$F$587</f>
        <v>0</v>
      </c>
      <c r="G667">
        <f>2.5199*$G$587</f>
        <v>0</v>
      </c>
      <c r="H667">
        <f>0*$H$587</f>
        <v>0</v>
      </c>
      <c r="I667">
        <f>-1.0484*$I$587</f>
        <v>0</v>
      </c>
      <c r="J667">
        <f>23.1954*$J$587</f>
        <v>0</v>
      </c>
      <c r="K667">
        <f>-30.9272*$K$587</f>
        <v>0</v>
      </c>
      <c r="L667">
        <f>-6.1362*$L$587</f>
        <v>0</v>
      </c>
      <c r="M667">
        <f>0+D667+E667+G667+H667+I667+J667+K667+L667</f>
        <v>0</v>
      </c>
      <c r="N667">
        <f>0+D667+F667+G667+H667+I667+J667+K667+L667</f>
        <v>0</v>
      </c>
    </row>
    <row r="668" spans="3:14">
      <c r="C668" t="s">
        <v>55</v>
      </c>
      <c r="D668">
        <f>-7.7027*$D$587</f>
        <v>0</v>
      </c>
      <c r="E668">
        <f>154.6215*$E$587</f>
        <v>0</v>
      </c>
      <c r="F668">
        <f>-161.0253*$F$587</f>
        <v>0</v>
      </c>
      <c r="G668">
        <f>2.583*$G$587</f>
        <v>0</v>
      </c>
      <c r="H668">
        <f>0*$H$587</f>
        <v>0</v>
      </c>
      <c r="I668">
        <f>-1.2067*$I$587</f>
        <v>0</v>
      </c>
      <c r="J668">
        <f>27.4161*$J$587</f>
        <v>0</v>
      </c>
      <c r="K668">
        <f>-36.5548*$K$587</f>
        <v>0</v>
      </c>
      <c r="L668">
        <f>-6.4894*$L$587</f>
        <v>0</v>
      </c>
      <c r="M668">
        <f>0+D668+E668+G668+H668+I668+J668+K668+L668</f>
        <v>0</v>
      </c>
      <c r="N668">
        <f>0+D668+F668+G668+H668+I668+J668+K668+L668</f>
        <v>0</v>
      </c>
    </row>
    <row r="669" spans="3:14">
      <c r="C669" t="s">
        <v>55</v>
      </c>
      <c r="D669">
        <f>-8.6065*$D$587</f>
        <v>0</v>
      </c>
      <c r="E669">
        <f>154.4715*$E$587</f>
        <v>0</v>
      </c>
      <c r="F669">
        <f>-167.4297*$F$587</f>
        <v>0</v>
      </c>
      <c r="G669">
        <f>2.3077*$G$587</f>
        <v>0</v>
      </c>
      <c r="H669">
        <f>0*$H$587</f>
        <v>0</v>
      </c>
      <c r="I669">
        <f>-1.322*$I$587</f>
        <v>0</v>
      </c>
      <c r="J669">
        <f>32.0004*$J$587</f>
        <v>0</v>
      </c>
      <c r="K669">
        <f>-42.6672*$K$587</f>
        <v>0</v>
      </c>
      <c r="L669">
        <f>-6.8456*$L$587</f>
        <v>0</v>
      </c>
      <c r="M669">
        <f>0+D669+E669+G669+H669+I669+J669+K669+L669</f>
        <v>0</v>
      </c>
      <c r="N669">
        <f>0+D669+F669+G669+H669+I669+J669+K669+L669</f>
        <v>0</v>
      </c>
    </row>
    <row r="670" spans="3:14">
      <c r="C670" t="s">
        <v>56</v>
      </c>
      <c r="D670">
        <f>-9.3885*$D$587</f>
        <v>0</v>
      </c>
      <c r="E670">
        <f>158.1482*$E$587</f>
        <v>0</v>
      </c>
      <c r="F670">
        <f>-178.5406*$F$587</f>
        <v>0</v>
      </c>
      <c r="G670">
        <f>2.3573*$G$587</f>
        <v>0</v>
      </c>
      <c r="H670">
        <f>0*$H$587</f>
        <v>0</v>
      </c>
      <c r="I670">
        <f>-1.4506*$I$587</f>
        <v>0</v>
      </c>
      <c r="J670">
        <f>34.1479*$J$587</f>
        <v>0</v>
      </c>
      <c r="K670">
        <f>-45.5305*$K$587</f>
        <v>0</v>
      </c>
      <c r="L670">
        <f>-7.112*$L$587</f>
        <v>0</v>
      </c>
      <c r="M670">
        <f>0+D670+E670+G670+H670+I670+J670+K670+L670</f>
        <v>0</v>
      </c>
      <c r="N670">
        <f>0+D670+F670+G670+H670+I670+J670+K670+L670</f>
        <v>0</v>
      </c>
    </row>
    <row r="671" spans="3:14">
      <c r="C671" t="s">
        <v>56</v>
      </c>
      <c r="D671">
        <f>-9.7293*$D$587</f>
        <v>0</v>
      </c>
      <c r="E671">
        <f>155.9127*$E$587</f>
        <v>0</v>
      </c>
      <c r="F671">
        <f>-182.4884*$F$587</f>
        <v>0</v>
      </c>
      <c r="G671">
        <f>1.9519*$G$587</f>
        <v>0</v>
      </c>
      <c r="H671">
        <f>0*$H$587</f>
        <v>0</v>
      </c>
      <c r="I671">
        <f>-1.4721*$I$587</f>
        <v>0</v>
      </c>
      <c r="J671">
        <f>36.0036*$J$587</f>
        <v>0</v>
      </c>
      <c r="K671">
        <f>-48.0048*$K$587</f>
        <v>0</v>
      </c>
      <c r="L671">
        <f>-7.141*$L$587</f>
        <v>0</v>
      </c>
      <c r="M671">
        <f>0+D671+E671+G671+H671+I671+J671+K671+L671</f>
        <v>0</v>
      </c>
      <c r="N671">
        <f>0+D671+F671+G671+H671+I671+J671+K671+L671</f>
        <v>0</v>
      </c>
    </row>
    <row r="672" spans="3:14">
      <c r="C672" t="s">
        <v>57</v>
      </c>
      <c r="D672">
        <f>-9.3312*$D$587</f>
        <v>0</v>
      </c>
      <c r="E672">
        <f>153.4981*$E$587</f>
        <v>0</v>
      </c>
      <c r="F672">
        <f>-188.1084*$F$587</f>
        <v>0</v>
      </c>
      <c r="G672">
        <f>1.9933*$G$587</f>
        <v>0</v>
      </c>
      <c r="H672">
        <f>0*$H$587</f>
        <v>0</v>
      </c>
      <c r="I672">
        <f>-1.4378*$I$587</f>
        <v>0</v>
      </c>
      <c r="J672">
        <f>30.0282*$J$587</f>
        <v>0</v>
      </c>
      <c r="K672">
        <f>-40.0376*$K$587</f>
        <v>0</v>
      </c>
      <c r="L672">
        <f>-6.5751*$L$587</f>
        <v>0</v>
      </c>
      <c r="M672">
        <f>0+D672+E672+G672+H672+I672+J672+K672+L672</f>
        <v>0</v>
      </c>
      <c r="N672">
        <f>0+D672+F672+G672+H672+I672+J672+K672+L672</f>
        <v>0</v>
      </c>
    </row>
    <row r="673" spans="3:14">
      <c r="C673" t="s">
        <v>57</v>
      </c>
      <c r="D673">
        <f>-11.5389*$D$587</f>
        <v>0</v>
      </c>
      <c r="E673">
        <f>170.9641*$E$587</f>
        <v>0</v>
      </c>
      <c r="F673">
        <f>-194.9079*$F$587</f>
        <v>0</v>
      </c>
      <c r="G673">
        <f>1.6144*$G$587</f>
        <v>0</v>
      </c>
      <c r="H673">
        <f>0*$H$587</f>
        <v>0</v>
      </c>
      <c r="I673">
        <f>-1.7099*$I$587</f>
        <v>0</v>
      </c>
      <c r="J673">
        <f>31.9753*$J$587</f>
        <v>0</v>
      </c>
      <c r="K673">
        <f>-42.6338*$K$587</f>
        <v>0</v>
      </c>
      <c r="L673">
        <f>-6.2957*$L$587</f>
        <v>0</v>
      </c>
      <c r="M673">
        <f>0+D673+E673+G673+H673+I673+J673+K673+L673</f>
        <v>0</v>
      </c>
      <c r="N673">
        <f>0+D673+F673+G673+H673+I673+J673+K673+L673</f>
        <v>0</v>
      </c>
    </row>
    <row r="674" spans="3:14">
      <c r="C674" t="s">
        <v>58</v>
      </c>
      <c r="D674">
        <f>-11.5389*$D$587</f>
        <v>0</v>
      </c>
      <c r="E674">
        <f>170.9641*$E$587</f>
        <v>0</v>
      </c>
      <c r="F674">
        <f>-194.9079*$F$587</f>
        <v>0</v>
      </c>
      <c r="G674">
        <f>1.6144*$G$587</f>
        <v>0</v>
      </c>
      <c r="H674">
        <f>0*$H$587</f>
        <v>0</v>
      </c>
      <c r="I674">
        <f>-1.7099*$I$587</f>
        <v>0</v>
      </c>
      <c r="J674">
        <f>31.9753*$J$587</f>
        <v>0</v>
      </c>
      <c r="K674">
        <f>-42.6338*$K$587</f>
        <v>0</v>
      </c>
      <c r="L674">
        <f>-6.2957*$L$587</f>
        <v>0</v>
      </c>
      <c r="M674">
        <f>0+D674+E674+G674+H674+I674+J674+K674+L674</f>
        <v>0</v>
      </c>
      <c r="N674">
        <f>0+D674+F674+G674+H674+I674+J674+K674+L674</f>
        <v>0</v>
      </c>
    </row>
    <row r="675" spans="3:14">
      <c r="C675" t="s">
        <v>58</v>
      </c>
      <c r="D675">
        <f>10.7549*$D$587</f>
        <v>0</v>
      </c>
      <c r="E675">
        <f>48.8354*$E$587</f>
        <v>0</v>
      </c>
      <c r="F675">
        <f>-31.487*$F$587</f>
        <v>0</v>
      </c>
      <c r="G675">
        <f>-0.8218*$G$587</f>
        <v>0</v>
      </c>
      <c r="H675">
        <f>0*$H$587</f>
        <v>0</v>
      </c>
      <c r="I675">
        <f>1.5555*$I$587</f>
        <v>0</v>
      </c>
      <c r="J675">
        <f>-24.282*$J$587</f>
        <v>0</v>
      </c>
      <c r="K675">
        <f>32.376*$K$587</f>
        <v>0</v>
      </c>
      <c r="L675">
        <f>-60.7936*$L$587</f>
        <v>0</v>
      </c>
      <c r="M675">
        <f>0+D675+E675+G675+H675+I675+J675+K675+L675</f>
        <v>0</v>
      </c>
      <c r="N675">
        <f>0+D675+F675+G675+H675+I675+J675+K675+L675</f>
        <v>0</v>
      </c>
    </row>
    <row r="676" spans="3:14">
      <c r="C676" t="s">
        <v>59</v>
      </c>
      <c r="D676">
        <f>10.7549*$D$587</f>
        <v>0</v>
      </c>
      <c r="E676">
        <f>48.8354*$E$587</f>
        <v>0</v>
      </c>
      <c r="F676">
        <f>-31.487*$F$587</f>
        <v>0</v>
      </c>
      <c r="G676">
        <f>-0.8218*$G$587</f>
        <v>0</v>
      </c>
      <c r="H676">
        <f>0*$H$587</f>
        <v>0</v>
      </c>
      <c r="I676">
        <f>1.5555*$I$587</f>
        <v>0</v>
      </c>
      <c r="J676">
        <f>-24.282*$J$587</f>
        <v>0</v>
      </c>
      <c r="K676">
        <f>32.376*$K$587</f>
        <v>0</v>
      </c>
      <c r="L676">
        <f>-60.7936*$L$587</f>
        <v>0</v>
      </c>
      <c r="M676">
        <f>0+D676+E676+G676+H676+I676+J676+K676+L676</f>
        <v>0</v>
      </c>
      <c r="N676">
        <f>0+D676+F676+G676+H676+I676+J676+K676+L676</f>
        <v>0</v>
      </c>
    </row>
    <row r="677" spans="3:14">
      <c r="C677" t="s">
        <v>59</v>
      </c>
      <c r="D677">
        <f>8.4739*$D$587</f>
        <v>0</v>
      </c>
      <c r="E677">
        <f>97.3296*$E$587</f>
        <v>0</v>
      </c>
      <c r="F677">
        <f>-83.7*$F$587</f>
        <v>0</v>
      </c>
      <c r="G677">
        <f>-1.0932*$G$587</f>
        <v>0</v>
      </c>
      <c r="H677">
        <f>0*$H$587</f>
        <v>0</v>
      </c>
      <c r="I677">
        <f>1.2699*$I$587</f>
        <v>0</v>
      </c>
      <c r="J677">
        <f>-21.8072*$J$587</f>
        <v>0</v>
      </c>
      <c r="K677">
        <f>29.0763*$K$587</f>
        <v>0</v>
      </c>
      <c r="L677">
        <f>-69.401*$L$587</f>
        <v>0</v>
      </c>
      <c r="M677">
        <f>0+D677+E677+G677+H677+I677+J677+K677+L677</f>
        <v>0</v>
      </c>
      <c r="N677">
        <f>0+D677+F677+G677+H677+I677+J677+K677+L677</f>
        <v>0</v>
      </c>
    </row>
    <row r="678" spans="3:14">
      <c r="C678" t="s">
        <v>60</v>
      </c>
      <c r="D678">
        <f>10.0773*$D$587</f>
        <v>0</v>
      </c>
      <c r="E678">
        <f>94.4211*$E$587</f>
        <v>0</v>
      </c>
      <c r="F678">
        <f>-85.3762*$F$587</f>
        <v>0</v>
      </c>
      <c r="G678">
        <f>-1.0405*$G$587</f>
        <v>0</v>
      </c>
      <c r="H678">
        <f>0*$H$587</f>
        <v>0</v>
      </c>
      <c r="I678">
        <f>1.4828*$I$587</f>
        <v>0</v>
      </c>
      <c r="J678">
        <f>-29.0837*$J$587</f>
        <v>0</v>
      </c>
      <c r="K678">
        <f>38.7783*$K$587</f>
        <v>0</v>
      </c>
      <c r="L678">
        <f>-72.6473*$L$587</f>
        <v>0</v>
      </c>
      <c r="M678">
        <f>0+D678+E678+G678+H678+I678+J678+K678+L678</f>
        <v>0</v>
      </c>
      <c r="N678">
        <f>0+D678+F678+G678+H678+I678+J678+K678+L678</f>
        <v>0</v>
      </c>
    </row>
    <row r="679" spans="3:14">
      <c r="C679" t="s">
        <v>60</v>
      </c>
      <c r="D679">
        <f>10.5955*$D$587</f>
        <v>0</v>
      </c>
      <c r="E679">
        <f>93.5085*$E$587</f>
        <v>0</v>
      </c>
      <c r="F679">
        <f>-85.2771*$F$587</f>
        <v>0</v>
      </c>
      <c r="G679">
        <f>-1.392*$G$587</f>
        <v>0</v>
      </c>
      <c r="H679">
        <f>0*$H$587</f>
        <v>0</v>
      </c>
      <c r="I679">
        <f>1.5844*$I$587</f>
        <v>0</v>
      </c>
      <c r="J679">
        <f>-27.6017*$J$587</f>
        <v>0</v>
      </c>
      <c r="K679">
        <f>36.8023*$K$587</f>
        <v>0</v>
      </c>
      <c r="L679">
        <f>-72.1145*$L$587</f>
        <v>0</v>
      </c>
      <c r="M679">
        <f>0+D679+E679+G679+H679+I679+J679+K679+L679</f>
        <v>0</v>
      </c>
      <c r="N679">
        <f>0+D679+F679+G679+H679+I679+J679+K679+L679</f>
        <v>0</v>
      </c>
    </row>
    <row r="680" spans="3:14">
      <c r="C680" t="s">
        <v>61</v>
      </c>
      <c r="D680">
        <f>10.5962*$D$587</f>
        <v>0</v>
      </c>
      <c r="E680">
        <f>89.2487*$E$587</f>
        <v>0</v>
      </c>
      <c r="F680">
        <f>-81.3126*$F$587</f>
        <v>0</v>
      </c>
      <c r="G680">
        <f>-1.27*$G$587</f>
        <v>0</v>
      </c>
      <c r="H680">
        <f>0*$H$587</f>
        <v>0</v>
      </c>
      <c r="I680">
        <f>1.5662*$I$587</f>
        <v>0</v>
      </c>
      <c r="J680">
        <f>-25.6184*$J$587</f>
        <v>0</v>
      </c>
      <c r="K680">
        <f>34.1578*$K$587</f>
        <v>0</v>
      </c>
      <c r="L680">
        <f>-62.9692*$L$587</f>
        <v>0</v>
      </c>
      <c r="M680">
        <f>0+D680+E680+G680+H680+I680+J680+K680+L680</f>
        <v>0</v>
      </c>
      <c r="N680">
        <f>0+D680+F680+G680+H680+I680+J680+K680+L680</f>
        <v>0</v>
      </c>
    </row>
    <row r="681" spans="3:14">
      <c r="C681" t="s">
        <v>61</v>
      </c>
      <c r="D681">
        <f>10.3427*$D$587</f>
        <v>0</v>
      </c>
      <c r="E681">
        <f>84.6384*$E$587</f>
        <v>0</v>
      </c>
      <c r="F681">
        <f>-80.3818*$F$587</f>
        <v>0</v>
      </c>
      <c r="G681">
        <f>-1.4319*$G$587</f>
        <v>0</v>
      </c>
      <c r="H681">
        <f>0*$H$587</f>
        <v>0</v>
      </c>
      <c r="I681">
        <f>1.5389*$I$587</f>
        <v>0</v>
      </c>
      <c r="J681">
        <f>-20.6637*$J$587</f>
        <v>0</v>
      </c>
      <c r="K681">
        <f>27.5516*$K$587</f>
        <v>0</v>
      </c>
      <c r="L681">
        <f>-56.9396*$L$587</f>
        <v>0</v>
      </c>
      <c r="M681">
        <f>0+D681+E681+G681+H681+I681+J681+K681+L681</f>
        <v>0</v>
      </c>
      <c r="N681">
        <f>0+D681+F681+G681+H681+I681+J681+K681+L681</f>
        <v>0</v>
      </c>
    </row>
    <row r="682" spans="3:14">
      <c r="C682" t="s">
        <v>62</v>
      </c>
      <c r="D682">
        <f>9.7832*$D$587</f>
        <v>0</v>
      </c>
      <c r="E682">
        <f>82.8281*$E$587</f>
        <v>0</v>
      </c>
      <c r="F682">
        <f>-77.6841*$F$587</f>
        <v>0</v>
      </c>
      <c r="G682">
        <f>-1.2444*$G$587</f>
        <v>0</v>
      </c>
      <c r="H682">
        <f>0*$H$587</f>
        <v>0</v>
      </c>
      <c r="I682">
        <f>1.4377*$I$587</f>
        <v>0</v>
      </c>
      <c r="J682">
        <f>-15.8785*$J$587</f>
        <v>0</v>
      </c>
      <c r="K682">
        <f>21.1714*$K$587</f>
        <v>0</v>
      </c>
      <c r="L682">
        <f>-45.2993*$L$587</f>
        <v>0</v>
      </c>
      <c r="M682">
        <f>0+D682+E682+G682+H682+I682+J682+K682+L682</f>
        <v>0</v>
      </c>
      <c r="N682">
        <f>0+D682+F682+G682+H682+I682+J682+K682+L682</f>
        <v>0</v>
      </c>
    </row>
    <row r="683" spans="3:14">
      <c r="C683" t="s">
        <v>62</v>
      </c>
      <c r="D683">
        <f>9.2196*$D$587</f>
        <v>0</v>
      </c>
      <c r="E683">
        <f>80.1266*$E$587</f>
        <v>0</v>
      </c>
      <c r="F683">
        <f>-77.4675*$F$587</f>
        <v>0</v>
      </c>
      <c r="G683">
        <f>-1.2365*$G$587</f>
        <v>0</v>
      </c>
      <c r="H683">
        <f>0*$H$587</f>
        <v>0</v>
      </c>
      <c r="I683">
        <f>1.3555*$I$587</f>
        <v>0</v>
      </c>
      <c r="J683">
        <f>-10.523*$J$587</f>
        <v>0</v>
      </c>
      <c r="K683">
        <f>14.0306*$K$587</f>
        <v>0</v>
      </c>
      <c r="L683">
        <f>-37.356*$L$587</f>
        <v>0</v>
      </c>
      <c r="M683">
        <f>0+D683+E683+G683+H683+I683+J683+K683+L683</f>
        <v>0</v>
      </c>
      <c r="N683">
        <f>0+D683+F683+G683+H683+I683+J683+K683+L683</f>
        <v>0</v>
      </c>
    </row>
    <row r="684" spans="3:14">
      <c r="C684" t="s">
        <v>63</v>
      </c>
      <c r="D684">
        <f>8.4708*$D$587</f>
        <v>0</v>
      </c>
      <c r="E684">
        <f>77.1468*$E$587</f>
        <v>0</v>
      </c>
      <c r="F684">
        <f>-75.9072*$F$587</f>
        <v>0</v>
      </c>
      <c r="G684">
        <f>-0.7306*$G$587</f>
        <v>0</v>
      </c>
      <c r="H684">
        <f>0*$H$587</f>
        <v>0</v>
      </c>
      <c r="I684">
        <f>1.2068*$I$587</f>
        <v>0</v>
      </c>
      <c r="J684">
        <f>-7.3763*$J$587</f>
        <v>0</v>
      </c>
      <c r="K684">
        <f>9.835*$K$587</f>
        <v>0</v>
      </c>
      <c r="L684">
        <f>-24.1711*$L$587</f>
        <v>0</v>
      </c>
      <c r="M684">
        <f>0+D684+E684+G684+H684+I684+J684+K684+L684</f>
        <v>0</v>
      </c>
      <c r="N684">
        <f>0+D684+F684+G684+H684+I684+J684+K684+L684</f>
        <v>0</v>
      </c>
    </row>
    <row r="685" spans="3:14">
      <c r="C685" t="s">
        <v>63</v>
      </c>
      <c r="D685">
        <f>7.6858*$D$587</f>
        <v>0</v>
      </c>
      <c r="E685">
        <f>76.571*$E$587</f>
        <v>0</v>
      </c>
      <c r="F685">
        <f>-76.5673*$F$587</f>
        <v>0</v>
      </c>
      <c r="G685">
        <f>-0.5718*$G$587</f>
        <v>0</v>
      </c>
      <c r="H685">
        <f>0*$H$587</f>
        <v>0</v>
      </c>
      <c r="I685">
        <f>1.0941*$I$587</f>
        <v>0</v>
      </c>
      <c r="J685">
        <f>-2.8492*$J$587</f>
        <v>0</v>
      </c>
      <c r="K685">
        <f>3.7989*$K$587</f>
        <v>0</v>
      </c>
      <c r="L685">
        <f>-15.6069*$L$587</f>
        <v>0</v>
      </c>
      <c r="M685">
        <f>0+D685+E685+G685+H685+I685+J685+K685+L685</f>
        <v>0</v>
      </c>
      <c r="N685">
        <f>0+D685+F685+G685+H685+I685+J685+K685+L685</f>
        <v>0</v>
      </c>
    </row>
    <row r="686" spans="3:14">
      <c r="C686" t="s">
        <v>64</v>
      </c>
      <c r="D686">
        <f>6.7279*$D$587</f>
        <v>0</v>
      </c>
      <c r="E686">
        <f>82.5381*$E$587</f>
        <v>0</v>
      </c>
      <c r="F686">
        <f>-75.9386*$F$587</f>
        <v>0</v>
      </c>
      <c r="G686">
        <f>0.3051*$G$587</f>
        <v>0</v>
      </c>
      <c r="H686">
        <f>0*$H$587</f>
        <v>0</v>
      </c>
      <c r="I686">
        <f>0.9053*$I$587</f>
        <v>0</v>
      </c>
      <c r="J686">
        <f>-2.373*$J$587</f>
        <v>0</v>
      </c>
      <c r="K686">
        <f>3.164*$K$587</f>
        <v>0</v>
      </c>
      <c r="L686">
        <f>-2.5422*$L$587</f>
        <v>0</v>
      </c>
      <c r="M686">
        <f>0+D686+E686+G686+H686+I686+J686+K686+L686</f>
        <v>0</v>
      </c>
      <c r="N686">
        <f>0+D686+F686+G686+H686+I686+J686+K686+L686</f>
        <v>0</v>
      </c>
    </row>
    <row r="687" spans="3:14">
      <c r="C687" t="s">
        <v>64</v>
      </c>
      <c r="D687">
        <f>4.076*$D$587</f>
        <v>0</v>
      </c>
      <c r="E687">
        <f>79.2362*$E$587</f>
        <v>0</v>
      </c>
      <c r="F687">
        <f>-75.4514*$F$587</f>
        <v>0</v>
      </c>
      <c r="G687">
        <f>1.0158*$G$587</f>
        <v>0</v>
      </c>
      <c r="H687">
        <f>0*$H$587</f>
        <v>0</v>
      </c>
      <c r="I687">
        <f>0.5039*$I$587</f>
        <v>0</v>
      </c>
      <c r="J687">
        <f>9.4683*$J$587</f>
        <v>0</v>
      </c>
      <c r="K687">
        <f>-12.6245*$K$587</f>
        <v>0</v>
      </c>
      <c r="L687">
        <f>2.1813*$L$587</f>
        <v>0</v>
      </c>
      <c r="M687">
        <f>0+D687+E687+G687+H687+I687+J687+K687+L687</f>
        <v>0</v>
      </c>
      <c r="N687">
        <f>0+D687+F687+G687+H687+I687+J687+K687+L687</f>
        <v>0</v>
      </c>
    </row>
    <row r="688" spans="3:14">
      <c r="C688" t="s">
        <v>65</v>
      </c>
      <c r="D688">
        <f>2.9651*$D$587</f>
        <v>0</v>
      </c>
      <c r="E688">
        <f>79.6262*$E$587</f>
        <v>0</v>
      </c>
      <c r="F688">
        <f>-70.225*$F$587</f>
        <v>0</v>
      </c>
      <c r="G688">
        <f>1.9361*$G$587</f>
        <v>0</v>
      </c>
      <c r="H688">
        <f>0*$H$587</f>
        <v>0</v>
      </c>
      <c r="I688">
        <f>0.2905*$I$587</f>
        <v>0</v>
      </c>
      <c r="J688">
        <f>10.6867*$J$587</f>
        <v>0</v>
      </c>
      <c r="K688">
        <f>-14.2489*$K$587</f>
        <v>0</v>
      </c>
      <c r="L688">
        <f>16.5485*$L$587</f>
        <v>0</v>
      </c>
      <c r="M688">
        <f>0+D688+E688+G688+H688+I688+J688+K688+L688</f>
        <v>0</v>
      </c>
      <c r="N688">
        <f>0+D688+F688+G688+H688+I688+J688+K688+L688</f>
        <v>0</v>
      </c>
    </row>
    <row r="689" spans="3:14">
      <c r="C689" t="s">
        <v>65</v>
      </c>
      <c r="D689">
        <f>2.1723*$D$587</f>
        <v>0</v>
      </c>
      <c r="E689">
        <f>78.9537*$E$587</f>
        <v>0</v>
      </c>
      <c r="F689">
        <f>-70.9575*$F$587</f>
        <v>0</v>
      </c>
      <c r="G689">
        <f>2.2073*$G$587</f>
        <v>0</v>
      </c>
      <c r="H689">
        <f>0*$H$587</f>
        <v>0</v>
      </c>
      <c r="I689">
        <f>0.1659*$I$587</f>
        <v>0</v>
      </c>
      <c r="J689">
        <f>16.3185*$J$587</f>
        <v>0</v>
      </c>
      <c r="K689">
        <f>-21.758*$K$587</f>
        <v>0</v>
      </c>
      <c r="L689">
        <f>26.9336*$L$587</f>
        <v>0</v>
      </c>
      <c r="M689">
        <f>0+D689+E689+G689+H689+I689+J689+K689+L689</f>
        <v>0</v>
      </c>
      <c r="N689">
        <f>0+D689+F689+G689+H689+I689+J689+K689+L689</f>
        <v>0</v>
      </c>
    </row>
    <row r="690" spans="3:14">
      <c r="C690" t="s">
        <v>66</v>
      </c>
      <c r="D690">
        <f>1.3833*$D$587</f>
        <v>0</v>
      </c>
      <c r="E690">
        <f>80.5945*$E$587</f>
        <v>0</v>
      </c>
      <c r="F690">
        <f>-74.2537*$F$587</f>
        <v>0</v>
      </c>
      <c r="G690">
        <f>2.8355*$G$587</f>
        <v>0</v>
      </c>
      <c r="H690">
        <f>0*$H$587</f>
        <v>0</v>
      </c>
      <c r="I690">
        <f>-0.0015*$I$587</f>
        <v>0</v>
      </c>
      <c r="J690">
        <f>20.9874*$J$587</f>
        <v>0</v>
      </c>
      <c r="K690">
        <f>-27.9832*$K$587</f>
        <v>0</v>
      </c>
      <c r="L690">
        <f>42.0549*$L$587</f>
        <v>0</v>
      </c>
      <c r="M690">
        <f>0+D690+E690+G690+H690+I690+J690+K690+L690</f>
        <v>0</v>
      </c>
      <c r="N690">
        <f>0+D690+F690+G690+H690+I690+J690+K690+L690</f>
        <v>0</v>
      </c>
    </row>
    <row r="691" spans="3:14">
      <c r="C691" t="s">
        <v>66</v>
      </c>
      <c r="D691">
        <f>0.811*$D$587</f>
        <v>0</v>
      </c>
      <c r="E691">
        <f>80.9917*$E$587</f>
        <v>0</v>
      </c>
      <c r="F691">
        <f>-76.7718*$F$587</f>
        <v>0</v>
      </c>
      <c r="G691">
        <f>2.9915*$G$587</f>
        <v>0</v>
      </c>
      <c r="H691">
        <f>0*$H$587</f>
        <v>0</v>
      </c>
      <c r="I691">
        <f>-0.0995*$I$587</f>
        <v>0</v>
      </c>
      <c r="J691">
        <f>28.1074*$J$587</f>
        <v>0</v>
      </c>
      <c r="K691">
        <f>-37.4765*$K$587</f>
        <v>0</v>
      </c>
      <c r="L691">
        <f>52.0639*$L$587</f>
        <v>0</v>
      </c>
      <c r="M691">
        <f>0+D691+E691+G691+H691+I691+J691+K691+L691</f>
        <v>0</v>
      </c>
      <c r="N691">
        <f>0+D691+F691+G691+H691+I691+J691+K691+L691</f>
        <v>0</v>
      </c>
    </row>
    <row r="692" spans="3:14">
      <c r="C692" t="s">
        <v>67</v>
      </c>
      <c r="D692">
        <f>0.1799*$D$587</f>
        <v>0</v>
      </c>
      <c r="E692">
        <f>84.16*$E$587</f>
        <v>0</v>
      </c>
      <c r="F692">
        <f>-79.1113*$F$587</f>
        <v>0</v>
      </c>
      <c r="G692">
        <f>3.3318*$G$587</f>
        <v>0</v>
      </c>
      <c r="H692">
        <f>0*$H$587</f>
        <v>0</v>
      </c>
      <c r="I692">
        <f>-0.2266*$I$587</f>
        <v>0</v>
      </c>
      <c r="J692">
        <f>34.3745*$J$587</f>
        <v>0</v>
      </c>
      <c r="K692">
        <f>-45.8327*$K$587</f>
        <v>0</v>
      </c>
      <c r="L692">
        <f>65.8023*$L$587</f>
        <v>0</v>
      </c>
      <c r="M692">
        <f>0+D692+E692+G692+H692+I692+J692+K692+L692</f>
        <v>0</v>
      </c>
      <c r="N692">
        <f>0+D692+F692+G692+H692+I692+J692+K692+L692</f>
        <v>0</v>
      </c>
    </row>
    <row r="693" spans="3:14">
      <c r="C693" t="s">
        <v>67</v>
      </c>
      <c r="D693">
        <f>-0.2373*$D$587</f>
        <v>0</v>
      </c>
      <c r="E693">
        <f>85.6312*$E$587</f>
        <v>0</v>
      </c>
      <c r="F693">
        <f>-82.4163*$F$587</f>
        <v>0</v>
      </c>
      <c r="G693">
        <f>3.3353*$G$587</f>
        <v>0</v>
      </c>
      <c r="H693">
        <f>0*$H$587</f>
        <v>0</v>
      </c>
      <c r="I693">
        <f>-0.2925*$I$587</f>
        <v>0</v>
      </c>
      <c r="J693">
        <f>40.61*$J$587</f>
        <v>0</v>
      </c>
      <c r="K693">
        <f>-54.1467*$K$587</f>
        <v>0</v>
      </c>
      <c r="L693">
        <f>74.0514*$L$587</f>
        <v>0</v>
      </c>
      <c r="M693">
        <f>0+D693+E693+G693+H693+I693+J693+K693+L693</f>
        <v>0</v>
      </c>
      <c r="N693">
        <f>0+D693+F693+G693+H693+I693+J693+K693+L693</f>
        <v>0</v>
      </c>
    </row>
    <row r="694" spans="3:14">
      <c r="C694" t="s">
        <v>68</v>
      </c>
      <c r="D694">
        <f>-0.6972*$D$587</f>
        <v>0</v>
      </c>
      <c r="E694">
        <f>90.8135*$E$587</f>
        <v>0</v>
      </c>
      <c r="F694">
        <f>-88.9943*$F$587</f>
        <v>0</v>
      </c>
      <c r="G694">
        <f>3.6009*$G$587</f>
        <v>0</v>
      </c>
      <c r="H694">
        <f>0*$H$587</f>
        <v>0</v>
      </c>
      <c r="I694">
        <f>-0.3879*$I$587</f>
        <v>0</v>
      </c>
      <c r="J694">
        <f>42.0983*$J$587</f>
        <v>0</v>
      </c>
      <c r="K694">
        <f>-56.1311*$K$587</f>
        <v>0</v>
      </c>
      <c r="L694">
        <f>85.8057*$L$587</f>
        <v>0</v>
      </c>
      <c r="M694">
        <f>0+D694+E694+G694+H694+I694+J694+K694+L694</f>
        <v>0</v>
      </c>
      <c r="N694">
        <f>0+D694+F694+G694+H694+I694+J694+K694+L694</f>
        <v>0</v>
      </c>
    </row>
    <row r="695" spans="3:14">
      <c r="C695" t="s">
        <v>68</v>
      </c>
      <c r="D695">
        <f>-0.7521*$D$587</f>
        <v>0</v>
      </c>
      <c r="E695">
        <f>93.7349*$E$587</f>
        <v>0</v>
      </c>
      <c r="F695">
        <f>-94.5469*$F$587</f>
        <v>0</v>
      </c>
      <c r="G695">
        <f>3.4676*$G$587</f>
        <v>0</v>
      </c>
      <c r="H695">
        <f>0*$H$587</f>
        <v>0</v>
      </c>
      <c r="I695">
        <f>-0.3807*$I$587</f>
        <v>0</v>
      </c>
      <c r="J695">
        <f>45.7034*$J$587</f>
        <v>0</v>
      </c>
      <c r="K695">
        <f>-60.9378*$K$587</f>
        <v>0</v>
      </c>
      <c r="L695">
        <f>89.9331*$L$587</f>
        <v>0</v>
      </c>
      <c r="M695">
        <f>0+D695+E695+G695+H695+I695+J695+K695+L695</f>
        <v>0</v>
      </c>
      <c r="N695">
        <f>0+D695+F695+G695+H695+I695+J695+K695+L695</f>
        <v>0</v>
      </c>
    </row>
    <row r="696" spans="3:14">
      <c r="C696" t="s">
        <v>69</v>
      </c>
      <c r="D696">
        <f>-1.0274*$D$587</f>
        <v>0</v>
      </c>
      <c r="E696">
        <f>97.9865*$E$587</f>
        <v>0</v>
      </c>
      <c r="F696">
        <f>-102.8744*$F$587</f>
        <v>0</v>
      </c>
      <c r="G696">
        <f>3.9387*$G$587</f>
        <v>0</v>
      </c>
      <c r="H696">
        <f>0*$H$587</f>
        <v>0</v>
      </c>
      <c r="I696">
        <f>-0.4525*$I$587</f>
        <v>0</v>
      </c>
      <c r="J696">
        <f>46.3669*$J$587</f>
        <v>0</v>
      </c>
      <c r="K696">
        <f>-61.8226*$K$587</f>
        <v>0</v>
      </c>
      <c r="L696">
        <f>97.9386*$L$587</f>
        <v>0</v>
      </c>
      <c r="M696">
        <f>0+D696+E696+G696+H696+I696+J696+K696+L696</f>
        <v>0</v>
      </c>
      <c r="N696">
        <f>0+D696+F696+G696+H696+I696+J696+K696+L696</f>
        <v>0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C3:N696"/>
  <sheetViews>
    <sheetView workbookViewId="0"/>
  </sheetViews>
  <sheetFormatPr defaultRowHeight="15"/>
  <sheetData>
    <row r="3" spans="3:14">
      <c r="C3" t="s">
        <v>77</v>
      </c>
    </row>
    <row r="5" spans="3:14">
      <c r="C5" t="s">
        <v>1</v>
      </c>
    </row>
    <row r="7" spans="3:14">
      <c r="C7" t="s">
        <v>2</v>
      </c>
    </row>
    <row r="8" spans="3:14"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13</v>
      </c>
      <c r="N8" t="s">
        <v>14</v>
      </c>
    </row>
    <row r="9" spans="3:14">
      <c r="C9" t="s">
        <v>78</v>
      </c>
      <c r="D9">
        <f>-29.9547*$D$7</f>
        <v>0</v>
      </c>
      <c r="E9">
        <f>175.1905*$E$7</f>
        <v>0</v>
      </c>
      <c r="F9">
        <f>-240.1449*$F$7</f>
        <v>0</v>
      </c>
      <c r="G9">
        <f>24.0122*$G$7</f>
        <v>0</v>
      </c>
      <c r="H9">
        <f>0*$H$7</f>
        <v>0</v>
      </c>
      <c r="I9">
        <f>-6.5443*$I$7</f>
        <v>0</v>
      </c>
      <c r="J9">
        <f>161.0646*$J$7</f>
        <v>0</v>
      </c>
      <c r="K9">
        <f>-214.7527*$K$7</f>
        <v>0</v>
      </c>
      <c r="L9">
        <f>0.0612*$L$7</f>
        <v>0</v>
      </c>
      <c r="M9">
        <f>0+D9+E9+G9+H9+I9+J9+K9+L9</f>
        <v>0</v>
      </c>
      <c r="N9">
        <f>0+D9+F9+G9+H9+I9+J9+K9+L9</f>
        <v>0</v>
      </c>
    </row>
    <row r="10" spans="3:14">
      <c r="C10" t="s">
        <v>16</v>
      </c>
      <c r="D10">
        <f>215.4024*$D$7</f>
        <v>0</v>
      </c>
      <c r="E10">
        <f>369.9482*$E$7</f>
        <v>0</v>
      </c>
      <c r="F10">
        <f>-28.3962*$F$7</f>
        <v>0</v>
      </c>
      <c r="G10">
        <f>34.7167*$G$7</f>
        <v>0</v>
      </c>
      <c r="H10">
        <f>0*$H$7</f>
        <v>0</v>
      </c>
      <c r="I10">
        <f>30.2423*$I$7</f>
        <v>0</v>
      </c>
      <c r="J10">
        <f>64.3323*$J$7</f>
        <v>0</v>
      </c>
      <c r="K10">
        <f>-85.7765*$K$7</f>
        <v>0</v>
      </c>
      <c r="L10">
        <f>0.0543*$L$7</f>
        <v>0</v>
      </c>
      <c r="M10">
        <f>0+D10+E10+G10+H10+I10+J10+K10+L10</f>
        <v>0</v>
      </c>
      <c r="N10">
        <f>0+D10+F10+G10+H10+I10+J10+K10+L10</f>
        <v>0</v>
      </c>
    </row>
    <row r="11" spans="3:14">
      <c r="C11" t="s">
        <v>16</v>
      </c>
      <c r="D11">
        <f>199.2847*$D$7</f>
        <v>0</v>
      </c>
      <c r="E11">
        <f>354.9467*$E$7</f>
        <v>0</v>
      </c>
      <c r="F11">
        <f>-35.9259*$F$7</f>
        <v>0</v>
      </c>
      <c r="G11">
        <f>33.8813*$G$7</f>
        <v>0</v>
      </c>
      <c r="H11">
        <f>0*$H$7</f>
        <v>0</v>
      </c>
      <c r="I11">
        <f>27.8612*$I$7</f>
        <v>0</v>
      </c>
      <c r="J11">
        <f>78.7673*$J$7</f>
        <v>0</v>
      </c>
      <c r="K11">
        <f>-105.0231*$K$7</f>
        <v>0</v>
      </c>
      <c r="L11">
        <f>0.055*$L$7</f>
        <v>0</v>
      </c>
      <c r="M11">
        <f>0+D11+E11+G11+H11+I11+J11+K11+L11</f>
        <v>0</v>
      </c>
      <c r="N11">
        <f>0+D11+F11+G11+H11+I11+J11+K11+L11</f>
        <v>0</v>
      </c>
    </row>
    <row r="12" spans="3:14">
      <c r="C12" t="s">
        <v>17</v>
      </c>
      <c r="D12">
        <f>416.9697*$D$7</f>
        <v>0</v>
      </c>
      <c r="E12">
        <f>619.2344*$E$7</f>
        <v>0</v>
      </c>
      <c r="F12">
        <f>-12.0393*$F$7</f>
        <v>0</v>
      </c>
      <c r="G12">
        <f>45.6872*$G$7</f>
        <v>0</v>
      </c>
      <c r="H12">
        <f>0*$H$7</f>
        <v>0</v>
      </c>
      <c r="I12">
        <f>59.9767*$I$7</f>
        <v>0</v>
      </c>
      <c r="J12">
        <f>0.1082*$J$7</f>
        <v>0</v>
      </c>
      <c r="K12">
        <f>-0.1443*$K$7</f>
        <v>0</v>
      </c>
      <c r="L12">
        <f>0.048*$L$7</f>
        <v>0</v>
      </c>
      <c r="M12">
        <f>0+D12+E12+G12+H12+I12+J12+K12+L12</f>
        <v>0</v>
      </c>
      <c r="N12">
        <f>0+D12+F12+G12+H12+I12+J12+K12+L12</f>
        <v>0</v>
      </c>
    </row>
    <row r="13" spans="3:14">
      <c r="C13" t="s">
        <v>17</v>
      </c>
      <c r="D13">
        <f>398.6826*$D$7</f>
        <v>0</v>
      </c>
      <c r="E13">
        <f>596.25*$E$7</f>
        <v>0</v>
      </c>
      <c r="F13">
        <f>-11.6599*$F$7</f>
        <v>0</v>
      </c>
      <c r="G13">
        <f>44.7492*$G$7</f>
        <v>0</v>
      </c>
      <c r="H13">
        <f>0*$H$7</f>
        <v>0</v>
      </c>
      <c r="I13">
        <f>57.292*$I$7</f>
        <v>0</v>
      </c>
      <c r="J13">
        <f>11.505*$J$7</f>
        <v>0</v>
      </c>
      <c r="K13">
        <f>-15.3399*$K$7</f>
        <v>0</v>
      </c>
      <c r="L13">
        <f>0.0486*$L$7</f>
        <v>0</v>
      </c>
      <c r="M13">
        <f>0+D13+E13+G13+H13+I13+J13+K13+L13</f>
        <v>0</v>
      </c>
      <c r="N13">
        <f>0+D13+F13+G13+H13+I13+J13+K13+L13</f>
        <v>0</v>
      </c>
    </row>
    <row r="14" spans="3:14">
      <c r="C14" t="s">
        <v>18</v>
      </c>
      <c r="D14">
        <f>588.3311*$D$7</f>
        <v>0</v>
      </c>
      <c r="E14">
        <f>841.5635*$E$7</f>
        <v>0</v>
      </c>
      <c r="F14">
        <f>-13.8644*$F$7</f>
        <v>0</v>
      </c>
      <c r="G14">
        <f>57.509*$G$7</f>
        <v>0</v>
      </c>
      <c r="H14">
        <f>0*$H$7</f>
        <v>0</v>
      </c>
      <c r="I14">
        <f>84.6937*$I$7</f>
        <v>0</v>
      </c>
      <c r="J14">
        <f>-60.6164*$J$7</f>
        <v>0</v>
      </c>
      <c r="K14">
        <f>80.8219*$K$7</f>
        <v>0</v>
      </c>
      <c r="L14">
        <f>0.0416*$L$7</f>
        <v>0</v>
      </c>
      <c r="M14">
        <f>0+D14+E14+G14+H14+I14+J14+K14+L14</f>
        <v>0</v>
      </c>
      <c r="N14">
        <f>0+D14+F14+G14+H14+I14+J14+K14+L14</f>
        <v>0</v>
      </c>
    </row>
    <row r="15" spans="3:14">
      <c r="C15" t="s">
        <v>18</v>
      </c>
      <c r="D15">
        <f>562.0224*$D$7</f>
        <v>0</v>
      </c>
      <c r="E15">
        <f>804.8384*$E$7</f>
        <v>0</v>
      </c>
      <c r="F15">
        <f>-13.5247*$F$7</f>
        <v>0</v>
      </c>
      <c r="G15">
        <f>55.9189*$G$7</f>
        <v>0</v>
      </c>
      <c r="H15">
        <f>0*$H$7</f>
        <v>0</v>
      </c>
      <c r="I15">
        <f>80.8973*$I$7</f>
        <v>0</v>
      </c>
      <c r="J15">
        <f>-50.1167*$J$7</f>
        <v>0</v>
      </c>
      <c r="K15">
        <f>66.8223*$K$7</f>
        <v>0</v>
      </c>
      <c r="L15">
        <f>0.0423*$L$7</f>
        <v>0</v>
      </c>
      <c r="M15">
        <f>0+D15+E15+G15+H15+I15+J15+K15+L15</f>
        <v>0</v>
      </c>
      <c r="N15">
        <f>0+D15+F15+G15+H15+I15+J15+K15+L15</f>
        <v>0</v>
      </c>
    </row>
    <row r="16" spans="3:14">
      <c r="C16" t="s">
        <v>19</v>
      </c>
      <c r="D16">
        <f>723.5861*$D$7</f>
        <v>0</v>
      </c>
      <c r="E16">
        <f>1004.9325*$E$7</f>
        <v>0</v>
      </c>
      <c r="F16">
        <f>-15.9771*$F$7</f>
        <v>0</v>
      </c>
      <c r="G16">
        <f>69.0684*$G$7</f>
        <v>0</v>
      </c>
      <c r="H16">
        <f>0*$H$7</f>
        <v>0</v>
      </c>
      <c r="I16">
        <f>103.6208*$I$7</f>
        <v>0</v>
      </c>
      <c r="J16">
        <f>-120.1294*$J$7</f>
        <v>0</v>
      </c>
      <c r="K16">
        <f>160.1725*$K$7</f>
        <v>0</v>
      </c>
      <c r="L16">
        <f>0.0355*$L$7</f>
        <v>0</v>
      </c>
      <c r="M16">
        <f>0+D16+E16+G16+H16+I16+J16+K16+L16</f>
        <v>0</v>
      </c>
      <c r="N16">
        <f>0+D16+F16+G16+H16+I16+J16+K16+L16</f>
        <v>0</v>
      </c>
    </row>
    <row r="17" spans="3:14">
      <c r="C17" t="s">
        <v>19</v>
      </c>
      <c r="D17">
        <f>695.373*$D$7</f>
        <v>0</v>
      </c>
      <c r="E17">
        <f>975.2647*$E$7</f>
        <v>0</v>
      </c>
      <c r="F17">
        <f>-15.5235*$F$7</f>
        <v>0</v>
      </c>
      <c r="G17">
        <f>66.9995*$G$7</f>
        <v>0</v>
      </c>
      <c r="H17">
        <f>0*$H$7</f>
        <v>0</v>
      </c>
      <c r="I17">
        <f>99.6184*$I$7</f>
        <v>0</v>
      </c>
      <c r="J17">
        <f>-114.7*$J$7</f>
        <v>0</v>
      </c>
      <c r="K17">
        <f>152.9334*$K$7</f>
        <v>0</v>
      </c>
      <c r="L17">
        <f>0.0362*$L$7</f>
        <v>0</v>
      </c>
      <c r="M17">
        <f>0+D17+E17+G17+H17+I17+J17+K17+L17</f>
        <v>0</v>
      </c>
      <c r="N17">
        <f>0+D17+F17+G17+H17+I17+J17+K17+L17</f>
        <v>0</v>
      </c>
    </row>
    <row r="18" spans="3:14">
      <c r="C18" t="s">
        <v>20</v>
      </c>
      <c r="D18">
        <f>839.6029*$D$7</f>
        <v>0</v>
      </c>
      <c r="E18">
        <f>1143.7844*$E$7</f>
        <v>0</v>
      </c>
      <c r="F18">
        <f>-18.1801*$F$7</f>
        <v>0</v>
      </c>
      <c r="G18">
        <f>80.6926*$G$7</f>
        <v>0</v>
      </c>
      <c r="H18">
        <f>0*$H$7</f>
        <v>0</v>
      </c>
      <c r="I18">
        <f>119.2563*$I$7</f>
        <v>0</v>
      </c>
      <c r="J18">
        <f>-171.5264*$J$7</f>
        <v>0</v>
      </c>
      <c r="K18">
        <f>228.7018*$K$7</f>
        <v>0</v>
      </c>
      <c r="L18">
        <f>0.0303*$L$7</f>
        <v>0</v>
      </c>
      <c r="M18">
        <f>0+D18+E18+G18+H18+I18+J18+K18+L18</f>
        <v>0</v>
      </c>
      <c r="N18">
        <f>0+D18+F18+G18+H18+I18+J18+K18+L18</f>
        <v>0</v>
      </c>
    </row>
    <row r="19" spans="3:14">
      <c r="C19" t="s">
        <v>20</v>
      </c>
      <c r="D19">
        <f>827.6342*$D$7</f>
        <v>0</v>
      </c>
      <c r="E19">
        <f>1127.4412*$E$7</f>
        <v>0</v>
      </c>
      <c r="F19">
        <f>-18.0107*$F$7</f>
        <v>0</v>
      </c>
      <c r="G19">
        <f>81.0379*$G$7</f>
        <v>0</v>
      </c>
      <c r="H19">
        <f>0*$H$7</f>
        <v>0</v>
      </c>
      <c r="I19">
        <f>117.4389*$I$7</f>
        <v>0</v>
      </c>
      <c r="J19">
        <f>-158.4873*$J$7</f>
        <v>0</v>
      </c>
      <c r="K19">
        <f>211.3163*$K$7</f>
        <v>0</v>
      </c>
      <c r="L19">
        <f>0.0309*$L$7</f>
        <v>0</v>
      </c>
      <c r="M19">
        <f>0+D19+E19+G19+H19+I19+J19+K19+L19</f>
        <v>0</v>
      </c>
      <c r="N19">
        <f>0+D19+F19+G19+H19+I19+J19+K19+L19</f>
        <v>0</v>
      </c>
    </row>
    <row r="20" spans="3:14">
      <c r="C20" t="s">
        <v>21</v>
      </c>
      <c r="D20">
        <f>937.6014*$D$7</f>
        <v>0</v>
      </c>
      <c r="E20">
        <f>1278.3738*$E$7</f>
        <v>0</v>
      </c>
      <c r="F20">
        <f>-20.5086*$F$7</f>
        <v>0</v>
      </c>
      <c r="G20">
        <f>87.6754*$G$7</f>
        <v>0</v>
      </c>
      <c r="H20">
        <f>0*$H$7</f>
        <v>0</v>
      </c>
      <c r="I20">
        <f>134.3213*$I$7</f>
        <v>0</v>
      </c>
      <c r="J20">
        <f>-153.2221*$J$7</f>
        <v>0</v>
      </c>
      <c r="K20">
        <f>204.2962*$K$7</f>
        <v>0</v>
      </c>
      <c r="L20">
        <f>0.0264*$L$7</f>
        <v>0</v>
      </c>
      <c r="M20">
        <f>0+D20+E20+G20+H20+I20+J20+K20+L20</f>
        <v>0</v>
      </c>
      <c r="N20">
        <f>0+D20+F20+G20+H20+I20+J20+K20+L20</f>
        <v>0</v>
      </c>
    </row>
    <row r="21" spans="3:14">
      <c r="C21" t="s">
        <v>21</v>
      </c>
      <c r="D21">
        <f>925.387*$D$7</f>
        <v>0</v>
      </c>
      <c r="E21">
        <f>1257.9464*$E$7</f>
        <v>0</v>
      </c>
      <c r="F21">
        <f>-20.3045*$F$7</f>
        <v>0</v>
      </c>
      <c r="G21">
        <f>86.7158*$G$7</f>
        <v>0</v>
      </c>
      <c r="H21">
        <f>0*$H$7</f>
        <v>0</v>
      </c>
      <c r="I21">
        <f>132.5226*$I$7</f>
        <v>0</v>
      </c>
      <c r="J21">
        <f>-149.9079*$J$7</f>
        <v>0</v>
      </c>
      <c r="K21">
        <f>199.8772*$K$7</f>
        <v>0</v>
      </c>
      <c r="L21">
        <f>0.0272*$L$7</f>
        <v>0</v>
      </c>
      <c r="M21">
        <f>0+D21+E21+G21+H21+I21+J21+K21+L21</f>
        <v>0</v>
      </c>
      <c r="N21">
        <f>0+D21+F21+G21+H21+I21+J21+K21+L21</f>
        <v>0</v>
      </c>
    </row>
    <row r="22" spans="3:14">
      <c r="C22" t="s">
        <v>22</v>
      </c>
      <c r="D22">
        <f>1010.7832*$D$7</f>
        <v>0</v>
      </c>
      <c r="E22">
        <f>1375.2944*$E$7</f>
        <v>0</v>
      </c>
      <c r="F22">
        <f>-22.7723*$F$7</f>
        <v>0</v>
      </c>
      <c r="G22">
        <f>92.729*$G$7</f>
        <v>0</v>
      </c>
      <c r="H22">
        <f>0*$H$7</f>
        <v>0</v>
      </c>
      <c r="I22">
        <f>145.3011*$I$7</f>
        <v>0</v>
      </c>
      <c r="J22">
        <f>-144.9406*$J$7</f>
        <v>0</v>
      </c>
      <c r="K22">
        <f>193.2541*$K$7</f>
        <v>0</v>
      </c>
      <c r="L22">
        <f>0.0228*$L$7</f>
        <v>0</v>
      </c>
      <c r="M22">
        <f>0+D22+E22+G22+H22+I22+J22+K22+L22</f>
        <v>0</v>
      </c>
      <c r="N22">
        <f>0+D22+F22+G22+H22+I22+J22+K22+L22</f>
        <v>0</v>
      </c>
    </row>
    <row r="23" spans="3:14">
      <c r="C23" t="s">
        <v>22</v>
      </c>
      <c r="D23">
        <f>997.2387*$D$7</f>
        <v>0</v>
      </c>
      <c r="E23">
        <f>1355.2597*$E$7</f>
        <v>0</v>
      </c>
      <c r="F23">
        <f>-22.4067*$F$7</f>
        <v>0</v>
      </c>
      <c r="G23">
        <f>91.6565*$G$7</f>
        <v>0</v>
      </c>
      <c r="H23">
        <f>0*$H$7</f>
        <v>0</v>
      </c>
      <c r="I23">
        <f>143.3192*$I$7</f>
        <v>0</v>
      </c>
      <c r="J23">
        <f>-143.4877*$J$7</f>
        <v>0</v>
      </c>
      <c r="K23">
        <f>191.3169*$K$7</f>
        <v>0</v>
      </c>
      <c r="L23">
        <f>0.0238*$L$7</f>
        <v>0</v>
      </c>
      <c r="M23">
        <f>0+D23+E23+G23+H23+I23+J23+K23+L23</f>
        <v>0</v>
      </c>
      <c r="N23">
        <f>0+D23+F23+G23+H23+I23+J23+K23+L23</f>
        <v>0</v>
      </c>
    </row>
    <row r="24" spans="3:14">
      <c r="C24" t="s">
        <v>23</v>
      </c>
      <c r="D24">
        <f>1057.9636*$D$7</f>
        <v>0</v>
      </c>
      <c r="E24">
        <f>1430.5406*$E$7</f>
        <v>0</v>
      </c>
      <c r="F24">
        <f>-24.8382*$F$7</f>
        <v>0</v>
      </c>
      <c r="G24">
        <f>97.5392*$G$7</f>
        <v>0</v>
      </c>
      <c r="H24">
        <f>0*$H$7</f>
        <v>0</v>
      </c>
      <c r="I24">
        <f>151.9688*$I$7</f>
        <v>0</v>
      </c>
      <c r="J24">
        <f>-144.7276*$J$7</f>
        <v>0</v>
      </c>
      <c r="K24">
        <f>192.9702*$K$7</f>
        <v>0</v>
      </c>
      <c r="L24">
        <f>0.0196*$L$7</f>
        <v>0</v>
      </c>
      <c r="M24">
        <f>0+D24+E24+G24+H24+I24+J24+K24+L24</f>
        <v>0</v>
      </c>
      <c r="N24">
        <f>0+D24+F24+G24+H24+I24+J24+K24+L24</f>
        <v>0</v>
      </c>
    </row>
    <row r="25" spans="3:14">
      <c r="C25" t="s">
        <v>23</v>
      </c>
      <c r="D25">
        <f>1053.8811*$D$7</f>
        <v>0</v>
      </c>
      <c r="E25">
        <f>1425.2671*$E$7</f>
        <v>0</v>
      </c>
      <c r="F25">
        <f>-24.6984*$F$7</f>
        <v>0</v>
      </c>
      <c r="G25">
        <f>97.2332*$G$7</f>
        <v>0</v>
      </c>
      <c r="H25">
        <f>0*$H$7</f>
        <v>0</v>
      </c>
      <c r="I25">
        <f>151.4208*$I$7</f>
        <v>0</v>
      </c>
      <c r="J25">
        <f>-144.396*$J$7</f>
        <v>0</v>
      </c>
      <c r="K25">
        <f>192.528*$K$7</f>
        <v>0</v>
      </c>
      <c r="L25">
        <f>0.0202*$L$7</f>
        <v>0</v>
      </c>
      <c r="M25">
        <f>0+D25+E25+G25+H25+I25+J25+K25+L25</f>
        <v>0</v>
      </c>
      <c r="N25">
        <f>0+D25+F25+G25+H25+I25+J25+K25+L25</f>
        <v>0</v>
      </c>
    </row>
    <row r="26" spans="3:14">
      <c r="C26" t="s">
        <v>24</v>
      </c>
      <c r="D26">
        <f>1090.1869*$D$7</f>
        <v>0</v>
      </c>
      <c r="E26">
        <f>1459.7368*$E$7</f>
        <v>0</v>
      </c>
      <c r="F26">
        <f>-27.1654*$F$7</f>
        <v>0</v>
      </c>
      <c r="G26">
        <f>102.9326*$G$7</f>
        <v>0</v>
      </c>
      <c r="H26">
        <f>0*$H$7</f>
        <v>0</v>
      </c>
      <c r="I26">
        <f>155.9652*$I$7</f>
        <v>0</v>
      </c>
      <c r="J26">
        <f>-152.5589*$J$7</f>
        <v>0</v>
      </c>
      <c r="K26">
        <f>203.4118*$K$7</f>
        <v>0</v>
      </c>
      <c r="L26">
        <f>0.0165*$L$7</f>
        <v>0</v>
      </c>
      <c r="M26">
        <f>0+D26+E26+G26+H26+I26+J26+K26+L26</f>
        <v>0</v>
      </c>
      <c r="N26">
        <f>0+D26+F26+G26+H26+I26+J26+K26+L26</f>
        <v>0</v>
      </c>
    </row>
    <row r="27" spans="3:14">
      <c r="C27" t="s">
        <v>24</v>
      </c>
      <c r="D27">
        <f>1086.2829*$D$7</f>
        <v>0</v>
      </c>
      <c r="E27">
        <f>1449.9119*$E$7</f>
        <v>0</v>
      </c>
      <c r="F27">
        <f>-27.002*$F$7</f>
        <v>0</v>
      </c>
      <c r="G27">
        <f>102.7161*$G$7</f>
        <v>0</v>
      </c>
      <c r="H27">
        <f>0*$H$7</f>
        <v>0</v>
      </c>
      <c r="I27">
        <f>155.4471*$I$7</f>
        <v>0</v>
      </c>
      <c r="J27">
        <f>-153.1907*$J$7</f>
        <v>0</v>
      </c>
      <c r="K27">
        <f>204.2542*$K$7</f>
        <v>0</v>
      </c>
      <c r="L27">
        <f>0.017*$L$7</f>
        <v>0</v>
      </c>
      <c r="M27">
        <f>0+D27+E27+G27+H27+I27+J27+K27+L27</f>
        <v>0</v>
      </c>
      <c r="N27">
        <f>0+D27+F27+G27+H27+I27+J27+K27+L27</f>
        <v>0</v>
      </c>
    </row>
    <row r="28" spans="3:14">
      <c r="C28" t="s">
        <v>25</v>
      </c>
      <c r="D28">
        <f>1098.456*$D$7</f>
        <v>0</v>
      </c>
      <c r="E28">
        <f>1446.2347*$E$7</f>
        <v>0</v>
      </c>
      <c r="F28">
        <f>-29.8151*$F$7</f>
        <v>0</v>
      </c>
      <c r="G28">
        <f>107.5483*$G$7</f>
        <v>0</v>
      </c>
      <c r="H28">
        <f>0*$H$7</f>
        <v>0</v>
      </c>
      <c r="I28">
        <f>155.9644*$I$7</f>
        <v>0</v>
      </c>
      <c r="J28">
        <f>-164.6221*$J$7</f>
        <v>0</v>
      </c>
      <c r="K28">
        <f>219.4961*$K$7</f>
        <v>0</v>
      </c>
      <c r="L28">
        <f>0.0138*$L$7</f>
        <v>0</v>
      </c>
      <c r="M28">
        <f>0+D28+E28+G28+H28+I28+J28+K28+L28</f>
        <v>0</v>
      </c>
      <c r="N28">
        <f>0+D28+F28+G28+H28+I28+J28+K28+L28</f>
        <v>0</v>
      </c>
    </row>
    <row r="29" spans="3:14">
      <c r="C29" t="s">
        <v>25</v>
      </c>
      <c r="D29">
        <f>1099.4614*$D$7</f>
        <v>0</v>
      </c>
      <c r="E29">
        <f>1450.3901*$E$7</f>
        <v>0</v>
      </c>
      <c r="F29">
        <f>-29.0137*$F$7</f>
        <v>0</v>
      </c>
      <c r="G29">
        <f>107.8631*$G$7</f>
        <v>0</v>
      </c>
      <c r="H29">
        <f>0*$H$7</f>
        <v>0</v>
      </c>
      <c r="I29">
        <f>156.0951*$I$7</f>
        <v>0</v>
      </c>
      <c r="J29">
        <f>-162.6564*$J$7</f>
        <v>0</v>
      </c>
      <c r="K29">
        <f>216.8753*$K$7</f>
        <v>0</v>
      </c>
      <c r="L29">
        <f>0.0141*$L$7</f>
        <v>0</v>
      </c>
      <c r="M29">
        <f>0+D29+E29+G29+H29+I29+J29+K29+L29</f>
        <v>0</v>
      </c>
      <c r="N29">
        <f>0+D29+F29+G29+H29+I29+J29+K29+L29</f>
        <v>0</v>
      </c>
    </row>
    <row r="30" spans="3:14">
      <c r="C30" t="s">
        <v>26</v>
      </c>
      <c r="D30">
        <f>1079.9101*$D$7</f>
        <v>0</v>
      </c>
      <c r="E30">
        <f>1447.6423*$E$7</f>
        <v>0</v>
      </c>
      <c r="F30">
        <f>-32.4208*$F$7</f>
        <v>0</v>
      </c>
      <c r="G30">
        <f>101.8798*$G$7</f>
        <v>0</v>
      </c>
      <c r="H30">
        <f>0*$H$7</f>
        <v>0</v>
      </c>
      <c r="I30">
        <f>154.5064*$I$7</f>
        <v>0</v>
      </c>
      <c r="J30">
        <f>-152.3897*$J$7</f>
        <v>0</v>
      </c>
      <c r="K30">
        <f>203.1862*$K$7</f>
        <v>0</v>
      </c>
      <c r="L30">
        <f>0.0137*$L$7</f>
        <v>0</v>
      </c>
      <c r="M30">
        <f>0+D30+E30+G30+H30+I30+J30+K30+L30</f>
        <v>0</v>
      </c>
      <c r="N30">
        <f>0+D30+F30+G30+H30+I30+J30+K30+L30</f>
        <v>0</v>
      </c>
    </row>
    <row r="31" spans="3:14">
      <c r="C31" t="s">
        <v>26</v>
      </c>
      <c r="D31">
        <f>1084.0095*$D$7</f>
        <v>0</v>
      </c>
      <c r="E31">
        <f>1456.922*$E$7</f>
        <v>0</v>
      </c>
      <c r="F31">
        <f>-32.103*$F$7</f>
        <v>0</v>
      </c>
      <c r="G31">
        <f>102.2449*$G$7</f>
        <v>0</v>
      </c>
      <c r="H31">
        <f>0*$H$7</f>
        <v>0</v>
      </c>
      <c r="I31">
        <f>155.0522*$I$7</f>
        <v>0</v>
      </c>
      <c r="J31">
        <f>-151.0849*$J$7</f>
        <v>0</v>
      </c>
      <c r="K31">
        <f>201.4465*$K$7</f>
        <v>0</v>
      </c>
      <c r="L31">
        <f>0.0138*$L$7</f>
        <v>0</v>
      </c>
      <c r="M31">
        <f>0+D31+E31+G31+H31+I31+J31+K31+L31</f>
        <v>0</v>
      </c>
      <c r="N31">
        <f>0+D31+F31+G31+H31+I31+J31+K31+L31</f>
        <v>0</v>
      </c>
    </row>
    <row r="32" spans="3:14">
      <c r="C32" t="s">
        <v>27</v>
      </c>
      <c r="D32">
        <f>1040.3994*$D$7</f>
        <v>0</v>
      </c>
      <c r="E32">
        <f>1416.9231*$E$7</f>
        <v>0</v>
      </c>
      <c r="F32">
        <f>-35.521*$F$7</f>
        <v>0</v>
      </c>
      <c r="G32">
        <f>95.3686*$G$7</f>
        <v>0</v>
      </c>
      <c r="H32">
        <f>0*$H$7</f>
        <v>0</v>
      </c>
      <c r="I32">
        <f>149.4487*$I$7</f>
        <v>0</v>
      </c>
      <c r="J32">
        <f>-144.3756*$J$7</f>
        <v>0</v>
      </c>
      <c r="K32">
        <f>192.5007*$K$7</f>
        <v>0</v>
      </c>
      <c r="L32">
        <f>0.0139*$L$7</f>
        <v>0</v>
      </c>
      <c r="M32">
        <f>0+D32+E32+G32+H32+I32+J32+K32+L32</f>
        <v>0</v>
      </c>
      <c r="N32">
        <f>0+D32+F32+G32+H32+I32+J32+K32+L32</f>
        <v>0</v>
      </c>
    </row>
    <row r="33" spans="3:14">
      <c r="C33" t="s">
        <v>27</v>
      </c>
      <c r="D33">
        <f>1044.7243*$D$7</f>
        <v>0</v>
      </c>
      <c r="E33">
        <f>1421.5535*$E$7</f>
        <v>0</v>
      </c>
      <c r="F33">
        <f>-35.1739*$F$7</f>
        <v>0</v>
      </c>
      <c r="G33">
        <f>95.8482*$G$7</f>
        <v>0</v>
      </c>
      <c r="H33">
        <f>0*$H$7</f>
        <v>0</v>
      </c>
      <c r="I33">
        <f>150.0293*$I$7</f>
        <v>0</v>
      </c>
      <c r="J33">
        <f>-143.8383*$J$7</f>
        <v>0</v>
      </c>
      <c r="K33">
        <f>191.7844*$K$7</f>
        <v>0</v>
      </c>
      <c r="L33">
        <f>0.0139*$L$7</f>
        <v>0</v>
      </c>
      <c r="M33">
        <f>0+D33+E33+G33+H33+I33+J33+K33+L33</f>
        <v>0</v>
      </c>
      <c r="N33">
        <f>0+D33+F33+G33+H33+I33+J33+K33+L33</f>
        <v>0</v>
      </c>
    </row>
    <row r="34" spans="3:14">
      <c r="C34" t="s">
        <v>28</v>
      </c>
      <c r="D34">
        <f>976.9015*$D$7</f>
        <v>0</v>
      </c>
      <c r="E34">
        <f>1340.861*$E$7</f>
        <v>0</v>
      </c>
      <c r="F34">
        <f>-38.5834*$F$7</f>
        <v>0</v>
      </c>
      <c r="G34">
        <f>88.7532*$G$7</f>
        <v>0</v>
      </c>
      <c r="H34">
        <f>0*$H$7</f>
        <v>0</v>
      </c>
      <c r="I34">
        <f>140.3524*$I$7</f>
        <v>0</v>
      </c>
      <c r="J34">
        <f>-144.5002*$J$7</f>
        <v>0</v>
      </c>
      <c r="K34">
        <f>192.667*$K$7</f>
        <v>0</v>
      </c>
      <c r="L34">
        <f>0.0147*$L$7</f>
        <v>0</v>
      </c>
      <c r="M34">
        <f>0+D34+E34+G34+H34+I34+J34+K34+L34</f>
        <v>0</v>
      </c>
      <c r="N34">
        <f>0+D34+F34+G34+H34+I34+J34+K34+L34</f>
        <v>0</v>
      </c>
    </row>
    <row r="35" spans="3:14">
      <c r="C35" t="s">
        <v>28</v>
      </c>
      <c r="D35">
        <f>991.3515*$D$7</f>
        <v>0</v>
      </c>
      <c r="E35">
        <f>1360.2687*$E$7</f>
        <v>0</v>
      </c>
      <c r="F35">
        <f>-37.8738*$F$7</f>
        <v>0</v>
      </c>
      <c r="G35">
        <f>90.1716*$G$7</f>
        <v>0</v>
      </c>
      <c r="H35">
        <f>0*$H$7</f>
        <v>0</v>
      </c>
      <c r="I35">
        <f>142.4586*$I$7</f>
        <v>0</v>
      </c>
      <c r="J35">
        <f>-144.3476*$J$7</f>
        <v>0</v>
      </c>
      <c r="K35">
        <f>192.4635*$K$7</f>
        <v>0</v>
      </c>
      <c r="L35">
        <f>0.0145*$L$7</f>
        <v>0</v>
      </c>
      <c r="M35">
        <f>0+D35+E35+G35+H35+I35+J35+K35+L35</f>
        <v>0</v>
      </c>
      <c r="N35">
        <f>0+D35+F35+G35+H35+I35+J35+K35+L35</f>
        <v>0</v>
      </c>
    </row>
    <row r="36" spans="3:14">
      <c r="C36" t="s">
        <v>29</v>
      </c>
      <c r="D36">
        <f>899.0906*$D$7</f>
        <v>0</v>
      </c>
      <c r="E36">
        <f>1242.3253*$E$7</f>
        <v>0</v>
      </c>
      <c r="F36">
        <f>-41.3219*$F$7</f>
        <v>0</v>
      </c>
      <c r="G36">
        <f>82.8669*$G$7</f>
        <v>0</v>
      </c>
      <c r="H36">
        <f>0*$H$7</f>
        <v>0</v>
      </c>
      <c r="I36">
        <f>128.6918*$I$7</f>
        <v>0</v>
      </c>
      <c r="J36">
        <f>-152.1446*$J$7</f>
        <v>0</v>
      </c>
      <c r="K36">
        <f>202.8595*$K$7</f>
        <v>0</v>
      </c>
      <c r="L36">
        <f>0.0162*$L$7</f>
        <v>0</v>
      </c>
      <c r="M36">
        <f>0+D36+E36+G36+H36+I36+J36+K36+L36</f>
        <v>0</v>
      </c>
      <c r="N36">
        <f>0+D36+F36+G36+H36+I36+J36+K36+L36</f>
        <v>0</v>
      </c>
    </row>
    <row r="37" spans="3:14">
      <c r="C37" t="s">
        <v>29</v>
      </c>
      <c r="D37">
        <f>911.8864*$D$7</f>
        <v>0</v>
      </c>
      <c r="E37">
        <f>1261.9188*$E$7</f>
        <v>0</v>
      </c>
      <c r="F37">
        <f>-40.7815*$F$7</f>
        <v>0</v>
      </c>
      <c r="G37">
        <f>84.1951*$G$7</f>
        <v>0</v>
      </c>
      <c r="H37">
        <f>0*$H$7</f>
        <v>0</v>
      </c>
      <c r="I37">
        <f>130.5592*$I$7</f>
        <v>0</v>
      </c>
      <c r="J37">
        <f>-153.0257*$J$7</f>
        <v>0</v>
      </c>
      <c r="K37">
        <f>204.0343*$K$7</f>
        <v>0</v>
      </c>
      <c r="L37">
        <f>0.016*$L$7</f>
        <v>0</v>
      </c>
      <c r="M37">
        <f>0+D37+E37+G37+H37+I37+J37+K37+L37</f>
        <v>0</v>
      </c>
      <c r="N37">
        <f>0+D37+F37+G37+H37+I37+J37+K37+L37</f>
        <v>0</v>
      </c>
    </row>
    <row r="38" spans="3:14">
      <c r="C38" t="s">
        <v>30</v>
      </c>
      <c r="D38">
        <f>795.0001*$D$7</f>
        <v>0</v>
      </c>
      <c r="E38">
        <f>1103.5722*$E$7</f>
        <v>0</v>
      </c>
      <c r="F38">
        <f>-44.5684*$F$7</f>
        <v>0</v>
      </c>
      <c r="G38">
        <f>76.054*$G$7</f>
        <v>0</v>
      </c>
      <c r="H38">
        <f>0*$H$7</f>
        <v>0</v>
      </c>
      <c r="I38">
        <f>112.6965*$I$7</f>
        <v>0</v>
      </c>
      <c r="J38">
        <f>-163.4288*$J$7</f>
        <v>0</v>
      </c>
      <c r="K38">
        <f>217.905*$K$7</f>
        <v>0</v>
      </c>
      <c r="L38">
        <f>0.0189*$L$7</f>
        <v>0</v>
      </c>
      <c r="M38">
        <f>0+D38+E38+G38+H38+I38+J38+K38+L38</f>
        <v>0</v>
      </c>
      <c r="N38">
        <f>0+D38+F38+G38+H38+I38+J38+K38+L38</f>
        <v>0</v>
      </c>
    </row>
    <row r="39" spans="3:14">
      <c r="C39" t="s">
        <v>30</v>
      </c>
      <c r="D39">
        <f>809.9027*$D$7</f>
        <v>0</v>
      </c>
      <c r="E39">
        <f>1122.1757*$E$7</f>
        <v>0</v>
      </c>
      <c r="F39">
        <f>-43.4841*$F$7</f>
        <v>0</v>
      </c>
      <c r="G39">
        <f>76.5803*$G$7</f>
        <v>0</v>
      </c>
      <c r="H39">
        <f>0*$H$7</f>
        <v>0</v>
      </c>
      <c r="I39">
        <f>114.8735*$I$7</f>
        <v>0</v>
      </c>
      <c r="J39">
        <f>-169.557*$J$7</f>
        <v>0</v>
      </c>
      <c r="K39">
        <f>226.076*$K$7</f>
        <v>0</v>
      </c>
      <c r="L39">
        <f>0.0207*$L$7</f>
        <v>0</v>
      </c>
      <c r="M39">
        <f>0+D39+E39+G39+H39+I39+J39+K39+L39</f>
        <v>0</v>
      </c>
      <c r="N39">
        <f>0+D39+F39+G39+H39+I39+J39+K39+L39</f>
        <v>0</v>
      </c>
    </row>
    <row r="40" spans="3:14">
      <c r="C40" t="s">
        <v>31</v>
      </c>
      <c r="D40">
        <f>665.2872*$D$7</f>
        <v>0</v>
      </c>
      <c r="E40">
        <f>958.4768*$E$7</f>
        <v>0</v>
      </c>
      <c r="F40">
        <f>-49.7197*$F$7</f>
        <v>0</v>
      </c>
      <c r="G40">
        <f>60.0446*$G$7</f>
        <v>0</v>
      </c>
      <c r="H40">
        <f>0*$H$7</f>
        <v>0</v>
      </c>
      <c r="I40">
        <f>95.3371*$I$7</f>
        <v>0</v>
      </c>
      <c r="J40">
        <f>-147.2717*$J$7</f>
        <v>0</v>
      </c>
      <c r="K40">
        <f>196.3623*$K$7</f>
        <v>0</v>
      </c>
      <c r="L40">
        <f>0.0194*$L$7</f>
        <v>0</v>
      </c>
      <c r="M40">
        <f>0+D40+E40+G40+H40+I40+J40+K40+L40</f>
        <v>0</v>
      </c>
      <c r="N40">
        <f>0+D40+F40+G40+H40+I40+J40+K40+L40</f>
        <v>0</v>
      </c>
    </row>
    <row r="41" spans="3:14">
      <c r="C41" t="s">
        <v>31</v>
      </c>
      <c r="D41">
        <f>694.1488*$D$7</f>
        <v>0</v>
      </c>
      <c r="E41">
        <f>993.2522*$E$7</f>
        <v>0</v>
      </c>
      <c r="F41">
        <f>-49.2529*$F$7</f>
        <v>0</v>
      </c>
      <c r="G41">
        <f>62.73*$G$7</f>
        <v>0</v>
      </c>
      <c r="H41">
        <f>0*$H$7</f>
        <v>0</v>
      </c>
      <c r="I41">
        <f>99.3919*$I$7</f>
        <v>0</v>
      </c>
      <c r="J41">
        <f>-148.3224*$J$7</f>
        <v>0</v>
      </c>
      <c r="K41">
        <f>197.7632*$K$7</f>
        <v>0</v>
      </c>
      <c r="L41">
        <f>0.0198*$L$7</f>
        <v>0</v>
      </c>
      <c r="M41">
        <f>0+D41+E41+G41+H41+I41+J41+K41+L41</f>
        <v>0</v>
      </c>
      <c r="N41">
        <f>0+D41+F41+G41+H41+I41+J41+K41+L41</f>
        <v>0</v>
      </c>
    </row>
    <row r="42" spans="3:14">
      <c r="C42" t="s">
        <v>32</v>
      </c>
      <c r="D42">
        <f>534.2339*$D$7</f>
        <v>0</v>
      </c>
      <c r="E42">
        <f>797.675*$E$7</f>
        <v>0</v>
      </c>
      <c r="F42">
        <f>-56.7306*$F$7</f>
        <v>0</v>
      </c>
      <c r="G42">
        <f>46.0237*$G$7</f>
        <v>0</v>
      </c>
      <c r="H42">
        <f>0*$H$7</f>
        <v>0</v>
      </c>
      <c r="I42">
        <f>77.2072*$I$7</f>
        <v>0</v>
      </c>
      <c r="J42">
        <f>-119.0795*$J$7</f>
        <v>0</v>
      </c>
      <c r="K42">
        <f>158.7727*$K$7</f>
        <v>0</v>
      </c>
      <c r="L42">
        <f>0.0178*$L$7</f>
        <v>0</v>
      </c>
      <c r="M42">
        <f>0+D42+E42+G42+H42+I42+J42+K42+L42</f>
        <v>0</v>
      </c>
      <c r="N42">
        <f>0+D42+F42+G42+H42+I42+J42+K42+L42</f>
        <v>0</v>
      </c>
    </row>
    <row r="43" spans="3:14">
      <c r="C43" t="s">
        <v>32</v>
      </c>
      <c r="D43">
        <f>555.0086*$D$7</f>
        <v>0</v>
      </c>
      <c r="E43">
        <f>824.6937*$E$7</f>
        <v>0</v>
      </c>
      <c r="F43">
        <f>-56.5922*$F$7</f>
        <v>0</v>
      </c>
      <c r="G43">
        <f>47.7737*$G$7</f>
        <v>0</v>
      </c>
      <c r="H43">
        <f>0*$H$7</f>
        <v>0</v>
      </c>
      <c r="I43">
        <f>80.1644*$I$7</f>
        <v>0</v>
      </c>
      <c r="J43">
        <f>-121.8502*$J$7</f>
        <v>0</v>
      </c>
      <c r="K43">
        <f>162.4669*$K$7</f>
        <v>0</v>
      </c>
      <c r="L43">
        <f>0.0187*$L$7</f>
        <v>0</v>
      </c>
      <c r="M43">
        <f>0+D43+E43+G43+H43+I43+J43+K43+L43</f>
        <v>0</v>
      </c>
      <c r="N43">
        <f>0+D43+F43+G43+H43+I43+J43+K43+L43</f>
        <v>0</v>
      </c>
    </row>
    <row r="44" spans="3:14">
      <c r="C44" t="s">
        <v>33</v>
      </c>
      <c r="D44">
        <f>372.6809*$D$7</f>
        <v>0</v>
      </c>
      <c r="E44">
        <f>584.3151*$E$7</f>
        <v>0</v>
      </c>
      <c r="F44">
        <f>-64.7367*$F$7</f>
        <v>0</v>
      </c>
      <c r="G44">
        <f>30.8825*$G$7</f>
        <v>0</v>
      </c>
      <c r="H44">
        <f>0*$H$7</f>
        <v>0</v>
      </c>
      <c r="I44">
        <f>54.2694*$I$7</f>
        <v>0</v>
      </c>
      <c r="J44">
        <f>-94.9189*$J$7</f>
        <v>0</v>
      </c>
      <c r="K44">
        <f>126.5586*$K$7</f>
        <v>0</v>
      </c>
      <c r="L44">
        <f>0.0139*$L$7</f>
        <v>0</v>
      </c>
      <c r="M44">
        <f>0+D44+E44+G44+H44+I44+J44+K44+L44</f>
        <v>0</v>
      </c>
      <c r="N44">
        <f>0+D44+F44+G44+H44+I44+J44+K44+L44</f>
        <v>0</v>
      </c>
    </row>
    <row r="45" spans="3:14">
      <c r="C45" t="s">
        <v>33</v>
      </c>
      <c r="D45">
        <f>388.381*$D$7</f>
        <v>0</v>
      </c>
      <c r="E45">
        <f>602.0113*$E$7</f>
        <v>0</v>
      </c>
      <c r="F45">
        <f>-64.7482*$F$7</f>
        <v>0</v>
      </c>
      <c r="G45">
        <f>32.2762*$G$7</f>
        <v>0</v>
      </c>
      <c r="H45">
        <f>0*$H$7</f>
        <v>0</v>
      </c>
      <c r="I45">
        <f>56.5027*$I$7</f>
        <v>0</v>
      </c>
      <c r="J45">
        <f>-99.1774*$J$7</f>
        <v>0</v>
      </c>
      <c r="K45">
        <f>132.2365*$K$7</f>
        <v>0</v>
      </c>
      <c r="L45">
        <f>0.0148*$L$7</f>
        <v>0</v>
      </c>
      <c r="M45">
        <f>0+D45+E45+G45+H45+I45+J45+K45+L45</f>
        <v>0</v>
      </c>
      <c r="N45">
        <f>0+D45+F45+G45+H45+I45+J45+K45+L45</f>
        <v>0</v>
      </c>
    </row>
    <row r="46" spans="3:14">
      <c r="C46" t="s">
        <v>34</v>
      </c>
      <c r="D46">
        <f>181.6866*$D$7</f>
        <v>0</v>
      </c>
      <c r="E46">
        <f>309.0747*$E$7</f>
        <v>0</v>
      </c>
      <c r="F46">
        <f>-73.8755*$F$7</f>
        <v>0</v>
      </c>
      <c r="G46">
        <f>15.2414*$G$7</f>
        <v>0</v>
      </c>
      <c r="H46">
        <f>0*$H$7</f>
        <v>0</v>
      </c>
      <c r="I46">
        <f>26.6089*$I$7</f>
        <v>0</v>
      </c>
      <c r="J46">
        <f>-73.9914*$J$7</f>
        <v>0</v>
      </c>
      <c r="K46">
        <f>98.6552*$K$7</f>
        <v>0</v>
      </c>
      <c r="L46">
        <f>0.0042*$L$7</f>
        <v>0</v>
      </c>
      <c r="M46">
        <f>0+D46+E46+G46+H46+I46+J46+K46+L46</f>
        <v>0</v>
      </c>
      <c r="N46">
        <f>0+D46+F46+G46+H46+I46+J46+K46+L46</f>
        <v>0</v>
      </c>
    </row>
    <row r="47" spans="3:14">
      <c r="C47" t="s">
        <v>34</v>
      </c>
      <c r="D47">
        <f>211.8402*$D$7</f>
        <v>0</v>
      </c>
      <c r="E47">
        <f>345.3217*$E$7</f>
        <v>0</v>
      </c>
      <c r="F47">
        <f>-75.0928*$F$7</f>
        <v>0</v>
      </c>
      <c r="G47">
        <f>17.8379*$G$7</f>
        <v>0</v>
      </c>
      <c r="H47">
        <f>0*$H$7</f>
        <v>0</v>
      </c>
      <c r="I47">
        <f>30.963*$I$7</f>
        <v>0</v>
      </c>
      <c r="J47">
        <f>-81.7569*$J$7</f>
        <v>0</v>
      </c>
      <c r="K47">
        <f>109.0093*$K$7</f>
        <v>0</v>
      </c>
      <c r="L47">
        <f>0.0064*$L$7</f>
        <v>0</v>
      </c>
      <c r="M47">
        <f>0+D47+E47+G47+H47+I47+J47+K47+L47</f>
        <v>0</v>
      </c>
      <c r="N47">
        <f>0+D47+F47+G47+H47+I47+J47+K47+L47</f>
        <v>0</v>
      </c>
    </row>
    <row r="48" spans="3:14">
      <c r="C48" t="s">
        <v>35</v>
      </c>
      <c r="D48">
        <f>-22.6779*$D$7</f>
        <v>0</v>
      </c>
      <c r="E48">
        <f>8.905*$E$7</f>
        <v>0</v>
      </c>
      <c r="F48">
        <f>-110.4428*$F$7</f>
        <v>0</v>
      </c>
      <c r="G48">
        <f>0.4277*$G$7</f>
        <v>0</v>
      </c>
      <c r="H48">
        <f>0*$H$7</f>
        <v>0</v>
      </c>
      <c r="I48">
        <f>-3.3915*$I$7</f>
        <v>0</v>
      </c>
      <c r="J48">
        <f>-49.4101*$J$7</f>
        <v>0</v>
      </c>
      <c r="K48">
        <f>65.8801*$K$7</f>
        <v>0</v>
      </c>
      <c r="L48">
        <f>-0.0157*$L$7</f>
        <v>0</v>
      </c>
      <c r="M48">
        <f>0+D48+E48+G48+H48+I48+J48+K48+L48</f>
        <v>0</v>
      </c>
      <c r="N48">
        <f>0+D48+F48+G48+H48+I48+J48+K48+L48</f>
        <v>0</v>
      </c>
    </row>
    <row r="49" spans="3:14">
      <c r="C49" t="s">
        <v>35</v>
      </c>
      <c r="D49">
        <f>-16.8484*$D$7</f>
        <v>0</v>
      </c>
      <c r="E49">
        <f>3.5916*$E$7</f>
        <v>0</v>
      </c>
      <c r="F49">
        <f>-101.1527*$F$7</f>
        <v>0</v>
      </c>
      <c r="G49">
        <f>-0.5482*$G$7</f>
        <v>0</v>
      </c>
      <c r="H49">
        <f>0*$H$7</f>
        <v>0</v>
      </c>
      <c r="I49">
        <f>-2.4941*$I$7</f>
        <v>0</v>
      </c>
      <c r="J49">
        <f>-60.1566*$J$7</f>
        <v>0</v>
      </c>
      <c r="K49">
        <f>80.2089*$K$7</f>
        <v>0</v>
      </c>
      <c r="L49">
        <f>-0.0092*$L$7</f>
        <v>0</v>
      </c>
      <c r="M49">
        <f>0+D49+E49+G49+H49+I49+J49+K49+L49</f>
        <v>0</v>
      </c>
      <c r="N49">
        <f>0+D49+F49+G49+H49+I49+J49+K49+L49</f>
        <v>0</v>
      </c>
    </row>
    <row r="50" spans="3:14">
      <c r="C50" t="s">
        <v>36</v>
      </c>
      <c r="D50">
        <f>-8.5964*$D$7</f>
        <v>0</v>
      </c>
      <c r="E50">
        <f>4.3125*$E$7</f>
        <v>0</v>
      </c>
      <c r="F50">
        <f>-12.6058*$F$7</f>
        <v>0</v>
      </c>
      <c r="G50">
        <f>-0.8332*$G$7</f>
        <v>0</v>
      </c>
      <c r="H50">
        <f>0*$H$7</f>
        <v>0</v>
      </c>
      <c r="I50">
        <f>-1.2441*$I$7</f>
        <v>0</v>
      </c>
      <c r="J50">
        <f>-65.866*$J$7</f>
        <v>0</v>
      </c>
      <c r="K50">
        <f>87.8214*$K$7</f>
        <v>0</v>
      </c>
      <c r="L50">
        <f>-0.0001237*$L$7</f>
        <v>0</v>
      </c>
      <c r="M50">
        <f>0+D50+E50+G50+H50+I50+J50+K50+L50</f>
        <v>0</v>
      </c>
      <c r="N50">
        <f>0+D50+F50+G50+H50+I50+J50+K50+L50</f>
        <v>0</v>
      </c>
    </row>
    <row r="51" spans="3:14">
      <c r="C51" t="s">
        <v>36</v>
      </c>
      <c r="D51">
        <f>-7.3093*$D$7</f>
        <v>0</v>
      </c>
      <c r="E51">
        <f>1.494*$E$7</f>
        <v>0</v>
      </c>
      <c r="F51">
        <f>-11.886*$F$7</f>
        <v>0</v>
      </c>
      <c r="G51">
        <f>-0.9484*$G$7</f>
        <v>0</v>
      </c>
      <c r="H51">
        <f>0*$H$7</f>
        <v>0</v>
      </c>
      <c r="I51">
        <f>-1.0505*$I$7</f>
        <v>0</v>
      </c>
      <c r="J51">
        <f>-67.5487*$J$7</f>
        <v>0</v>
      </c>
      <c r="K51">
        <f>90.065*$K$7</f>
        <v>0</v>
      </c>
      <c r="L51">
        <f>-0.1302*$L$7</f>
        <v>0</v>
      </c>
      <c r="M51">
        <f>0+D51+E51+G51+H51+I51+J51+K51+L51</f>
        <v>0</v>
      </c>
      <c r="N51">
        <f>0+D51+F51+G51+H51+I51+J51+K51+L51</f>
        <v>0</v>
      </c>
    </row>
    <row r="52" spans="3:14">
      <c r="C52" t="s">
        <v>37</v>
      </c>
      <c r="D52">
        <f>-15.1742*$D$7</f>
        <v>0</v>
      </c>
      <c r="E52">
        <f>3.1186*$E$7</f>
        <v>0</v>
      </c>
      <c r="F52">
        <f>-19.1871*$F$7</f>
        <v>0</v>
      </c>
      <c r="G52">
        <f>-0.7093*$G$7</f>
        <v>0</v>
      </c>
      <c r="H52">
        <f>0*$H$7</f>
        <v>0</v>
      </c>
      <c r="I52">
        <f>-2.2418*$I$7</f>
        <v>0</v>
      </c>
      <c r="J52">
        <f>-62.4165*$J$7</f>
        <v>0</v>
      </c>
      <c r="K52">
        <f>83.222*$K$7</f>
        <v>0</v>
      </c>
      <c r="L52">
        <f>-0.0669*$L$7</f>
        <v>0</v>
      </c>
      <c r="M52">
        <f>0+D52+E52+G52+H52+I52+J52+K52+L52</f>
        <v>0</v>
      </c>
      <c r="N52">
        <f>0+D52+F52+G52+H52+I52+J52+K52+L52</f>
        <v>0</v>
      </c>
    </row>
    <row r="53" spans="3:14">
      <c r="C53" t="s">
        <v>37</v>
      </c>
      <c r="D53">
        <f>-40.4918*$D$7</f>
        <v>0</v>
      </c>
      <c r="E53">
        <f>70.6534*$E$7</f>
        <v>0</v>
      </c>
      <c r="F53">
        <f>-115.7441*$F$7</f>
        <v>0</v>
      </c>
      <c r="G53">
        <f>2.6015*$G$7</f>
        <v>0</v>
      </c>
      <c r="H53">
        <f>0*$H$7</f>
        <v>0</v>
      </c>
      <c r="I53">
        <f>-6.0873*$I$7</f>
        <v>0</v>
      </c>
      <c r="J53">
        <f>-22.4576*$J$7</f>
        <v>0</v>
      </c>
      <c r="K53">
        <f>29.9434*$K$7</f>
        <v>0</v>
      </c>
      <c r="L53">
        <f>2.0184*$L$7</f>
        <v>0</v>
      </c>
      <c r="M53">
        <f>0+D53+E53+G53+H53+I53+J53+K53+L53</f>
        <v>0</v>
      </c>
      <c r="N53">
        <f>0+D53+F53+G53+H53+I53+J53+K53+L53</f>
        <v>0</v>
      </c>
    </row>
    <row r="54" spans="3:14">
      <c r="C54" t="s">
        <v>38</v>
      </c>
      <c r="D54">
        <f>193.3595*$D$7</f>
        <v>0</v>
      </c>
      <c r="E54">
        <f>330.869*$E$7</f>
        <v>0</v>
      </c>
      <c r="F54">
        <f>-18.6798*$F$7</f>
        <v>0</v>
      </c>
      <c r="G54">
        <f>19.0139*$G$7</f>
        <v>0</v>
      </c>
      <c r="H54">
        <f>0*$H$7</f>
        <v>0</v>
      </c>
      <c r="I54">
        <f>28.1986*$I$7</f>
        <v>0</v>
      </c>
      <c r="J54">
        <f>-60.7907*$J$7</f>
        <v>0</v>
      </c>
      <c r="K54">
        <f>81.0543*$K$7</f>
        <v>0</v>
      </c>
      <c r="L54">
        <f>1.6924*$L$7</f>
        <v>0</v>
      </c>
      <c r="M54">
        <f>0+D54+E54+G54+H54+I54+J54+K54+L54</f>
        <v>0</v>
      </c>
      <c r="N54">
        <f>0+D54+F54+G54+H54+I54+J54+K54+L54</f>
        <v>0</v>
      </c>
    </row>
    <row r="55" spans="3:14">
      <c r="C55" t="s">
        <v>38</v>
      </c>
      <c r="D55">
        <f>163.9614*$D$7</f>
        <v>0</v>
      </c>
      <c r="E55">
        <f>297.2637*$E$7</f>
        <v>0</v>
      </c>
      <c r="F55">
        <f>-19.8401*$F$7</f>
        <v>0</v>
      </c>
      <c r="G55">
        <f>16.4636*$G$7</f>
        <v>0</v>
      </c>
      <c r="H55">
        <f>0*$H$7</f>
        <v>0</v>
      </c>
      <c r="I55">
        <f>23.9552*$I$7</f>
        <v>0</v>
      </c>
      <c r="J55">
        <f>-53.3087*$J$7</f>
        <v>0</v>
      </c>
      <c r="K55">
        <f>71.0782*$K$7</f>
        <v>0</v>
      </c>
      <c r="L55">
        <f>1.6446*$L$7</f>
        <v>0</v>
      </c>
      <c r="M55">
        <f>0+D55+E55+G55+H55+I55+J55+K55+L55</f>
        <v>0</v>
      </c>
      <c r="N55">
        <f>0+D55+F55+G55+H55+I55+J55+K55+L55</f>
        <v>0</v>
      </c>
    </row>
    <row r="56" spans="3:14">
      <c r="C56" t="s">
        <v>39</v>
      </c>
      <c r="D56">
        <f>369.4226*$D$7</f>
        <v>0</v>
      </c>
      <c r="E56">
        <f>581.6677*$E$7</f>
        <v>0</v>
      </c>
      <c r="F56">
        <f>-14.3128*$F$7</f>
        <v>0</v>
      </c>
      <c r="G56">
        <f>32.5808*$G$7</f>
        <v>0</v>
      </c>
      <c r="H56">
        <f>0*$H$7</f>
        <v>0</v>
      </c>
      <c r="I56">
        <f>53.6943*$I$7</f>
        <v>0</v>
      </c>
      <c r="J56">
        <f>-83.5397*$J$7</f>
        <v>0</v>
      </c>
      <c r="K56">
        <f>111.3862*$K$7</f>
        <v>0</v>
      </c>
      <c r="L56">
        <f>1.4523*$L$7</f>
        <v>0</v>
      </c>
      <c r="M56">
        <f>0+D56+E56+G56+H56+I56+J56+K56+L56</f>
        <v>0</v>
      </c>
      <c r="N56">
        <f>0+D56+F56+G56+H56+I56+J56+K56+L56</f>
        <v>0</v>
      </c>
    </row>
    <row r="57" spans="3:14">
      <c r="C57" t="s">
        <v>39</v>
      </c>
      <c r="D57">
        <f>353.8518*$D$7</f>
        <v>0</v>
      </c>
      <c r="E57">
        <f>563.7473*$E$7</f>
        <v>0</v>
      </c>
      <c r="F57">
        <f>-14.3324*$F$7</f>
        <v>0</v>
      </c>
      <c r="G57">
        <f>31.2451*$G$7</f>
        <v>0</v>
      </c>
      <c r="H57">
        <f>0*$H$7</f>
        <v>0</v>
      </c>
      <c r="I57">
        <f>51.4791*$I$7</f>
        <v>0</v>
      </c>
      <c r="J57">
        <f>-79.0486*$J$7</f>
        <v>0</v>
      </c>
      <c r="K57">
        <f>105.3981*$K$7</f>
        <v>0</v>
      </c>
      <c r="L57">
        <f>1.4335*$L$7</f>
        <v>0</v>
      </c>
      <c r="M57">
        <f>0+D57+E57+G57+H57+I57+J57+K57+L57</f>
        <v>0</v>
      </c>
      <c r="N57">
        <f>0+D57+F57+G57+H57+I57+J57+K57+L57</f>
        <v>0</v>
      </c>
    </row>
    <row r="58" spans="3:14">
      <c r="C58" t="s">
        <v>40</v>
      </c>
      <c r="D58">
        <f>534.4155*$D$7</f>
        <v>0</v>
      </c>
      <c r="E58">
        <f>806.6471*$E$7</f>
        <v>0</v>
      </c>
      <c r="F58">
        <f>-15.2631*$F$7</f>
        <v>0</v>
      </c>
      <c r="G58">
        <f>47.2969*$G$7</f>
        <v>0</v>
      </c>
      <c r="H58">
        <f>0*$H$7</f>
        <v>0</v>
      </c>
      <c r="I58">
        <f>77.1383*$I$7</f>
        <v>0</v>
      </c>
      <c r="J58">
        <f>-110.1059*$J$7</f>
        <v>0</v>
      </c>
      <c r="K58">
        <f>146.8079*$K$7</f>
        <v>0</v>
      </c>
      <c r="L58">
        <f>1.3355*$L$7</f>
        <v>0</v>
      </c>
      <c r="M58">
        <f>0+D58+E58+G58+H58+I58+J58+K58+L58</f>
        <v>0</v>
      </c>
      <c r="N58">
        <f>0+D58+F58+G58+H58+I58+J58+K58+L58</f>
        <v>0</v>
      </c>
    </row>
    <row r="59" spans="3:14">
      <c r="C59" t="s">
        <v>40</v>
      </c>
      <c r="D59">
        <f>513.7762*$D$7</f>
        <v>0</v>
      </c>
      <c r="E59">
        <f>779.0123*$E$7</f>
        <v>0</v>
      </c>
      <c r="F59">
        <f>-15.2419*$F$7</f>
        <v>0</v>
      </c>
      <c r="G59">
        <f>45.6346*$G$7</f>
        <v>0</v>
      </c>
      <c r="H59">
        <f>0*$H$7</f>
        <v>0</v>
      </c>
      <c r="I59">
        <f>74.1995*$I$7</f>
        <v>0</v>
      </c>
      <c r="J59">
        <f>-106.9316*$J$7</f>
        <v>0</v>
      </c>
      <c r="K59">
        <f>142.5754*$K$7</f>
        <v>0</v>
      </c>
      <c r="L59">
        <f>1.3096*$L$7</f>
        <v>0</v>
      </c>
      <c r="M59">
        <f>0+D59+E59+G59+H59+I59+J59+K59+L59</f>
        <v>0</v>
      </c>
      <c r="N59">
        <f>0+D59+F59+G59+H59+I59+J59+K59+L59</f>
        <v>0</v>
      </c>
    </row>
    <row r="60" spans="3:14">
      <c r="C60" t="s">
        <v>41</v>
      </c>
      <c r="D60">
        <f>671.5355*$D$7</f>
        <v>0</v>
      </c>
      <c r="E60">
        <f>977.0185*$E$7</f>
        <v>0</v>
      </c>
      <c r="F60">
        <f>-15.7338*$F$7</f>
        <v>0</v>
      </c>
      <c r="G60">
        <f>61.5627*$G$7</f>
        <v>0</v>
      </c>
      <c r="H60">
        <f>0*$H$7</f>
        <v>0</v>
      </c>
      <c r="I60">
        <f>96.0881*$I$7</f>
        <v>0</v>
      </c>
      <c r="J60">
        <f>-139.5756*$J$7</f>
        <v>0</v>
      </c>
      <c r="K60">
        <f>186.1007*$K$7</f>
        <v>0</v>
      </c>
      <c r="L60">
        <f>1.2853*$L$7</f>
        <v>0</v>
      </c>
      <c r="M60">
        <f>0+D60+E60+G60+H60+I60+J60+K60+L60</f>
        <v>0</v>
      </c>
      <c r="N60">
        <f>0+D60+F60+G60+H60+I60+J60+K60+L60</f>
        <v>0</v>
      </c>
    </row>
    <row r="61" spans="3:14">
      <c r="C61" t="s">
        <v>41</v>
      </c>
      <c r="D61">
        <f>643.1181*$D$7</f>
        <v>0</v>
      </c>
      <c r="E61">
        <f>941.7316*$E$7</f>
        <v>0</v>
      </c>
      <c r="F61">
        <f>-15.5398*$F$7</f>
        <v>0</v>
      </c>
      <c r="G61">
        <f>58.9991*$G$7</f>
        <v>0</v>
      </c>
      <c r="H61">
        <f>0*$H$7</f>
        <v>0</v>
      </c>
      <c r="I61">
        <f>92.0969*$I$7</f>
        <v>0</v>
      </c>
      <c r="J61">
        <f>-138.1624*$J$7</f>
        <v>0</v>
      </c>
      <c r="K61">
        <f>184.2166*$K$7</f>
        <v>0</v>
      </c>
      <c r="L61">
        <f>1.2246*$L$7</f>
        <v>0</v>
      </c>
      <c r="M61">
        <f>0+D61+E61+G61+H61+I61+J61+K61+L61</f>
        <v>0</v>
      </c>
      <c r="N61">
        <f>0+D61+F61+G61+H61+I61+J61+K61+L61</f>
        <v>0</v>
      </c>
    </row>
    <row r="62" spans="3:14">
      <c r="C62" t="s">
        <v>42</v>
      </c>
      <c r="D62">
        <f>785.065*$D$7</f>
        <v>0</v>
      </c>
      <c r="E62">
        <f>1106.3989*$E$7</f>
        <v>0</v>
      </c>
      <c r="F62">
        <f>-16.7639*$F$7</f>
        <v>0</v>
      </c>
      <c r="G62">
        <f>74.804*$G$7</f>
        <v>0</v>
      </c>
      <c r="H62">
        <f>0*$H$7</f>
        <v>0</v>
      </c>
      <c r="I62">
        <f>111.2588*$I$7</f>
        <v>0</v>
      </c>
      <c r="J62">
        <f>-163.0946*$J$7</f>
        <v>0</v>
      </c>
      <c r="K62">
        <f>217.4595*$K$7</f>
        <v>0</v>
      </c>
      <c r="L62">
        <f>1.2799*$L$7</f>
        <v>0</v>
      </c>
      <c r="M62">
        <f>0+D62+E62+G62+H62+I62+J62+K62+L62</f>
        <v>0</v>
      </c>
      <c r="N62">
        <f>0+D62+F62+G62+H62+I62+J62+K62+L62</f>
        <v>0</v>
      </c>
    </row>
    <row r="63" spans="3:14">
      <c r="C63" t="s">
        <v>42</v>
      </c>
      <c r="D63">
        <f>770.1363*$D$7</f>
        <v>0</v>
      </c>
      <c r="E63">
        <f>1087.0504*$E$7</f>
        <v>0</v>
      </c>
      <c r="F63">
        <f>-16.5227*$F$7</f>
        <v>0</v>
      </c>
      <c r="G63">
        <f>74.3853*$G$7</f>
        <v>0</v>
      </c>
      <c r="H63">
        <f>0*$H$7</f>
        <v>0</v>
      </c>
      <c r="I63">
        <f>109.0752*$I$7</f>
        <v>0</v>
      </c>
      <c r="J63">
        <f>-156.2602*$J$7</f>
        <v>0</v>
      </c>
      <c r="K63">
        <f>208.3469*$K$7</f>
        <v>0</v>
      </c>
      <c r="L63">
        <f>1.2661*$L$7</f>
        <v>0</v>
      </c>
      <c r="M63">
        <f>0+D63+E63+G63+H63+I63+J63+K63+L63</f>
        <v>0</v>
      </c>
      <c r="N63">
        <f>0+D63+F63+G63+H63+I63+J63+K63+L63</f>
        <v>0</v>
      </c>
    </row>
    <row r="64" spans="3:14">
      <c r="C64" t="s">
        <v>43</v>
      </c>
      <c r="D64">
        <f>882.9271*$D$7</f>
        <v>0</v>
      </c>
      <c r="E64">
        <f>1243.2937*$E$7</f>
        <v>0</v>
      </c>
      <c r="F64">
        <f>-18.2487*$F$7</f>
        <v>0</v>
      </c>
      <c r="G64">
        <f>81.9439*$G$7</f>
        <v>0</v>
      </c>
      <c r="H64">
        <f>0*$H$7</f>
        <v>0</v>
      </c>
      <c r="I64">
        <f>126.3436*$I$7</f>
        <v>0</v>
      </c>
      <c r="J64">
        <f>-146.1953*$J$7</f>
        <v>0</v>
      </c>
      <c r="K64">
        <f>194.927*$K$7</f>
        <v>0</v>
      </c>
      <c r="L64">
        <f>1.6161*$L$7</f>
        <v>0</v>
      </c>
      <c r="M64">
        <f>0+D64+E64+G64+H64+I64+J64+K64+L64</f>
        <v>0</v>
      </c>
      <c r="N64">
        <f>0+D64+F64+G64+H64+I64+J64+K64+L64</f>
        <v>0</v>
      </c>
    </row>
    <row r="65" spans="3:14">
      <c r="C65" t="s">
        <v>43</v>
      </c>
      <c r="D65">
        <f>870.3271*$D$7</f>
        <v>0</v>
      </c>
      <c r="E65">
        <f>1223.365*$E$7</f>
        <v>0</v>
      </c>
      <c r="F65">
        <f>-18.187*$F$7</f>
        <v>0</v>
      </c>
      <c r="G65">
        <f>80.6905*$G$7</f>
        <v>0</v>
      </c>
      <c r="H65">
        <f>0*$H$7</f>
        <v>0</v>
      </c>
      <c r="I65">
        <f>124.505*$I$7</f>
        <v>0</v>
      </c>
      <c r="J65">
        <f>-145.107*$J$7</f>
        <v>0</v>
      </c>
      <c r="K65">
        <f>193.476*$K$7</f>
        <v>0</v>
      </c>
      <c r="L65">
        <f>1.5414*$L$7</f>
        <v>0</v>
      </c>
      <c r="M65">
        <f>0+D65+E65+G65+H65+I65+J65+K65+L65</f>
        <v>0</v>
      </c>
      <c r="N65">
        <f>0+D65+F65+G65+H65+I65+J65+K65+L65</f>
        <v>0</v>
      </c>
    </row>
    <row r="66" spans="3:14">
      <c r="C66" t="s">
        <v>44</v>
      </c>
      <c r="D66">
        <f>958.3821*$D$7</f>
        <v>0</v>
      </c>
      <c r="E66">
        <f>1339.2116*$E$7</f>
        <v>0</v>
      </c>
      <c r="F66">
        <f>-20.4091*$F$7</f>
        <v>0</v>
      </c>
      <c r="G66">
        <f>87.4591*$G$7</f>
        <v>0</v>
      </c>
      <c r="H66">
        <f>0*$H$7</f>
        <v>0</v>
      </c>
      <c r="I66">
        <f>137.6578*$I$7</f>
        <v>0</v>
      </c>
      <c r="J66">
        <f>-137.1231*$J$7</f>
        <v>0</v>
      </c>
      <c r="K66">
        <f>182.8308*$K$7</f>
        <v>0</v>
      </c>
      <c r="L66">
        <f>1.9249*$L$7</f>
        <v>0</v>
      </c>
      <c r="M66">
        <f>0+D66+E66+G66+H66+I66+J66+K66+L66</f>
        <v>0</v>
      </c>
      <c r="N66">
        <f>0+D66+F66+G66+H66+I66+J66+K66+L66</f>
        <v>0</v>
      </c>
    </row>
    <row r="67" spans="3:14">
      <c r="C67" t="s">
        <v>44</v>
      </c>
      <c r="D67">
        <f>944.4631*$D$7</f>
        <v>0</v>
      </c>
      <c r="E67">
        <f>1319.8203*$E$7</f>
        <v>0</v>
      </c>
      <c r="F67">
        <f>-19.9636*$F$7</f>
        <v>0</v>
      </c>
      <c r="G67">
        <f>86.1454*$G$7</f>
        <v>0</v>
      </c>
      <c r="H67">
        <f>0*$H$7</f>
        <v>0</v>
      </c>
      <c r="I67">
        <f>135.6304*$I$7</f>
        <v>0</v>
      </c>
      <c r="J67">
        <f>-137.2032*$J$7</f>
        <v>0</v>
      </c>
      <c r="K67">
        <f>182.9376*$K$7</f>
        <v>0</v>
      </c>
      <c r="L67">
        <f>1.8028*$L$7</f>
        <v>0</v>
      </c>
      <c r="M67">
        <f>0+D67+E67+G67+H67+I67+J67+K67+L67</f>
        <v>0</v>
      </c>
      <c r="N67">
        <f>0+D67+F67+G67+H67+I67+J67+K67+L67</f>
        <v>0</v>
      </c>
    </row>
    <row r="68" spans="3:14">
      <c r="C68" t="s">
        <v>45</v>
      </c>
      <c r="D68">
        <f>1008.0814*$D$7</f>
        <v>0</v>
      </c>
      <c r="E68">
        <f>1397.6393*$E$7</f>
        <v>0</v>
      </c>
      <c r="F68">
        <f>-23.0716*$F$7</f>
        <v>0</v>
      </c>
      <c r="G68">
        <f>92.7437*$G$7</f>
        <v>0</v>
      </c>
      <c r="H68">
        <f>0*$H$7</f>
        <v>0</v>
      </c>
      <c r="I68">
        <f>144.6898*$I$7</f>
        <v>0</v>
      </c>
      <c r="J68">
        <f>-135.9173*$J$7</f>
        <v>0</v>
      </c>
      <c r="K68">
        <f>181.223*$K$7</f>
        <v>0</v>
      </c>
      <c r="L68">
        <f>2.2078*$L$7</f>
        <v>0</v>
      </c>
      <c r="M68">
        <f>0+D68+E68+G68+H68+I68+J68+K68+L68</f>
        <v>0</v>
      </c>
      <c r="N68">
        <f>0+D68+F68+G68+H68+I68+J68+K68+L68</f>
        <v>0</v>
      </c>
    </row>
    <row r="69" spans="3:14">
      <c r="C69" t="s">
        <v>45</v>
      </c>
      <c r="D69">
        <f>1003.9192*$D$7</f>
        <v>0</v>
      </c>
      <c r="E69">
        <f>1392.6971*$E$7</f>
        <v>0</v>
      </c>
      <c r="F69">
        <f>-22.7807*$F$7</f>
        <v>0</v>
      </c>
      <c r="G69">
        <f>92.3241*$G$7</f>
        <v>0</v>
      </c>
      <c r="H69">
        <f>0*$H$7</f>
        <v>0</v>
      </c>
      <c r="I69">
        <f>144.1338*$I$7</f>
        <v>0</v>
      </c>
      <c r="J69">
        <f>-136.3287*$J$7</f>
        <v>0</v>
      </c>
      <c r="K69">
        <f>181.7716*$K$7</f>
        <v>0</v>
      </c>
      <c r="L69">
        <f>2.1294*$L$7</f>
        <v>0</v>
      </c>
      <c r="M69">
        <f>0+D69+E69+G69+H69+I69+J69+K69+L69</f>
        <v>0</v>
      </c>
      <c r="N69">
        <f>0+D69+F69+G69+H69+I69+J69+K69+L69</f>
        <v>0</v>
      </c>
    </row>
    <row r="70" spans="3:14">
      <c r="C70" t="s">
        <v>46</v>
      </c>
      <c r="D70">
        <f>1043.4084*$D$7</f>
        <v>0</v>
      </c>
      <c r="E70">
        <f>1429.4967*$E$7</f>
        <v>0</v>
      </c>
      <c r="F70">
        <f>-26.0477*$F$7</f>
        <v>0</v>
      </c>
      <c r="G70">
        <f>98.7388*$G$7</f>
        <v>0</v>
      </c>
      <c r="H70">
        <f>0*$H$7</f>
        <v>0</v>
      </c>
      <c r="I70">
        <f>149.1281*$I$7</f>
        <v>0</v>
      </c>
      <c r="J70">
        <f>-142.0392*$J$7</f>
        <v>0</v>
      </c>
      <c r="K70">
        <f>189.3857*$K$7</f>
        <v>0</v>
      </c>
      <c r="L70">
        <f>2.5512*$L$7</f>
        <v>0</v>
      </c>
      <c r="M70">
        <f>0+D70+E70+G70+H70+I70+J70+K70+L70</f>
        <v>0</v>
      </c>
      <c r="N70">
        <f>0+D70+F70+G70+H70+I70+J70+K70+L70</f>
        <v>0</v>
      </c>
    </row>
    <row r="71" spans="3:14">
      <c r="C71" t="s">
        <v>46</v>
      </c>
      <c r="D71">
        <f>1039.473*$D$7</f>
        <v>0</v>
      </c>
      <c r="E71">
        <f>1420.0079*$E$7</f>
        <v>0</v>
      </c>
      <c r="F71">
        <f>-25.7436*$F$7</f>
        <v>0</v>
      </c>
      <c r="G71">
        <f>98.4429*$G$7</f>
        <v>0</v>
      </c>
      <c r="H71">
        <f>0*$H$7</f>
        <v>0</v>
      </c>
      <c r="I71">
        <f>148.6065*$I$7</f>
        <v>0</v>
      </c>
      <c r="J71">
        <f>-143.1284*$J$7</f>
        <v>0</v>
      </c>
      <c r="K71">
        <f>190.8379*$K$7</f>
        <v>0</v>
      </c>
      <c r="L71">
        <f>2.4839*$L$7</f>
        <v>0</v>
      </c>
      <c r="M71">
        <f>0+D71+E71+G71+H71+I71+J71+K71+L71</f>
        <v>0</v>
      </c>
      <c r="N71">
        <f>0+D71+F71+G71+H71+I71+J71+K71+L71</f>
        <v>0</v>
      </c>
    </row>
    <row r="72" spans="3:14">
      <c r="C72" t="s">
        <v>47</v>
      </c>
      <c r="D72">
        <f>1055.0569*$D$7</f>
        <v>0</v>
      </c>
      <c r="E72">
        <f>1418.4825*$E$7</f>
        <v>0</v>
      </c>
      <c r="F72">
        <f>-29.044*$F$7</f>
        <v>0</v>
      </c>
      <c r="G72">
        <f>103.9837*$G$7</f>
        <v>0</v>
      </c>
      <c r="H72">
        <f>0*$H$7</f>
        <v>0</v>
      </c>
      <c r="I72">
        <f>149.6058*$I$7</f>
        <v>0</v>
      </c>
      <c r="J72">
        <f>-152.2106*$J$7</f>
        <v>0</v>
      </c>
      <c r="K72">
        <f>202.9475*$K$7</f>
        <v>0</v>
      </c>
      <c r="L72">
        <f>2.9131*$L$7</f>
        <v>0</v>
      </c>
      <c r="M72">
        <f>0+D72+E72+G72+H72+I72+J72+K72+L72</f>
        <v>0</v>
      </c>
      <c r="N72">
        <f>0+D72+F72+G72+H72+I72+J72+K72+L72</f>
        <v>0</v>
      </c>
    </row>
    <row r="73" spans="3:14">
      <c r="C73" t="s">
        <v>47</v>
      </c>
      <c r="D73">
        <f>1054.8859*$D$7</f>
        <v>0</v>
      </c>
      <c r="E73">
        <f>1418.2726*$E$7</f>
        <v>0</v>
      </c>
      <c r="F73">
        <f>-28.1928*$F$7</f>
        <v>0</v>
      </c>
      <c r="G73">
        <f>104.0123*$G$7</f>
        <v>0</v>
      </c>
      <c r="H73">
        <f>0*$H$7</f>
        <v>0</v>
      </c>
      <c r="I73">
        <f>149.5795*$I$7</f>
        <v>0</v>
      </c>
      <c r="J73">
        <f>-151.893*$J$7</f>
        <v>0</v>
      </c>
      <c r="K73">
        <f>202.5241*$K$7</f>
        <v>0</v>
      </c>
      <c r="L73">
        <f>3.1123*$L$7</f>
        <v>0</v>
      </c>
      <c r="M73">
        <f>0+D73+E73+G73+H73+I73+J73+K73+L73</f>
        <v>0</v>
      </c>
      <c r="N73">
        <f>0+D73+F73+G73+H73+I73+J73+K73+L73</f>
        <v>0</v>
      </c>
    </row>
    <row r="74" spans="3:14">
      <c r="C74" t="s">
        <v>48</v>
      </c>
      <c r="D74">
        <f>1038.7532*$D$7</f>
        <v>0</v>
      </c>
      <c r="E74">
        <f>1420.128*$E$7</f>
        <v>0</v>
      </c>
      <c r="F74">
        <f>-31.753*$F$7</f>
        <v>0</v>
      </c>
      <c r="G74">
        <f>98.3028*$G$7</f>
        <v>0</v>
      </c>
      <c r="H74">
        <f>0*$H$7</f>
        <v>0</v>
      </c>
      <c r="I74">
        <f>148.5067*$I$7</f>
        <v>0</v>
      </c>
      <c r="J74">
        <f>-143.6193*$J$7</f>
        <v>0</v>
      </c>
      <c r="K74">
        <f>191.4924*$K$7</f>
        <v>0</v>
      </c>
      <c r="L74">
        <f>2.7316*$L$7</f>
        <v>0</v>
      </c>
      <c r="M74">
        <f>0+D74+E74+G74+H74+I74+J74+K74+L74</f>
        <v>0</v>
      </c>
      <c r="N74">
        <f>0+D74+F74+G74+H74+I74+J74+K74+L74</f>
        <v>0</v>
      </c>
    </row>
    <row r="75" spans="3:14">
      <c r="C75" t="s">
        <v>48</v>
      </c>
      <c r="D75">
        <f>1042.7636*$D$7</f>
        <v>0</v>
      </c>
      <c r="E75">
        <f>1429.4499*$E$7</f>
        <v>0</v>
      </c>
      <c r="F75">
        <f>-31.4167*$F$7</f>
        <v>0</v>
      </c>
      <c r="G75">
        <f>98.6377*$G$7</f>
        <v>0</v>
      </c>
      <c r="H75">
        <f>0*$H$7</f>
        <v>0</v>
      </c>
      <c r="I75">
        <f>149.0377*$I$7</f>
        <v>0</v>
      </c>
      <c r="J75">
        <f>-142.308*$J$7</f>
        <v>0</v>
      </c>
      <c r="K75">
        <f>189.744*$K$7</f>
        <v>0</v>
      </c>
      <c r="L75">
        <f>2.7572*$L$7</f>
        <v>0</v>
      </c>
      <c r="M75">
        <f>0+D75+E75+G75+H75+I75+J75+K75+L75</f>
        <v>0</v>
      </c>
      <c r="N75">
        <f>0+D75+F75+G75+H75+I75+J75+K75+L75</f>
        <v>0</v>
      </c>
    </row>
    <row r="76" spans="3:14">
      <c r="C76" t="s">
        <v>49</v>
      </c>
      <c r="D76">
        <f>1002.7475*$D$7</f>
        <v>0</v>
      </c>
      <c r="E76">
        <f>1393.3681*$E$7</f>
        <v>0</v>
      </c>
      <c r="F76">
        <f>-34.9788*$F$7</f>
        <v>0</v>
      </c>
      <c r="G76">
        <f>92.0483*$G$7</f>
        <v>0</v>
      </c>
      <c r="H76">
        <f>0*$H$7</f>
        <v>0</v>
      </c>
      <c r="I76">
        <f>143.9732*$I$7</f>
        <v>0</v>
      </c>
      <c r="J76">
        <f>-137.4639*$J$7</f>
        <v>0</v>
      </c>
      <c r="K76">
        <f>183.2852*$K$7</f>
        <v>0</v>
      </c>
      <c r="L76">
        <f>2.2617*$L$7</f>
        <v>0</v>
      </c>
      <c r="M76">
        <f>0+D76+E76+G76+H76+I76+J76+K76+L76</f>
        <v>0</v>
      </c>
      <c r="N76">
        <f>0+D76+F76+G76+H76+I76+J76+K76+L76</f>
        <v>0</v>
      </c>
    </row>
    <row r="77" spans="3:14">
      <c r="C77" t="s">
        <v>49</v>
      </c>
      <c r="D77">
        <f>1006.9589*$D$7</f>
        <v>0</v>
      </c>
      <c r="E77">
        <f>1398.1124*$E$7</f>
        <v>0</v>
      </c>
      <c r="F77">
        <f>-34.613*$F$7</f>
        <v>0</v>
      </c>
      <c r="G77">
        <f>92.5079*$G$7</f>
        <v>0</v>
      </c>
      <c r="H77">
        <f>0*$H$7</f>
        <v>0</v>
      </c>
      <c r="I77">
        <f>144.5348*$I$7</f>
        <v>0</v>
      </c>
      <c r="J77">
        <f>-136.8066*$J$7</f>
        <v>0</v>
      </c>
      <c r="K77">
        <f>182.4088*$K$7</f>
        <v>0</v>
      </c>
      <c r="L77">
        <f>2.3137*$L$7</f>
        <v>0</v>
      </c>
      <c r="M77">
        <f>0+D77+E77+G77+H77+I77+J77+K77+L77</f>
        <v>0</v>
      </c>
      <c r="N77">
        <f>0+D77+F77+G77+H77+I77+J77+K77+L77</f>
        <v>0</v>
      </c>
    </row>
    <row r="78" spans="3:14">
      <c r="C78" t="s">
        <v>50</v>
      </c>
      <c r="D78">
        <f>942.836*$D$7</f>
        <v>0</v>
      </c>
      <c r="E78">
        <f>1321.0617*$E$7</f>
        <v>0</v>
      </c>
      <c r="F78">
        <f>-38.1782*$F$7</f>
        <v>0</v>
      </c>
      <c r="G78">
        <f>85.7223*$G$7</f>
        <v>0</v>
      </c>
      <c r="H78">
        <f>0*$H$7</f>
        <v>0</v>
      </c>
      <c r="I78">
        <f>135.409*$I$7</f>
        <v>0</v>
      </c>
      <c r="J78">
        <f>-139.0626*$J$7</f>
        <v>0</v>
      </c>
      <c r="K78">
        <f>185.4168*$K$7</f>
        <v>0</v>
      </c>
      <c r="L78">
        <f>1.6634*$L$7</f>
        <v>0</v>
      </c>
      <c r="M78">
        <f>0+D78+E78+G78+H78+I78+J78+K78+L78</f>
        <v>0</v>
      </c>
      <c r="N78">
        <f>0+D78+F78+G78+H78+I78+J78+K78+L78</f>
        <v>0</v>
      </c>
    </row>
    <row r="79" spans="3:14">
      <c r="C79" t="s">
        <v>50</v>
      </c>
      <c r="D79">
        <f>956.7877*$D$7</f>
        <v>0</v>
      </c>
      <c r="E79">
        <f>1340.1578*$E$7</f>
        <v>0</v>
      </c>
      <c r="F79">
        <f>-37.4307*$F$7</f>
        <v>0</v>
      </c>
      <c r="G79">
        <f>87.0985*$G$7</f>
        <v>0</v>
      </c>
      <c r="H79">
        <f>0*$H$7</f>
        <v>0</v>
      </c>
      <c r="I79">
        <f>137.4387*$I$7</f>
        <v>0</v>
      </c>
      <c r="J79">
        <f>-138.5678*$J$7</f>
        <v>0</v>
      </c>
      <c r="K79">
        <f>184.7571*$K$7</f>
        <v>0</v>
      </c>
      <c r="L79">
        <f>1.8499*$L$7</f>
        <v>0</v>
      </c>
      <c r="M79">
        <f>0+D79+E79+G79+H79+I79+J79+K79+L79</f>
        <v>0</v>
      </c>
      <c r="N79">
        <f>0+D79+F79+G79+H79+I79+J79+K79+L79</f>
        <v>0</v>
      </c>
    </row>
    <row r="80" spans="3:14">
      <c r="C80" t="s">
        <v>51</v>
      </c>
      <c r="D80">
        <f>868.3004*$D$7</f>
        <v>0</v>
      </c>
      <c r="E80">
        <f>1224.9815*$E$7</f>
        <v>0</v>
      </c>
      <c r="F80">
        <f>-41.055*$F$7</f>
        <v>0</v>
      </c>
      <c r="G80">
        <f>80.1244*$G$7</f>
        <v>0</v>
      </c>
      <c r="H80">
        <f>0*$H$7</f>
        <v>0</v>
      </c>
      <c r="I80">
        <f>124.2309*$I$7</f>
        <v>0</v>
      </c>
      <c r="J80">
        <f>-147.7*$J$7</f>
        <v>0</v>
      </c>
      <c r="K80">
        <f>196.9333*$K$7</f>
        <v>0</v>
      </c>
      <c r="L80">
        <f>1.0121*$L$7</f>
        <v>0</v>
      </c>
      <c r="M80">
        <f>0+D80+E80+G80+H80+I80+J80+K80+L80</f>
        <v>0</v>
      </c>
      <c r="N80">
        <f>0+D80+F80+G80+H80+I80+J80+K80+L80</f>
        <v>0</v>
      </c>
    </row>
    <row r="81" spans="3:14">
      <c r="C81" t="s">
        <v>51</v>
      </c>
      <c r="D81">
        <f>880.7575*$D$7</f>
        <v>0</v>
      </c>
      <c r="E81">
        <f>1244.5654*$E$7</f>
        <v>0</v>
      </c>
      <c r="F81">
        <f>-40.49*$F$7</f>
        <v>0</v>
      </c>
      <c r="G81">
        <f>81.4296*$G$7</f>
        <v>0</v>
      </c>
      <c r="H81">
        <f>0*$H$7</f>
        <v>0</v>
      </c>
      <c r="I81">
        <f>126.0465*$I$7</f>
        <v>0</v>
      </c>
      <c r="J81">
        <f>-148.3298*$J$7</f>
        <v>0</v>
      </c>
      <c r="K81">
        <f>197.7731*$K$7</f>
        <v>0</v>
      </c>
      <c r="L81">
        <f>1.2219*$L$7</f>
        <v>0</v>
      </c>
      <c r="M81">
        <f>0+D81+E81+G81+H81+I81+J81+K81+L81</f>
        <v>0</v>
      </c>
      <c r="N81">
        <f>0+D81+F81+G81+H81+I81+J81+K81+L81</f>
        <v>0</v>
      </c>
    </row>
    <row r="82" spans="3:14">
      <c r="C82" t="s">
        <v>52</v>
      </c>
      <c r="D82">
        <f>767.796*$D$7</f>
        <v>0</v>
      </c>
      <c r="E82">
        <f>1089.5972*$E$7</f>
        <v>0</v>
      </c>
      <c r="F82">
        <f>-44.3825*$F$7</f>
        <v>0</v>
      </c>
      <c r="G82">
        <f>73.6427*$G$7</f>
        <v>0</v>
      </c>
      <c r="H82">
        <f>0*$H$7</f>
        <v>0</v>
      </c>
      <c r="I82">
        <f>108.7623*$I$7</f>
        <v>0</v>
      </c>
      <c r="J82">
        <f>-159.8813*$J$7</f>
        <v>0</v>
      </c>
      <c r="K82">
        <f>213.1751*$K$7</f>
        <v>0</v>
      </c>
      <c r="L82">
        <f>0.0571*$L$7</f>
        <v>0</v>
      </c>
      <c r="M82">
        <f>0+D82+E82+G82+H82+I82+J82+K82+L82</f>
        <v>0</v>
      </c>
      <c r="N82">
        <f>0+D82+F82+G82+H82+I82+J82+K82+L82</f>
        <v>0</v>
      </c>
    </row>
    <row r="83" spans="3:14">
      <c r="C83" t="s">
        <v>52</v>
      </c>
      <c r="D83">
        <f>781.6838*$D$7</f>
        <v>0</v>
      </c>
      <c r="E83">
        <f>1108.1326*$E$7</f>
        <v>0</v>
      </c>
      <c r="F83">
        <f>-43.4668*$F$7</f>
        <v>0</v>
      </c>
      <c r="G83">
        <f>74.0455*$G$7</f>
        <v>0</v>
      </c>
      <c r="H83">
        <f>0*$H$7</f>
        <v>0</v>
      </c>
      <c r="I83">
        <f>110.794*$I$7</f>
        <v>0</v>
      </c>
      <c r="J83">
        <f>-166.1255*$J$7</f>
        <v>0</v>
      </c>
      <c r="K83">
        <f>221.5006*$K$7</f>
        <v>0</v>
      </c>
      <c r="L83">
        <f>0.3063*$L$7</f>
        <v>0</v>
      </c>
      <c r="M83">
        <f>0+D83+E83+G83+H83+I83+J83+K83+L83</f>
        <v>0</v>
      </c>
      <c r="N83">
        <f>0+D83+F83+G83+H83+I83+J83+K83+L83</f>
        <v>0</v>
      </c>
    </row>
    <row r="84" spans="3:14">
      <c r="C84" t="s">
        <v>53</v>
      </c>
      <c r="D84">
        <f>643.3475*$D$7</f>
        <v>0</v>
      </c>
      <c r="E84">
        <f>948.175*$E$7</f>
        <v>0</v>
      </c>
      <c r="F84">
        <f>-49.6345*$F$7</f>
        <v>0</v>
      </c>
      <c r="G84">
        <f>58.0569*$G$7</f>
        <v>0</v>
      </c>
      <c r="H84">
        <f>0*$H$7</f>
        <v>0</v>
      </c>
      <c r="I84">
        <f>92.1687*$I$7</f>
        <v>0</v>
      </c>
      <c r="J84">
        <f>-144.909*$J$7</f>
        <v>0</v>
      </c>
      <c r="K84">
        <f>193.212*$K$7</f>
        <v>0</v>
      </c>
      <c r="L84">
        <f>-1.5157*$L$7</f>
        <v>0</v>
      </c>
      <c r="M84">
        <f>0+D84+E84+G84+H84+I84+J84+K84+L84</f>
        <v>0</v>
      </c>
      <c r="N84">
        <f>0+D84+F84+G84+H84+I84+J84+K84+L84</f>
        <v>0</v>
      </c>
    </row>
    <row r="85" spans="3:14">
      <c r="C85" t="s">
        <v>53</v>
      </c>
      <c r="D85">
        <f>671.2852*$D$7</f>
        <v>0</v>
      </c>
      <c r="E85">
        <f>982.6734*$E$7</f>
        <v>0</v>
      </c>
      <c r="F85">
        <f>-49.1821*$F$7</f>
        <v>0</v>
      </c>
      <c r="G85">
        <f>60.6694*$G$7</f>
        <v>0</v>
      </c>
      <c r="H85">
        <f>0*$H$7</f>
        <v>0</v>
      </c>
      <c r="I85">
        <f>96.0877*$I$7</f>
        <v>0</v>
      </c>
      <c r="J85">
        <f>-145.6605*$J$7</f>
        <v>0</v>
      </c>
      <c r="K85">
        <f>194.214*$K$7</f>
        <v>0</v>
      </c>
      <c r="L85">
        <f>-1.3026*$L$7</f>
        <v>0</v>
      </c>
      <c r="M85">
        <f>0+D85+E85+G85+H85+I85+J85+K85+L85</f>
        <v>0</v>
      </c>
      <c r="N85">
        <f>0+D85+F85+G85+H85+I85+J85+K85+L85</f>
        <v>0</v>
      </c>
    </row>
    <row r="86" spans="3:14">
      <c r="C86" t="s">
        <v>54</v>
      </c>
      <c r="D86">
        <f>517.6804*$D$7</f>
        <v>0</v>
      </c>
      <c r="E86">
        <f>790.338*$E$7</f>
        <v>0</v>
      </c>
      <c r="F86">
        <f>-56.5574*$F$7</f>
        <v>0</v>
      </c>
      <c r="G86">
        <f>44.5213*$G$7</f>
        <v>0</v>
      </c>
      <c r="H86">
        <f>0*$H$7</f>
        <v>0</v>
      </c>
      <c r="I86">
        <f>74.8168*$I$7</f>
        <v>0</v>
      </c>
      <c r="J86">
        <f>-117.3453*$J$7</f>
        <v>0</v>
      </c>
      <c r="K86">
        <f>156.4604*$K$7</f>
        <v>0</v>
      </c>
      <c r="L86">
        <f>-2.9861*$L$7</f>
        <v>0</v>
      </c>
      <c r="M86">
        <f>0+D86+E86+G86+H86+I86+J86+K86+L86</f>
        <v>0</v>
      </c>
      <c r="N86">
        <f>0+D86+F86+G86+H86+I86+J86+K86+L86</f>
        <v>0</v>
      </c>
    </row>
    <row r="87" spans="3:14">
      <c r="C87" t="s">
        <v>54</v>
      </c>
      <c r="D87">
        <f>537.7802*$D$7</f>
        <v>0</v>
      </c>
      <c r="E87">
        <f>817.2362*$E$7</f>
        <v>0</v>
      </c>
      <c r="F87">
        <f>-56.4562*$F$7</f>
        <v>0</v>
      </c>
      <c r="G87">
        <f>46.2165*$G$7</f>
        <v>0</v>
      </c>
      <c r="H87">
        <f>0*$H$7</f>
        <v>0</v>
      </c>
      <c r="I87">
        <f>77.6752*$I$7</f>
        <v>0</v>
      </c>
      <c r="J87">
        <f>-119.9316*$J$7</f>
        <v>0</v>
      </c>
      <c r="K87">
        <f>159.9087*$K$7</f>
        <v>0</v>
      </c>
      <c r="L87">
        <f>-2.9111*$L$7</f>
        <v>0</v>
      </c>
      <c r="M87">
        <f>0+D87+E87+G87+H87+I87+J87+K87+L87</f>
        <v>0</v>
      </c>
      <c r="N87">
        <f>0+D87+F87+G87+H87+I87+J87+K87+L87</f>
        <v>0</v>
      </c>
    </row>
    <row r="88" spans="3:14">
      <c r="C88" t="s">
        <v>55</v>
      </c>
      <c r="D88">
        <f>361.9906*$D$7</f>
        <v>0</v>
      </c>
      <c r="E88">
        <f>579.6658*$E$7</f>
        <v>0</v>
      </c>
      <c r="F88">
        <f>-64.4303*$F$7</f>
        <v>0</v>
      </c>
      <c r="G88">
        <f>29.9133*$G$7</f>
        <v>0</v>
      </c>
      <c r="H88">
        <f>0*$H$7</f>
        <v>0</v>
      </c>
      <c r="I88">
        <f>52.7256*$I$7</f>
        <v>0</v>
      </c>
      <c r="J88">
        <f>-93.8179*$J$7</f>
        <v>0</v>
      </c>
      <c r="K88">
        <f>125.0905*$K$7</f>
        <v>0</v>
      </c>
      <c r="L88">
        <f>-3.6123*$L$7</f>
        <v>0</v>
      </c>
      <c r="M88">
        <f>0+D88+E88+G88+H88+I88+J88+K88+L88</f>
        <v>0</v>
      </c>
      <c r="N88">
        <f>0+D88+F88+G88+H88+I88+J88+K88+L88</f>
        <v>0</v>
      </c>
    </row>
    <row r="89" spans="3:14">
      <c r="C89" t="s">
        <v>55</v>
      </c>
      <c r="D89">
        <f>377.0825*$D$7</f>
        <v>0</v>
      </c>
      <c r="E89">
        <f>597.217*$E$7</f>
        <v>0</v>
      </c>
      <c r="F89">
        <f>-64.5003*$F$7</f>
        <v>0</v>
      </c>
      <c r="G89">
        <f>31.2567*$G$7</f>
        <v>0</v>
      </c>
      <c r="H89">
        <f>0*$H$7</f>
        <v>0</v>
      </c>
      <c r="I89">
        <f>54.8703*$I$7</f>
        <v>0</v>
      </c>
      <c r="J89">
        <f>-97.9349*$J$7</f>
        <v>0</v>
      </c>
      <c r="K89">
        <f>130.5798*$K$7</f>
        <v>0</v>
      </c>
      <c r="L89">
        <f>-3.4873*$L$7</f>
        <v>0</v>
      </c>
      <c r="M89">
        <f>0+D89+E89+G89+H89+I89+J89+K89+L89</f>
        <v>0</v>
      </c>
      <c r="N89">
        <f>0+D89+F89+G89+H89+I89+J89+K89+L89</f>
        <v>0</v>
      </c>
    </row>
    <row r="90" spans="3:14">
      <c r="C90" t="s">
        <v>56</v>
      </c>
      <c r="D90">
        <f>177.356*$D$7</f>
        <v>0</v>
      </c>
      <c r="E90">
        <f>306.8778*$E$7</f>
        <v>0</v>
      </c>
      <c r="F90">
        <f>-73.6172*$F$7</f>
        <v>0</v>
      </c>
      <c r="G90">
        <f>14.8595*$G$7</f>
        <v>0</v>
      </c>
      <c r="H90">
        <f>0*$H$7</f>
        <v>0</v>
      </c>
      <c r="I90">
        <f>25.9824*$I$7</f>
        <v>0</v>
      </c>
      <c r="J90">
        <f>-73.457*$J$7</f>
        <v>0</v>
      </c>
      <c r="K90">
        <f>97.9427*$K$7</f>
        <v>0</v>
      </c>
      <c r="L90">
        <f>-2.1641*$L$7</f>
        <v>0</v>
      </c>
      <c r="M90">
        <f>0+D90+E90+G90+H90+I90+J90+K90+L90</f>
        <v>0</v>
      </c>
      <c r="N90">
        <f>0+D90+F90+G90+H90+I90+J90+K90+L90</f>
        <v>0</v>
      </c>
    </row>
    <row r="91" spans="3:14">
      <c r="C91" t="s">
        <v>56</v>
      </c>
      <c r="D91">
        <f>206.317*$D$7</f>
        <v>0</v>
      </c>
      <c r="E91">
        <f>342.7737*$E$7</f>
        <v>0</v>
      </c>
      <c r="F91">
        <f>-74.8948*$F$7</f>
        <v>0</v>
      </c>
      <c r="G91">
        <f>17.3503*$G$7</f>
        <v>0</v>
      </c>
      <c r="H91">
        <f>0*$H$7</f>
        <v>0</v>
      </c>
      <c r="I91">
        <f>30.1641*$I$7</f>
        <v>0</v>
      </c>
      <c r="J91">
        <f>-81.0616*$J$7</f>
        <v>0</v>
      </c>
      <c r="K91">
        <f>108.0822*$K$7</f>
        <v>0</v>
      </c>
      <c r="L91">
        <f>-2.1701*$L$7</f>
        <v>0</v>
      </c>
      <c r="M91">
        <f>0+D91+E91+G91+H91+I91+J91+K91+L91</f>
        <v>0</v>
      </c>
      <c r="N91">
        <f>0+D91+F91+G91+H91+I91+J91+K91+L91</f>
        <v>0</v>
      </c>
    </row>
    <row r="92" spans="3:14">
      <c r="C92" t="s">
        <v>57</v>
      </c>
      <c r="D92">
        <f>-20.1209*$D$7</f>
        <v>0</v>
      </c>
      <c r="E92">
        <f>10.2696*$E$7</f>
        <v>0</v>
      </c>
      <c r="F92">
        <f>-110.7446*$F$7</f>
        <v>0</v>
      </c>
      <c r="G92">
        <f>0.6952*$G$7</f>
        <v>0</v>
      </c>
      <c r="H92">
        <f>0*$H$7</f>
        <v>0</v>
      </c>
      <c r="I92">
        <f>-3.0267*$I$7</f>
        <v>0</v>
      </c>
      <c r="J92">
        <f>-49.2939*$J$7</f>
        <v>0</v>
      </c>
      <c r="K92">
        <f>65.7252*$K$7</f>
        <v>0</v>
      </c>
      <c r="L92">
        <f>2.6344*$L$7</f>
        <v>0</v>
      </c>
      <c r="M92">
        <f>0+D92+E92+G92+H92+I92+J92+K92+L92</f>
        <v>0</v>
      </c>
      <c r="N92">
        <f>0+D92+F92+G92+H92+I92+J92+K92+L92</f>
        <v>0</v>
      </c>
    </row>
    <row r="93" spans="3:14">
      <c r="C93" t="s">
        <v>57</v>
      </c>
      <c r="D93">
        <f>-15.4161*$D$7</f>
        <v>0</v>
      </c>
      <c r="E93">
        <f>4.2155*$E$7</f>
        <v>0</v>
      </c>
      <c r="F93">
        <f>-100.9015*$F$7</f>
        <v>0</v>
      </c>
      <c r="G93">
        <f>-0.4007*$G$7</f>
        <v>0</v>
      </c>
      <c r="H93">
        <f>0*$H$7</f>
        <v>0</v>
      </c>
      <c r="I93">
        <f>-2.2898*$I$7</f>
        <v>0</v>
      </c>
      <c r="J93">
        <f>-60.0901*$J$7</f>
        <v>0</v>
      </c>
      <c r="K93">
        <f>80.1202*$K$7</f>
        <v>0</v>
      </c>
      <c r="L93">
        <f>1.7737*$L$7</f>
        <v>0</v>
      </c>
      <c r="M93">
        <f>0+D93+E93+G93+H93+I93+J93+K93+L93</f>
        <v>0</v>
      </c>
      <c r="N93">
        <f>0+D93+F93+G93+H93+I93+J93+K93+L93</f>
        <v>0</v>
      </c>
    </row>
    <row r="94" spans="3:14">
      <c r="C94" t="s">
        <v>58</v>
      </c>
      <c r="D94">
        <f>-8.2867*$D$7</f>
        <v>0</v>
      </c>
      <c r="E94">
        <f>4.3124*$E$7</f>
        <v>0</v>
      </c>
      <c r="F94">
        <f>-12.4674*$F$7</f>
        <v>0</v>
      </c>
      <c r="G94">
        <f>-0.8061*$G$7</f>
        <v>0</v>
      </c>
      <c r="H94">
        <f>0*$H$7</f>
        <v>0</v>
      </c>
      <c r="I94">
        <f>-1.1994*$I$7</f>
        <v>0</v>
      </c>
      <c r="J94">
        <f>-65.9068*$J$7</f>
        <v>0</v>
      </c>
      <c r="K94">
        <f>87.8758*$K$7</f>
        <v>0</v>
      </c>
      <c r="L94">
        <f>-0.0467*$L$7</f>
        <v>0</v>
      </c>
      <c r="M94">
        <f>0+D94+E94+G94+H94+I94+J94+K94+L94</f>
        <v>0</v>
      </c>
      <c r="N94">
        <f>0+D94+F94+G94+H94+I94+J94+K94+L94</f>
        <v>0</v>
      </c>
    </row>
    <row r="95" spans="3:14">
      <c r="C95" t="s">
        <v>58</v>
      </c>
      <c r="D95">
        <f>-3.1233*$D$7</f>
        <v>0</v>
      </c>
      <c r="E95">
        <f>1.1836*$E$7</f>
        <v>0</v>
      </c>
      <c r="F95">
        <f>-8.382*$F$7</f>
        <v>0</v>
      </c>
      <c r="G95">
        <f>-0.3541*$G$7</f>
        <v>0</v>
      </c>
      <c r="H95">
        <f>0*$H$7</f>
        <v>0</v>
      </c>
      <c r="I95">
        <f>-0.4664*$I$7</f>
        <v>0</v>
      </c>
      <c r="J95">
        <f>-64.1123*$J$7</f>
        <v>0</v>
      </c>
      <c r="K95">
        <f>85.483*$K$7</f>
        <v>0</v>
      </c>
      <c r="L95">
        <f>-3.2289*$L$7</f>
        <v>0</v>
      </c>
      <c r="M95">
        <f>0+D95+E95+G95+H95+I95+J95+K95+L95</f>
        <v>0</v>
      </c>
      <c r="N95">
        <f>0+D95+F95+G95+H95+I95+J95+K95+L95</f>
        <v>0</v>
      </c>
    </row>
    <row r="96" spans="3:14">
      <c r="C96" t="s">
        <v>59</v>
      </c>
      <c r="D96">
        <f>-10.0607*$D$7</f>
        <v>0</v>
      </c>
      <c r="E96">
        <f>3.2559*$E$7</f>
        <v>0</v>
      </c>
      <c r="F96">
        <f>-16.158*$F$7</f>
        <v>0</v>
      </c>
      <c r="G96">
        <f>-0.1816*$G$7</f>
        <v>0</v>
      </c>
      <c r="H96">
        <f>0*$H$7</f>
        <v>0</v>
      </c>
      <c r="I96">
        <f>-1.5196*$I$7</f>
        <v>0</v>
      </c>
      <c r="J96">
        <f>-64.3584*$J$7</f>
        <v>0</v>
      </c>
      <c r="K96">
        <f>85.8112*$K$7</f>
        <v>0</v>
      </c>
      <c r="L96">
        <f>1.9945*$L$7</f>
        <v>0</v>
      </c>
      <c r="M96">
        <f>0+D96+E96+G96+H96+I96+J96+K96+L96</f>
        <v>0</v>
      </c>
      <c r="N96">
        <f>0+D96+F96+G96+H96+I96+J96+K96+L96</f>
        <v>0</v>
      </c>
    </row>
    <row r="97" spans="3:14">
      <c r="C97" t="s">
        <v>59</v>
      </c>
      <c r="D97">
        <f>-32.8989*$D$7</f>
        <v>0</v>
      </c>
      <c r="E97">
        <f>50.1348*$E$7</f>
        <v>0</v>
      </c>
      <c r="F97">
        <f>-84.5707*$F$7</f>
        <v>0</v>
      </c>
      <c r="G97">
        <f>1.3979*$G$7</f>
        <v>0</v>
      </c>
      <c r="H97">
        <f>0*$H$7</f>
        <v>0</v>
      </c>
      <c r="I97">
        <f>-4.893*$I$7</f>
        <v>0</v>
      </c>
      <c r="J97">
        <f>-45.5595*$J$7</f>
        <v>0</v>
      </c>
      <c r="K97">
        <f>60.746*$K$7</f>
        <v>0</v>
      </c>
      <c r="L97">
        <f>45.147*$L$7</f>
        <v>0</v>
      </c>
      <c r="M97">
        <f>0+D97+E97+G97+H97+I97+J97+K97+L97</f>
        <v>0</v>
      </c>
      <c r="N97">
        <f>0+D97+F97+G97+H97+I97+J97+K97+L97</f>
        <v>0</v>
      </c>
    </row>
    <row r="98" spans="3:14">
      <c r="C98" t="s">
        <v>60</v>
      </c>
      <c r="D98">
        <f>84.2887*$D$7</f>
        <v>0</v>
      </c>
      <c r="E98">
        <f>238.0608*$E$7</f>
        <v>0</v>
      </c>
      <c r="F98">
        <f>-15.2457*$F$7</f>
        <v>0</v>
      </c>
      <c r="G98">
        <f>5.3907*$G$7</f>
        <v>0</v>
      </c>
      <c r="H98">
        <f>0*$H$7</f>
        <v>0</v>
      </c>
      <c r="I98">
        <f>12.8435*$I$7</f>
        <v>0</v>
      </c>
      <c r="J98">
        <f>-99.0412*$J$7</f>
        <v>0</v>
      </c>
      <c r="K98">
        <f>132.055*$K$7</f>
        <v>0</v>
      </c>
      <c r="L98">
        <f>43.4789*$L$7</f>
        <v>0</v>
      </c>
      <c r="M98">
        <f>0+D98+E98+G98+H98+I98+J98+K98+L98</f>
        <v>0</v>
      </c>
      <c r="N98">
        <f>0+D98+F98+G98+H98+I98+J98+K98+L98</f>
        <v>0</v>
      </c>
    </row>
    <row r="99" spans="3:14">
      <c r="C99" t="s">
        <v>60</v>
      </c>
      <c r="D99">
        <f>69.8342*$D$7</f>
        <v>0</v>
      </c>
      <c r="E99">
        <f>214.9666*$E$7</f>
        <v>0</v>
      </c>
      <c r="F99">
        <f>-16.7596*$F$7</f>
        <v>0</v>
      </c>
      <c r="G99">
        <f>4.6069*$G$7</f>
        <v>0</v>
      </c>
      <c r="H99">
        <f>0*$H$7</f>
        <v>0</v>
      </c>
      <c r="I99">
        <f>10.7046*$I$7</f>
        <v>0</v>
      </c>
      <c r="J99">
        <f>-88.678*$J$7</f>
        <v>0</v>
      </c>
      <c r="K99">
        <f>118.2373*$K$7</f>
        <v>0</v>
      </c>
      <c r="L99">
        <f>41.1873*$L$7</f>
        <v>0</v>
      </c>
      <c r="M99">
        <f>0+D99+E99+G99+H99+I99+J99+K99+L99</f>
        <v>0</v>
      </c>
      <c r="N99">
        <f>0+D99+F99+G99+H99+I99+J99+K99+L99</f>
        <v>0</v>
      </c>
    </row>
    <row r="100" spans="3:14">
      <c r="C100" t="s">
        <v>61</v>
      </c>
      <c r="D100">
        <f>161.406*$D$7</f>
        <v>0</v>
      </c>
      <c r="E100">
        <f>396.2398*$E$7</f>
        <v>0</v>
      </c>
      <c r="F100">
        <f>-8.2696*$F$7</f>
        <v>0</v>
      </c>
      <c r="G100">
        <f>8.5233*$G$7</f>
        <v>0</v>
      </c>
      <c r="H100">
        <f>0*$H$7</f>
        <v>0</v>
      </c>
      <c r="I100">
        <f>24.2902*$I$7</f>
        <v>0</v>
      </c>
      <c r="J100">
        <f>-129.4198*$J$7</f>
        <v>0</v>
      </c>
      <c r="K100">
        <f>172.5598*$K$7</f>
        <v>0</v>
      </c>
      <c r="L100">
        <f>44.9562*$L$7</f>
        <v>0</v>
      </c>
      <c r="M100">
        <f>0+D100+E100+G100+H100+I100+J100+K100+L100</f>
        <v>0</v>
      </c>
      <c r="N100">
        <f>0+D100+F100+G100+H100+I100+J100+K100+L100</f>
        <v>0</v>
      </c>
    </row>
    <row r="101" spans="3:14">
      <c r="C101" t="s">
        <v>61</v>
      </c>
      <c r="D101">
        <f>153.7326*$D$7</f>
        <v>0</v>
      </c>
      <c r="E101">
        <f>383.5233*$E$7</f>
        <v>0</v>
      </c>
      <c r="F101">
        <f>-8.3481*$F$7</f>
        <v>0</v>
      </c>
      <c r="G101">
        <f>8.1485*$G$7</f>
        <v>0</v>
      </c>
      <c r="H101">
        <f>0*$H$7</f>
        <v>0</v>
      </c>
      <c r="I101">
        <f>23.1779*$I$7</f>
        <v>0</v>
      </c>
      <c r="J101">
        <f>-126.2581*$J$7</f>
        <v>0</v>
      </c>
      <c r="K101">
        <f>168.3442*$K$7</f>
        <v>0</v>
      </c>
      <c r="L101">
        <f>44.0064*$L$7</f>
        <v>0</v>
      </c>
      <c r="M101">
        <f>0+D101+E101+G101+H101+I101+J101+K101+L101</f>
        <v>0</v>
      </c>
      <c r="N101">
        <f>0+D101+F101+G101+H101+I101+J101+K101+L101</f>
        <v>0</v>
      </c>
    </row>
    <row r="102" spans="3:14">
      <c r="C102" t="s">
        <v>62</v>
      </c>
      <c r="D102">
        <f>224.4057*$D$7</f>
        <v>0</v>
      </c>
      <c r="E102">
        <f>512.9311*$E$7</f>
        <v>0</v>
      </c>
      <c r="F102">
        <f>-7.8453*$F$7</f>
        <v>0</v>
      </c>
      <c r="G102">
        <f>12.2059*$G$7</f>
        <v>0</v>
      </c>
      <c r="H102">
        <f>0*$H$7</f>
        <v>0</v>
      </c>
      <c r="I102">
        <f>33.2764*$I$7</f>
        <v>0</v>
      </c>
      <c r="J102">
        <f>-158.3486*$J$7</f>
        <v>0</v>
      </c>
      <c r="K102">
        <f>211.1314*$K$7</f>
        <v>0</v>
      </c>
      <c r="L102">
        <f>51.4447*$L$7</f>
        <v>0</v>
      </c>
      <c r="M102">
        <f>0+D102+E102+G102+H102+I102+J102+K102+L102</f>
        <v>0</v>
      </c>
      <c r="N102">
        <f>0+D102+F102+G102+H102+I102+J102+K102+L102</f>
        <v>0</v>
      </c>
    </row>
    <row r="103" spans="3:14">
      <c r="C103" t="s">
        <v>62</v>
      </c>
      <c r="D103">
        <f>215.9622*$D$7</f>
        <v>0</v>
      </c>
      <c r="E103">
        <f>496.6009*$E$7</f>
        <v>0</v>
      </c>
      <c r="F103">
        <f>-8.0104*$F$7</f>
        <v>0</v>
      </c>
      <c r="G103">
        <f>11.8867*$G$7</f>
        <v>0</v>
      </c>
      <c r="H103">
        <f>0*$H$7</f>
        <v>0</v>
      </c>
      <c r="I103">
        <f>32.0824*$I$7</f>
        <v>0</v>
      </c>
      <c r="J103">
        <f>-153.1655*$J$7</f>
        <v>0</v>
      </c>
      <c r="K103">
        <f>204.2206*$K$7</f>
        <v>0</v>
      </c>
      <c r="L103">
        <f>51.271*$L$7</f>
        <v>0</v>
      </c>
      <c r="M103">
        <f>0+D103+E103+G103+H103+I103+J103+K103+L103</f>
        <v>0</v>
      </c>
      <c r="N103">
        <f>0+D103+F103+G103+H103+I103+J103+K103+L103</f>
        <v>0</v>
      </c>
    </row>
    <row r="104" spans="3:14">
      <c r="C104" t="s">
        <v>63</v>
      </c>
      <c r="D104">
        <f>264.483*$D$7</f>
        <v>0</v>
      </c>
      <c r="E104">
        <f>572.51*$E$7</f>
        <v>0</v>
      </c>
      <c r="F104">
        <f>-6.6957*$F$7</f>
        <v>0</v>
      </c>
      <c r="G104">
        <f>15.7937*$G$7</f>
        <v>0</v>
      </c>
      <c r="H104">
        <f>0*$H$7</f>
        <v>0</v>
      </c>
      <c r="I104">
        <f>38.5123*$I$7</f>
        <v>0</v>
      </c>
      <c r="J104">
        <f>-188.4159*$J$7</f>
        <v>0</v>
      </c>
      <c r="K104">
        <f>251.2212*$K$7</f>
        <v>0</v>
      </c>
      <c r="L104">
        <f>59.6836*$L$7</f>
        <v>0</v>
      </c>
      <c r="M104">
        <f>0+D104+E104+G104+H104+I104+J104+K104+L104</f>
        <v>0</v>
      </c>
      <c r="N104">
        <f>0+D104+F104+G104+H104+I104+J104+K104+L104</f>
        <v>0</v>
      </c>
    </row>
    <row r="105" spans="3:14">
      <c r="C105" t="s">
        <v>63</v>
      </c>
      <c r="D105">
        <f>259.8839*$D$7</f>
        <v>0</v>
      </c>
      <c r="E105">
        <f>562.0119*$E$7</f>
        <v>0</v>
      </c>
      <c r="F105">
        <f>-6.8659*$F$7</f>
        <v>0</v>
      </c>
      <c r="G105">
        <f>15.7041*$G$7</f>
        <v>0</v>
      </c>
      <c r="H105">
        <f>0*$H$7</f>
        <v>0</v>
      </c>
      <c r="I105">
        <f>37.883*$I$7</f>
        <v>0</v>
      </c>
      <c r="J105">
        <f>-186.0808*$J$7</f>
        <v>0</v>
      </c>
      <c r="K105">
        <f>248.1077*$K$7</f>
        <v>0</v>
      </c>
      <c r="L105">
        <f>59.9718*$L$7</f>
        <v>0</v>
      </c>
      <c r="M105">
        <f>0+D105+E105+G105+H105+I105+J105+K105+L105</f>
        <v>0</v>
      </c>
      <c r="N105">
        <f>0+D105+F105+G105+H105+I105+J105+K105+L105</f>
        <v>0</v>
      </c>
    </row>
    <row r="106" spans="3:14">
      <c r="C106" t="s">
        <v>64</v>
      </c>
      <c r="D106">
        <f>286.7339*$D$7</f>
        <v>0</v>
      </c>
      <c r="E106">
        <f>589.9194*$E$7</f>
        <v>0</v>
      </c>
      <c r="F106">
        <f>-5.9955*$F$7</f>
        <v>0</v>
      </c>
      <c r="G106">
        <f>18.9448*$G$7</f>
        <v>0</v>
      </c>
      <c r="H106">
        <f>0*$H$7</f>
        <v>0</v>
      </c>
      <c r="I106">
        <f>40.7382*$I$7</f>
        <v>0</v>
      </c>
      <c r="J106">
        <f>-220.3044*$J$7</f>
        <v>0</v>
      </c>
      <c r="K106">
        <f>293.7392*$K$7</f>
        <v>0</v>
      </c>
      <c r="L106">
        <f>66.2323*$L$7</f>
        <v>0</v>
      </c>
      <c r="M106">
        <f>0+D106+E106+G106+H106+I106+J106+K106+L106</f>
        <v>0</v>
      </c>
      <c r="N106">
        <f>0+D106+F106+G106+H106+I106+J106+K106+L106</f>
        <v>0</v>
      </c>
    </row>
    <row r="107" spans="3:14">
      <c r="C107" t="s">
        <v>64</v>
      </c>
      <c r="D107">
        <f>283.5433*$D$7</f>
        <v>0</v>
      </c>
      <c r="E107">
        <f>583.8237*$E$7</f>
        <v>0</v>
      </c>
      <c r="F107">
        <f>-5.8629*$F$7</f>
        <v>0</v>
      </c>
      <c r="G107">
        <f>18.6774*$G$7</f>
        <v>0</v>
      </c>
      <c r="H107">
        <f>0*$H$7</f>
        <v>0</v>
      </c>
      <c r="I107">
        <f>40.2994*$I$7</f>
        <v>0</v>
      </c>
      <c r="J107">
        <f>-222.0363*$J$7</f>
        <v>0</v>
      </c>
      <c r="K107">
        <f>296.0485*$K$7</f>
        <v>0</v>
      </c>
      <c r="L107">
        <f>67.2417*$L$7</f>
        <v>0</v>
      </c>
      <c r="M107">
        <f>0+D107+E107+G107+H107+I107+J107+K107+L107</f>
        <v>0</v>
      </c>
      <c r="N107">
        <f>0+D107+F107+G107+H107+I107+J107+K107+L107</f>
        <v>0</v>
      </c>
    </row>
    <row r="108" spans="3:14">
      <c r="C108" t="s">
        <v>65</v>
      </c>
      <c r="D108">
        <f>269.9326*$D$7</f>
        <v>0</v>
      </c>
      <c r="E108">
        <f>578.9094*$E$7</f>
        <v>0</v>
      </c>
      <c r="F108">
        <f>-4.1396*$F$7</f>
        <v>0</v>
      </c>
      <c r="G108">
        <f>15.2208*$G$7</f>
        <v>0</v>
      </c>
      <c r="H108">
        <f>0*$H$7</f>
        <v>0</v>
      </c>
      <c r="I108">
        <f>39.5069*$I$7</f>
        <v>0</v>
      </c>
      <c r="J108">
        <f>-192.3009*$J$7</f>
        <v>0</v>
      </c>
      <c r="K108">
        <f>256.4012*$K$7</f>
        <v>0</v>
      </c>
      <c r="L108">
        <f>57.1021*$L$7</f>
        <v>0</v>
      </c>
      <c r="M108">
        <f>0+D108+E108+G108+H108+I108+J108+K108+L108</f>
        <v>0</v>
      </c>
      <c r="N108">
        <f>0+D108+F108+G108+H108+I108+J108+K108+L108</f>
        <v>0</v>
      </c>
    </row>
    <row r="109" spans="3:14">
      <c r="C109" t="s">
        <v>65</v>
      </c>
      <c r="D109">
        <f>273.008*$D$7</f>
        <v>0</v>
      </c>
      <c r="E109">
        <f>586.9022*$E$7</f>
        <v>0</v>
      </c>
      <c r="F109">
        <f>-4.4013*$F$7</f>
        <v>0</v>
      </c>
      <c r="G109">
        <f>15.4176*$G$7</f>
        <v>0</v>
      </c>
      <c r="H109">
        <f>0*$H$7</f>
        <v>0</v>
      </c>
      <c r="I109">
        <f>39.8939*$I$7</f>
        <v>0</v>
      </c>
      <c r="J109">
        <f>-191.7714*$J$7</f>
        <v>0</v>
      </c>
      <c r="K109">
        <f>255.6951*$K$7</f>
        <v>0</v>
      </c>
      <c r="L109">
        <f>57.7353*$L$7</f>
        <v>0</v>
      </c>
      <c r="M109">
        <f>0+D109+E109+G109+H109+I109+J109+K109+L109</f>
        <v>0</v>
      </c>
      <c r="N109">
        <f>0+D109+F109+G109+H109+I109+J109+K109+L109</f>
        <v>0</v>
      </c>
    </row>
    <row r="110" spans="3:14">
      <c r="C110" t="s">
        <v>66</v>
      </c>
      <c r="D110">
        <f>233.9028*$D$7</f>
        <v>0</v>
      </c>
      <c r="E110">
        <f>527.3964*$E$7</f>
        <v>0</v>
      </c>
      <c r="F110">
        <f>-3.7233*$F$7</f>
        <v>0</v>
      </c>
      <c r="G110">
        <f>11.2827*$G$7</f>
        <v>0</v>
      </c>
      <c r="H110">
        <f>0*$H$7</f>
        <v>0</v>
      </c>
      <c r="I110">
        <f>34.8702*$I$7</f>
        <v>0</v>
      </c>
      <c r="J110">
        <f>-161.5431*$J$7</f>
        <v>0</v>
      </c>
      <c r="K110">
        <f>215.3908*$K$7</f>
        <v>0</v>
      </c>
      <c r="L110">
        <f>44.2607*$L$7</f>
        <v>0</v>
      </c>
      <c r="M110">
        <f>0+D110+E110+G110+H110+I110+J110+K110+L110</f>
        <v>0</v>
      </c>
      <c r="N110">
        <f>0+D110+F110+G110+H110+I110+J110+K110+L110</f>
        <v>0</v>
      </c>
    </row>
    <row r="111" spans="3:14">
      <c r="C111" t="s">
        <v>66</v>
      </c>
      <c r="D111">
        <f>240.8741*$D$7</f>
        <v>0</v>
      </c>
      <c r="E111">
        <f>541.0909*$E$7</f>
        <v>0</v>
      </c>
      <c r="F111">
        <f>-3.879*$F$7</f>
        <v>0</v>
      </c>
      <c r="G111">
        <f>11.6918*$G$7</f>
        <v>0</v>
      </c>
      <c r="H111">
        <f>0*$H$7</f>
        <v>0</v>
      </c>
      <c r="I111">
        <f>35.8369*$I$7</f>
        <v>0</v>
      </c>
      <c r="J111">
        <f>-165.0817*$J$7</f>
        <v>0</v>
      </c>
      <c r="K111">
        <f>220.1089*$K$7</f>
        <v>0</v>
      </c>
      <c r="L111">
        <f>45.8102*$L$7</f>
        <v>0</v>
      </c>
      <c r="M111">
        <f>0+D111+E111+G111+H111+I111+J111+K111+L111</f>
        <v>0</v>
      </c>
      <c r="N111">
        <f>0+D111+F111+G111+H111+I111+J111+K111+L111</f>
        <v>0</v>
      </c>
    </row>
    <row r="112" spans="3:14">
      <c r="C112" t="s">
        <v>67</v>
      </c>
      <c r="D112">
        <f>176.151*$D$7</f>
        <v>0</v>
      </c>
      <c r="E112">
        <f>419.1297*$E$7</f>
        <v>0</v>
      </c>
      <c r="F112">
        <f>-4.0113*$F$7</f>
        <v>0</v>
      </c>
      <c r="G112">
        <f>7.496*$G$7</f>
        <v>0</v>
      </c>
      <c r="H112">
        <f>0*$H$7</f>
        <v>0</v>
      </c>
      <c r="I112">
        <f>26.5317*$I$7</f>
        <v>0</v>
      </c>
      <c r="J112">
        <f>-138.9791*$J$7</f>
        <v>0</v>
      </c>
      <c r="K112">
        <f>185.3055*$K$7</f>
        <v>0</v>
      </c>
      <c r="L112">
        <f>31.1951*$L$7</f>
        <v>0</v>
      </c>
      <c r="M112">
        <f>0+D112+E112+G112+H112+I112+J112+K112+L112</f>
        <v>0</v>
      </c>
      <c r="N112">
        <f>0+D112+F112+G112+H112+I112+J112+K112+L112</f>
        <v>0</v>
      </c>
    </row>
    <row r="113" spans="3:14">
      <c r="C113" t="s">
        <v>67</v>
      </c>
      <c r="D113">
        <f>186.6205*$D$7</f>
        <v>0</v>
      </c>
      <c r="E113">
        <f>438.0794*$E$7</f>
        <v>0</v>
      </c>
      <c r="F113">
        <f>-4.259*$F$7</f>
        <v>0</v>
      </c>
      <c r="G113">
        <f>7.9754*$G$7</f>
        <v>0</v>
      </c>
      <c r="H113">
        <f>0*$H$7</f>
        <v>0</v>
      </c>
      <c r="I113">
        <f>28.0768*$I$7</f>
        <v>0</v>
      </c>
      <c r="J113">
        <f>-143.5768*$J$7</f>
        <v>0</v>
      </c>
      <c r="K113">
        <f>191.4357*$K$7</f>
        <v>0</v>
      </c>
      <c r="L113">
        <f>33.2244*$L$7</f>
        <v>0</v>
      </c>
      <c r="M113">
        <f>0+D113+E113+G113+H113+I113+J113+K113+L113</f>
        <v>0</v>
      </c>
      <c r="N113">
        <f>0+D113+F113+G113+H113+I113+J113+K113+L113</f>
        <v>0</v>
      </c>
    </row>
    <row r="114" spans="3:14">
      <c r="C114" t="s">
        <v>68</v>
      </c>
      <c r="D114">
        <f>100.2586*$D$7</f>
        <v>0</v>
      </c>
      <c r="E114">
        <f>255.876*$E$7</f>
        <v>0</v>
      </c>
      <c r="F114">
        <f>-3.6017*$F$7</f>
        <v>0</v>
      </c>
      <c r="G114">
        <f>4.2074*$G$7</f>
        <v>0</v>
      </c>
      <c r="H114">
        <f>0*$H$7</f>
        <v>0</v>
      </c>
      <c r="I114">
        <f>15.0708*$I$7</f>
        <v>0</v>
      </c>
      <c r="J114">
        <f>-103.6752*$J$7</f>
        <v>0</v>
      </c>
      <c r="K114">
        <f>138.2336*$K$7</f>
        <v>0</v>
      </c>
      <c r="L114">
        <f>18.6563*$L$7</f>
        <v>0</v>
      </c>
      <c r="M114">
        <f>0+D114+E114+G114+H114+I114+J114+K114+L114</f>
        <v>0</v>
      </c>
      <c r="N114">
        <f>0+D114+F114+G114+H114+I114+J114+K114+L114</f>
        <v>0</v>
      </c>
    </row>
    <row r="115" spans="3:14">
      <c r="C115" t="s">
        <v>68</v>
      </c>
      <c r="D115">
        <f>108.7724*$D$7</f>
        <v>0</v>
      </c>
      <c r="E115">
        <f>269.6945*$E$7</f>
        <v>0</v>
      </c>
      <c r="F115">
        <f>-3.8185*$F$7</f>
        <v>0</v>
      </c>
      <c r="G115">
        <f>4.5676*$G$7</f>
        <v>0</v>
      </c>
      <c r="H115">
        <f>0*$H$7</f>
        <v>0</v>
      </c>
      <c r="I115">
        <f>16.3478*$I$7</f>
        <v>0</v>
      </c>
      <c r="J115">
        <f>-117.2915*$J$7</f>
        <v>0</v>
      </c>
      <c r="K115">
        <f>156.3886*$K$7</f>
        <v>0</v>
      </c>
      <c r="L115">
        <f>20.1643*$L$7</f>
        <v>0</v>
      </c>
      <c r="M115">
        <f>0+D115+E115+G115+H115+I115+J115+K115+L115</f>
        <v>0</v>
      </c>
      <c r="N115">
        <f>0+D115+F115+G115+H115+I115+J115+K115+L115</f>
        <v>0</v>
      </c>
    </row>
    <row r="116" spans="3:14">
      <c r="C116" t="s">
        <v>69</v>
      </c>
      <c r="D116">
        <f>-6.0165*$D$7</f>
        <v>0</v>
      </c>
      <c r="E116">
        <f>4.1522*$E$7</f>
        <v>0</v>
      </c>
      <c r="F116">
        <f>-24.915*$F$7</f>
        <v>0</v>
      </c>
      <c r="G116">
        <f>1.1826*$G$7</f>
        <v>0</v>
      </c>
      <c r="H116">
        <f>0*$H$7</f>
        <v>0</v>
      </c>
      <c r="I116">
        <f>-1.3925*$I$7</f>
        <v>0</v>
      </c>
      <c r="J116">
        <f>-63.9633*$J$7</f>
        <v>0</v>
      </c>
      <c r="K116">
        <f>85.2844*$K$7</f>
        <v>0</v>
      </c>
      <c r="L116">
        <f>4.7112*$L$7</f>
        <v>0</v>
      </c>
      <c r="M116">
        <f>0+D116+E116+G116+H116+I116+J116+K116+L116</f>
        <v>0</v>
      </c>
      <c r="N116">
        <f>0+D116+F116+G116+H116+I116+J116+K116+L116</f>
        <v>0</v>
      </c>
    </row>
    <row r="121" spans="3:14">
      <c r="C121" t="s">
        <v>70</v>
      </c>
    </row>
    <row r="123" spans="3:14">
      <c r="C123" t="s">
        <v>2</v>
      </c>
    </row>
    <row r="124" spans="3:14">
      <c r="C124" t="s">
        <v>3</v>
      </c>
      <c r="D124" t="s">
        <v>4</v>
      </c>
      <c r="E124" t="s">
        <v>5</v>
      </c>
      <c r="F124" t="s">
        <v>6</v>
      </c>
      <c r="G124" t="s">
        <v>7</v>
      </c>
      <c r="H124" t="s">
        <v>8</v>
      </c>
      <c r="I124" t="s">
        <v>9</v>
      </c>
      <c r="J124" t="s">
        <v>10</v>
      </c>
      <c r="K124" t="s">
        <v>11</v>
      </c>
      <c r="L124" t="s">
        <v>12</v>
      </c>
      <c r="M124" t="s">
        <v>13</v>
      </c>
      <c r="N124" t="s">
        <v>14</v>
      </c>
    </row>
    <row r="125" spans="3:14">
      <c r="C125" t="s">
        <v>78</v>
      </c>
      <c r="D125">
        <f>-258.129*$D$123</f>
        <v>0</v>
      </c>
      <c r="E125">
        <f>6.318*$E$123</f>
        <v>0</v>
      </c>
      <c r="F125">
        <f>-445.151*$F$123</f>
        <v>0</v>
      </c>
      <c r="G125">
        <f>-10.534*$G$123</f>
        <v>0</v>
      </c>
      <c r="H125">
        <f>0*$H$123</f>
        <v>0</v>
      </c>
      <c r="I125">
        <f>-37.851*$I$123</f>
        <v>0</v>
      </c>
      <c r="J125">
        <f>105.887*$J$123</f>
        <v>0</v>
      </c>
      <c r="K125">
        <f>-141.182*$K$123</f>
        <v>0</v>
      </c>
      <c r="L125">
        <f>0.007084*$L$123</f>
        <v>0</v>
      </c>
      <c r="M125">
        <f>0+D125+E125+G125+H125+I125+J125+K125+L125</f>
        <v>0</v>
      </c>
      <c r="N125">
        <f>0+D125+F125+G125+H125+I125+J125+K125+L125</f>
        <v>0</v>
      </c>
    </row>
    <row r="126" spans="3:14">
      <c r="C126" t="s">
        <v>16</v>
      </c>
      <c r="D126">
        <f>-232.115*$D$123</f>
        <v>0</v>
      </c>
      <c r="E126">
        <f>13.156*$E$123</f>
        <v>0</v>
      </c>
      <c r="F126">
        <f>-423.139*$F$123</f>
        <v>0</v>
      </c>
      <c r="G126">
        <f>-10.733*$G$123</f>
        <v>0</v>
      </c>
      <c r="H126">
        <f>0*$H$123</f>
        <v>0</v>
      </c>
      <c r="I126">
        <f>-35.662*$I$123</f>
        <v>0</v>
      </c>
      <c r="J126">
        <f>98.457*$J$123</f>
        <v>0</v>
      </c>
      <c r="K126">
        <f>-131.276*$K$123</f>
        <v>0</v>
      </c>
      <c r="L126">
        <f>0.006939*$L$123</f>
        <v>0</v>
      </c>
      <c r="M126">
        <f>0+D126+E126+G126+H126+I126+J126+K126+L126</f>
        <v>0</v>
      </c>
      <c r="N126">
        <f>0+D126+F126+G126+H126+I126+J126+K126+L126</f>
        <v>0</v>
      </c>
    </row>
    <row r="127" spans="3:14">
      <c r="C127" t="s">
        <v>16</v>
      </c>
      <c r="D127">
        <f>-229.887*$D$123</f>
        <v>0</v>
      </c>
      <c r="E127">
        <f>20.966*$E$123</f>
        <v>0</v>
      </c>
      <c r="F127">
        <f>-393.601*$F$123</f>
        <v>0</v>
      </c>
      <c r="G127">
        <f>-11.347*$G$123</f>
        <v>0</v>
      </c>
      <c r="H127">
        <f>0*$H$123</f>
        <v>0</v>
      </c>
      <c r="I127">
        <f>-33.115*$I$123</f>
        <v>0</v>
      </c>
      <c r="J127">
        <f>90.41*$J$123</f>
        <v>0</v>
      </c>
      <c r="K127">
        <f>-120.547*$K$123</f>
        <v>0</v>
      </c>
      <c r="L127">
        <f>0.007192*$L$123</f>
        <v>0</v>
      </c>
      <c r="M127">
        <f>0+D127+E127+G127+H127+I127+J127+K127+L127</f>
        <v>0</v>
      </c>
      <c r="N127">
        <f>0+D127+F127+G127+H127+I127+J127+K127+L127</f>
        <v>0</v>
      </c>
    </row>
    <row r="128" spans="3:14">
      <c r="C128" t="s">
        <v>17</v>
      </c>
      <c r="D128">
        <f>-203.812*$D$123</f>
        <v>0</v>
      </c>
      <c r="E128">
        <f>27.24*$E$123</f>
        <v>0</v>
      </c>
      <c r="F128">
        <f>-375.238*$F$123</f>
        <v>0</v>
      </c>
      <c r="G128">
        <f>-11.808*$G$123</f>
        <v>0</v>
      </c>
      <c r="H128">
        <f>0*$H$123</f>
        <v>0</v>
      </c>
      <c r="I128">
        <f>-30.898*$I$123</f>
        <v>0</v>
      </c>
      <c r="J128">
        <f>81.847*$J$123</f>
        <v>0</v>
      </c>
      <c r="K128">
        <f>-109.13*$K$123</f>
        <v>0</v>
      </c>
      <c r="L128">
        <f>0.007254*$L$123</f>
        <v>0</v>
      </c>
      <c r="M128">
        <f>0+D128+E128+G128+H128+I128+J128+K128+L128</f>
        <v>0</v>
      </c>
      <c r="N128">
        <f>0+D128+F128+G128+H128+I128+J128+K128+L128</f>
        <v>0</v>
      </c>
    </row>
    <row r="129" spans="3:14">
      <c r="C129" t="s">
        <v>17</v>
      </c>
      <c r="D129">
        <f>-201.617*$D$123</f>
        <v>0</v>
      </c>
      <c r="E129">
        <f>40.101*$E$123</f>
        <v>0</v>
      </c>
      <c r="F129">
        <f>-352.629*$F$123</f>
        <v>0</v>
      </c>
      <c r="G129">
        <f>-12.22*$G$123</f>
        <v>0</v>
      </c>
      <c r="H129">
        <f>0*$H$123</f>
        <v>0</v>
      </c>
      <c r="I129">
        <f>-28.371*$I$123</f>
        <v>0</v>
      </c>
      <c r="J129">
        <f>76.595*$J$123</f>
        <v>0</v>
      </c>
      <c r="K129">
        <f>-102.127*$K$123</f>
        <v>0</v>
      </c>
      <c r="L129">
        <f>0.007288*$L$123</f>
        <v>0</v>
      </c>
      <c r="M129">
        <f>0+D129+E129+G129+H129+I129+J129+K129+L129</f>
        <v>0</v>
      </c>
      <c r="N129">
        <f>0+D129+F129+G129+H129+I129+J129+K129+L129</f>
        <v>0</v>
      </c>
    </row>
    <row r="130" spans="3:14">
      <c r="C130" t="s">
        <v>18</v>
      </c>
      <c r="D130">
        <f>-175.751*$D$123</f>
        <v>0</v>
      </c>
      <c r="E130">
        <f>50.872*$E$123</f>
        <v>0</v>
      </c>
      <c r="F130">
        <f>-336.097*$F$123</f>
        <v>0</v>
      </c>
      <c r="G130">
        <f>-12.487*$G$123</f>
        <v>0</v>
      </c>
      <c r="H130">
        <f>0*$H$123</f>
        <v>0</v>
      </c>
      <c r="I130">
        <f>-26.198*$I$123</f>
        <v>0</v>
      </c>
      <c r="J130">
        <f>72.972*$J$123</f>
        <v>0</v>
      </c>
      <c r="K130">
        <f>-97.296*$K$123</f>
        <v>0</v>
      </c>
      <c r="L130">
        <f>0.007195*$L$123</f>
        <v>0</v>
      </c>
      <c r="M130">
        <f>0+D130+E130+G130+H130+I130+J130+K130+L130</f>
        <v>0</v>
      </c>
      <c r="N130">
        <f>0+D130+F130+G130+H130+I130+J130+K130+L130</f>
        <v>0</v>
      </c>
    </row>
    <row r="131" spans="3:14">
      <c r="C131" t="s">
        <v>18</v>
      </c>
      <c r="D131">
        <f>-173.453*$D$123</f>
        <v>0</v>
      </c>
      <c r="E131">
        <f>66.658*$E$123</f>
        <v>0</v>
      </c>
      <c r="F131">
        <f>-314.637*$F$123</f>
        <v>0</v>
      </c>
      <c r="G131">
        <f>-12.63*$G$123</f>
        <v>0</v>
      </c>
      <c r="H131">
        <f>0*$H$123</f>
        <v>0</v>
      </c>
      <c r="I131">
        <f>-23.681*$I$123</f>
        <v>0</v>
      </c>
      <c r="J131">
        <f>70.315*$J$123</f>
        <v>0</v>
      </c>
      <c r="K131">
        <f>-93.754*$K$123</f>
        <v>0</v>
      </c>
      <c r="L131">
        <f>0.007118*$L$123</f>
        <v>0</v>
      </c>
      <c r="M131">
        <f>0+D131+E131+G131+H131+I131+J131+K131+L131</f>
        <v>0</v>
      </c>
      <c r="N131">
        <f>0+D131+F131+G131+H131+I131+J131+K131+L131</f>
        <v>0</v>
      </c>
    </row>
    <row r="132" spans="3:14">
      <c r="C132" t="s">
        <v>19</v>
      </c>
      <c r="D132">
        <f>-147.845*$D$123</f>
        <v>0</v>
      </c>
      <c r="E132">
        <f>78.28*$E$123</f>
        <v>0</v>
      </c>
      <c r="F132">
        <f>-299.835*$F$123</f>
        <v>0</v>
      </c>
      <c r="G132">
        <f>-12.579*$G$123</f>
        <v>0</v>
      </c>
      <c r="H132">
        <f>0*$H$123</f>
        <v>0</v>
      </c>
      <c r="I132">
        <f>-21.566*$I$123</f>
        <v>0</v>
      </c>
      <c r="J132">
        <f>67.898*$J$123</f>
        <v>0</v>
      </c>
      <c r="K132">
        <f>-90.53*$K$123</f>
        <v>0</v>
      </c>
      <c r="L132">
        <f>0.006885*$L$123</f>
        <v>0</v>
      </c>
      <c r="M132">
        <f>0+D132+E132+G132+H132+I132+J132+K132+L132</f>
        <v>0</v>
      </c>
      <c r="N132">
        <f>0+D132+F132+G132+H132+I132+J132+K132+L132</f>
        <v>0</v>
      </c>
    </row>
    <row r="133" spans="3:14">
      <c r="C133" t="s">
        <v>19</v>
      </c>
      <c r="D133">
        <f>-156.039*$D$123</f>
        <v>0</v>
      </c>
      <c r="E133">
        <f>89.013*$E$123</f>
        <v>0</v>
      </c>
      <c r="F133">
        <f>-292.632*$F$123</f>
        <v>0</v>
      </c>
      <c r="G133">
        <f>-13.468*$G$123</f>
        <v>0</v>
      </c>
      <c r="H133">
        <f>0*$H$123</f>
        <v>0</v>
      </c>
      <c r="I133">
        <f>-20.568*$I$123</f>
        <v>0</v>
      </c>
      <c r="J133">
        <f>57.814*$J$123</f>
        <v>0</v>
      </c>
      <c r="K133">
        <f>-77.086*$K$123</f>
        <v>0</v>
      </c>
      <c r="L133">
        <f>0.006188*$L$123</f>
        <v>0</v>
      </c>
      <c r="M133">
        <f>0+D133+E133+G133+H133+I133+J133+K133+L133</f>
        <v>0</v>
      </c>
      <c r="N133">
        <f>0+D133+F133+G133+H133+I133+J133+K133+L133</f>
        <v>0</v>
      </c>
    </row>
    <row r="134" spans="3:14">
      <c r="C134" t="s">
        <v>20</v>
      </c>
      <c r="D134">
        <f>-130.623*$D$123</f>
        <v>0</v>
      </c>
      <c r="E134">
        <f>99.795*$E$123</f>
        <v>0</v>
      </c>
      <c r="F134">
        <f>-278.549*$F$123</f>
        <v>0</v>
      </c>
      <c r="G134">
        <f>-13.045*$G$123</f>
        <v>0</v>
      </c>
      <c r="H134">
        <f>0*$H$123</f>
        <v>0</v>
      </c>
      <c r="I134">
        <f>-18.498*$I$123</f>
        <v>0</v>
      </c>
      <c r="J134">
        <f>55.028*$J$123</f>
        <v>0</v>
      </c>
      <c r="K134">
        <f>-73.37*$K$123</f>
        <v>0</v>
      </c>
      <c r="L134">
        <f>0.006049*$L$123</f>
        <v>0</v>
      </c>
      <c r="M134">
        <f>0+D134+E134+G134+H134+I134+J134+K134+L134</f>
        <v>0</v>
      </c>
      <c r="N134">
        <f>0+D134+F134+G134+H134+I134+J134+K134+L134</f>
        <v>0</v>
      </c>
    </row>
    <row r="135" spans="3:14">
      <c r="C135" t="s">
        <v>20</v>
      </c>
      <c r="D135">
        <f>-121.715*$D$123</f>
        <v>0</v>
      </c>
      <c r="E135">
        <f>81.828*$E$123</f>
        <v>0</v>
      </c>
      <c r="F135">
        <f>-284.797*$F$123</f>
        <v>0</v>
      </c>
      <c r="G135">
        <f>-6.743*$G$123</f>
        <v>0</v>
      </c>
      <c r="H135">
        <f>0*$H$123</f>
        <v>0</v>
      </c>
      <c r="I135">
        <f>-17.779*$I$123</f>
        <v>0</v>
      </c>
      <c r="J135">
        <f>-2.667*$J$123</f>
        <v>0</v>
      </c>
      <c r="K135">
        <f>3.555*$K$123</f>
        <v>0</v>
      </c>
      <c r="L135">
        <f>0.004819*$L$123</f>
        <v>0</v>
      </c>
      <c r="M135">
        <f>0+D135+E135+G135+H135+I135+J135+K135+L135</f>
        <v>0</v>
      </c>
      <c r="N135">
        <f>0+D135+F135+G135+H135+I135+J135+K135+L135</f>
        <v>0</v>
      </c>
    </row>
    <row r="136" spans="3:14">
      <c r="C136" t="s">
        <v>21</v>
      </c>
      <c r="D136">
        <f>-96.478*$D$123</f>
        <v>0</v>
      </c>
      <c r="E136">
        <f>91.874*$E$123</f>
        <v>0</v>
      </c>
      <c r="F136">
        <f>-270.84*$F$123</f>
        <v>0</v>
      </c>
      <c r="G136">
        <f>-6.215*$G$123</f>
        <v>0</v>
      </c>
      <c r="H136">
        <f>0*$H$123</f>
        <v>0</v>
      </c>
      <c r="I136">
        <f>-15.742*$I$123</f>
        <v>0</v>
      </c>
      <c r="J136">
        <f>-4.157*$J$123</f>
        <v>0</v>
      </c>
      <c r="K136">
        <f>5.543*$K$123</f>
        <v>0</v>
      </c>
      <c r="L136">
        <f>0.00475*$L$123</f>
        <v>0</v>
      </c>
      <c r="M136">
        <f>0+D136+E136+G136+H136+I136+J136+K136+L136</f>
        <v>0</v>
      </c>
      <c r="N136">
        <f>0+D136+F136+G136+H136+I136+J136+K136+L136</f>
        <v>0</v>
      </c>
    </row>
    <row r="137" spans="3:14">
      <c r="C137" t="s">
        <v>21</v>
      </c>
      <c r="D137">
        <f>-97.216*$D$123</f>
        <v>0</v>
      </c>
      <c r="E137">
        <f>105.055*$E$123</f>
        <v>0</v>
      </c>
      <c r="F137">
        <f>-254.617*$F$123</f>
        <v>0</v>
      </c>
      <c r="G137">
        <f>-6.15*$G$123</f>
        <v>0</v>
      </c>
      <c r="H137">
        <f>0*$H$123</f>
        <v>0</v>
      </c>
      <c r="I137">
        <f>-13.679*$I$123</f>
        <v>0</v>
      </c>
      <c r="J137">
        <f>-2.841*$J$123</f>
        <v>0</v>
      </c>
      <c r="K137">
        <f>3.788*$K$123</f>
        <v>0</v>
      </c>
      <c r="L137">
        <f>0.004675*$L$123</f>
        <v>0</v>
      </c>
      <c r="M137">
        <f>0+D137+E137+G137+H137+I137+J137+K137+L137</f>
        <v>0</v>
      </c>
      <c r="N137">
        <f>0+D137+F137+G137+H137+I137+J137+K137+L137</f>
        <v>0</v>
      </c>
    </row>
    <row r="138" spans="3:14">
      <c r="C138" t="s">
        <v>22</v>
      </c>
      <c r="D138">
        <f>-72.124*$D$123</f>
        <v>0</v>
      </c>
      <c r="E138">
        <f>115.89*$E$123</f>
        <v>0</v>
      </c>
      <c r="F138">
        <f>-241.583*$F$123</f>
        <v>0</v>
      </c>
      <c r="G138">
        <f>-5.833*$G$123</f>
        <v>0</v>
      </c>
      <c r="H138">
        <f>0*$H$123</f>
        <v>0</v>
      </c>
      <c r="I138">
        <f>-11.659*$I$123</f>
        <v>0</v>
      </c>
      <c r="J138">
        <f>-1.902*$J$123</f>
        <v>0</v>
      </c>
      <c r="K138">
        <f>2.536*$K$123</f>
        <v>0</v>
      </c>
      <c r="L138">
        <f>0.004617*$L$123</f>
        <v>0</v>
      </c>
      <c r="M138">
        <f>0+D138+E138+G138+H138+I138+J138+K138+L138</f>
        <v>0</v>
      </c>
      <c r="N138">
        <f>0+D138+F138+G138+H138+I138+J138+K138+L138</f>
        <v>0</v>
      </c>
    </row>
    <row r="139" spans="3:14">
      <c r="C139" t="s">
        <v>22</v>
      </c>
      <c r="D139">
        <f>-72.895*$D$123</f>
        <v>0</v>
      </c>
      <c r="E139">
        <f>129.333*$E$123</f>
        <v>0</v>
      </c>
      <c r="F139">
        <f>-226.277*$F$123</f>
        <v>0</v>
      </c>
      <c r="G139">
        <f>-5.819*$G$123</f>
        <v>0</v>
      </c>
      <c r="H139">
        <f>0*$H$123</f>
        <v>0</v>
      </c>
      <c r="I139">
        <f>-9.617*$I$123</f>
        <v>0</v>
      </c>
      <c r="J139">
        <f>0.684*$J$123</f>
        <v>0</v>
      </c>
      <c r="K139">
        <f>-0.912*$K$123</f>
        <v>0</v>
      </c>
      <c r="L139">
        <f>0.004466*$L$123</f>
        <v>0</v>
      </c>
      <c r="M139">
        <f>0+D139+E139+G139+H139+I139+J139+K139+L139</f>
        <v>0</v>
      </c>
      <c r="N139">
        <f>0+D139+F139+G139+H139+I139+J139+K139+L139</f>
        <v>0</v>
      </c>
    </row>
    <row r="140" spans="3:14">
      <c r="C140" t="s">
        <v>23</v>
      </c>
      <c r="D140">
        <f>-47.87*$D$123</f>
        <v>0</v>
      </c>
      <c r="E140">
        <f>140.434*$E$123</f>
        <v>0</v>
      </c>
      <c r="F140">
        <f>-213.814*$F$123</f>
        <v>0</v>
      </c>
      <c r="G140">
        <f>-5.6*$G$123</f>
        <v>0</v>
      </c>
      <c r="H140">
        <f>0*$H$123</f>
        <v>0</v>
      </c>
      <c r="I140">
        <f>-7.6*$I$123</f>
        <v>0</v>
      </c>
      <c r="J140">
        <f>3.068*$J$123</f>
        <v>0</v>
      </c>
      <c r="K140">
        <f>-4.09*$K$123</f>
        <v>0</v>
      </c>
      <c r="L140">
        <f>0.004275*$L$123</f>
        <v>0</v>
      </c>
      <c r="M140">
        <f>0+D140+E140+G140+H140+I140+J140+K140+L140</f>
        <v>0</v>
      </c>
      <c r="N140">
        <f>0+D140+F140+G140+H140+I140+J140+K140+L140</f>
        <v>0</v>
      </c>
    </row>
    <row r="141" spans="3:14">
      <c r="C141" t="s">
        <v>23</v>
      </c>
      <c r="D141">
        <f>-48.838*$D$123</f>
        <v>0</v>
      </c>
      <c r="E141">
        <f>154.129*$E$123</f>
        <v>0</v>
      </c>
      <c r="F141">
        <f>-199.161*$F$123</f>
        <v>0</v>
      </c>
      <c r="G141">
        <f>-5.551*$G$123</f>
        <v>0</v>
      </c>
      <c r="H141">
        <f>0*$H$123</f>
        <v>0</v>
      </c>
      <c r="I141">
        <f>-5.573*$I$123</f>
        <v>0</v>
      </c>
      <c r="J141">
        <f>6.1*$J$123</f>
        <v>0</v>
      </c>
      <c r="K141">
        <f>-8.134*$K$123</f>
        <v>0</v>
      </c>
      <c r="L141">
        <f>0.004034*$L$123</f>
        <v>0</v>
      </c>
      <c r="M141">
        <f>0+D141+E141+G141+H141+I141+J141+K141+L141</f>
        <v>0</v>
      </c>
      <c r="N141">
        <f>0+D141+F141+G141+H141+I141+J141+K141+L141</f>
        <v>0</v>
      </c>
    </row>
    <row r="142" spans="3:14">
      <c r="C142" t="s">
        <v>24</v>
      </c>
      <c r="D142">
        <f>-23.892*$D$123</f>
        <v>0</v>
      </c>
      <c r="E142">
        <f>163.999*$E$123</f>
        <v>0</v>
      </c>
      <c r="F142">
        <f>-187.483*$F$123</f>
        <v>0</v>
      </c>
      <c r="G142">
        <f>-5.153*$G$123</f>
        <v>0</v>
      </c>
      <c r="H142">
        <f>0*$H$123</f>
        <v>0</v>
      </c>
      <c r="I142">
        <f>-3.579*$I$123</f>
        <v>0</v>
      </c>
      <c r="J142">
        <f>8.029*$J$123</f>
        <v>0</v>
      </c>
      <c r="K142">
        <f>-10.705*$K$123</f>
        <v>0</v>
      </c>
      <c r="L142">
        <f>0.003701*$L$123</f>
        <v>0</v>
      </c>
      <c r="M142">
        <f>0+D142+E142+G142+H142+I142+J142+K142+L142</f>
        <v>0</v>
      </c>
      <c r="N142">
        <f>0+D142+F142+G142+H142+I142+J142+K142+L142</f>
        <v>0</v>
      </c>
    </row>
    <row r="143" spans="3:14">
      <c r="C143" t="s">
        <v>24</v>
      </c>
      <c r="D143">
        <f>-24.887*$D$123</f>
        <v>0</v>
      </c>
      <c r="E143">
        <f>178.05*$E$123</f>
        <v>0</v>
      </c>
      <c r="F143">
        <f>-173.185*$F$123</f>
        <v>0</v>
      </c>
      <c r="G143">
        <f>-4.986*$G$123</f>
        <v>0</v>
      </c>
      <c r="H143">
        <f>0*$H$123</f>
        <v>0</v>
      </c>
      <c r="I143">
        <f>-1.558*$I$123</f>
        <v>0</v>
      </c>
      <c r="J143">
        <f>10.67*$J$123</f>
        <v>0</v>
      </c>
      <c r="K143">
        <f>-14.227*$K$123</f>
        <v>0</v>
      </c>
      <c r="L143">
        <f>0.003409*$L$123</f>
        <v>0</v>
      </c>
      <c r="M143">
        <f>0+D143+E143+G143+H143+I143+J143+K143+L143</f>
        <v>0</v>
      </c>
      <c r="N143">
        <f>0+D143+F143+G143+H143+I143+J143+K143+L143</f>
        <v>0</v>
      </c>
    </row>
    <row r="144" spans="3:14">
      <c r="C144" t="s">
        <v>25</v>
      </c>
      <c r="D144">
        <f>0.113*$D$123</f>
        <v>0</v>
      </c>
      <c r="E144">
        <f>189.757*$E$123</f>
        <v>0</v>
      </c>
      <c r="F144">
        <f>-161.553*$F$123</f>
        <v>0</v>
      </c>
      <c r="G144">
        <f>-4.299*$G$123</f>
        <v>0</v>
      </c>
      <c r="H144">
        <f>0*$H$123</f>
        <v>0</v>
      </c>
      <c r="I144">
        <f>0.434*$I$123</f>
        <v>0</v>
      </c>
      <c r="J144">
        <f>11.066*$J$123</f>
        <v>0</v>
      </c>
      <c r="K144">
        <f>-14.754*$K$123</f>
        <v>0</v>
      </c>
      <c r="L144">
        <f>0.003196*$L$123</f>
        <v>0</v>
      </c>
      <c r="M144">
        <f>0+D144+E144+G144+H144+I144+J144+K144+L144</f>
        <v>0</v>
      </c>
      <c r="N144">
        <f>0+D144+F144+G144+H144+I144+J144+K144+L144</f>
        <v>0</v>
      </c>
    </row>
    <row r="145" spans="3:14">
      <c r="C145" t="s">
        <v>25</v>
      </c>
      <c r="D145">
        <f>6.765*$D$123</f>
        <v>0</v>
      </c>
      <c r="E145">
        <f>164.126*$E$123</f>
        <v>0</v>
      </c>
      <c r="F145">
        <f>-185.14*$F$123</f>
        <v>0</v>
      </c>
      <c r="G145">
        <f>5.469*$G$123</f>
        <v>0</v>
      </c>
      <c r="H145">
        <f>0*$H$123</f>
        <v>0</v>
      </c>
      <c r="I145">
        <f>0.564*$I$123</f>
        <v>0</v>
      </c>
      <c r="J145">
        <f>-9.467*$J$123</f>
        <v>0</v>
      </c>
      <c r="K145">
        <f>12.623*$K$123</f>
        <v>0</v>
      </c>
      <c r="L145">
        <f>0.0006192*$L$123</f>
        <v>0</v>
      </c>
      <c r="M145">
        <f>0+D145+E145+G145+H145+I145+J145+K145+L145</f>
        <v>0</v>
      </c>
      <c r="N145">
        <f>0+D145+F145+G145+H145+I145+J145+K145+L145</f>
        <v>0</v>
      </c>
    </row>
    <row r="146" spans="3:14">
      <c r="C146" t="s">
        <v>26</v>
      </c>
      <c r="D146">
        <f>31.761*$D$123</f>
        <v>0</v>
      </c>
      <c r="E146">
        <f>175.506*$E$123</f>
        <v>0</v>
      </c>
      <c r="F146">
        <f>-174.633*$F$123</f>
        <v>0</v>
      </c>
      <c r="G146">
        <f>6.169*$G$123</f>
        <v>0</v>
      </c>
      <c r="H146">
        <f>0*$H$123</f>
        <v>0</v>
      </c>
      <c r="I146">
        <f>2.555*$I$123</f>
        <v>0</v>
      </c>
      <c r="J146">
        <f>-8.95*$J$123</f>
        <v>0</v>
      </c>
      <c r="K146">
        <f>11.934*$K$123</f>
        <v>0</v>
      </c>
      <c r="L146">
        <f>0.0004508*$L$123</f>
        <v>0</v>
      </c>
      <c r="M146">
        <f>0+D146+E146+G146+H146+I146+J146+K146+L146</f>
        <v>0</v>
      </c>
      <c r="N146">
        <f>0+D146+F146+G146+H146+I146+J146+K146+L146</f>
        <v>0</v>
      </c>
    </row>
    <row r="147" spans="3:14">
      <c r="C147" t="s">
        <v>26</v>
      </c>
      <c r="D147">
        <f>30.726*$D$123</f>
        <v>0</v>
      </c>
      <c r="E147">
        <f>189.45*$E$123</f>
        <v>0</v>
      </c>
      <c r="F147">
        <f>-158.959*$F$123</f>
        <v>0</v>
      </c>
      <c r="G147">
        <f>6.351*$G$123</f>
        <v>0</v>
      </c>
      <c r="H147">
        <f>0*$H$123</f>
        <v>0</v>
      </c>
      <c r="I147">
        <f>4.569*$I$123</f>
        <v>0</v>
      </c>
      <c r="J147">
        <f>-6.151*$J$123</f>
        <v>0</v>
      </c>
      <c r="K147">
        <f>8.202*$K$123</f>
        <v>0</v>
      </c>
      <c r="L147">
        <f>0.0001728*$L$123</f>
        <v>0</v>
      </c>
      <c r="M147">
        <f>0+D147+E147+G147+H147+I147+J147+K147+L147</f>
        <v>0</v>
      </c>
      <c r="N147">
        <f>0+D147+F147+G147+H147+I147+J147+K147+L147</f>
        <v>0</v>
      </c>
    </row>
    <row r="148" spans="3:14">
      <c r="C148" t="s">
        <v>27</v>
      </c>
      <c r="D148">
        <f>55.628*$D$123</f>
        <v>0</v>
      </c>
      <c r="E148">
        <f>200.932*$E$123</f>
        <v>0</v>
      </c>
      <c r="F148">
        <f>-152.562*$F$123</f>
        <v>0</v>
      </c>
      <c r="G148">
        <f>6.776*$G$123</f>
        <v>0</v>
      </c>
      <c r="H148">
        <f>0*$H$123</f>
        <v>0</v>
      </c>
      <c r="I148">
        <f>6.555*$I$123</f>
        <v>0</v>
      </c>
      <c r="J148">
        <f>-3.955*$J$123</f>
        <v>0</v>
      </c>
      <c r="K148">
        <f>5.273*$K$123</f>
        <v>0</v>
      </c>
      <c r="L148">
        <f>-0.00006257*$L$123</f>
        <v>0</v>
      </c>
      <c r="M148">
        <f>0+D148+E148+G148+H148+I148+J148+K148+L148</f>
        <v>0</v>
      </c>
      <c r="N148">
        <f>0+D148+F148+G148+H148+I148+J148+K148+L148</f>
        <v>0</v>
      </c>
    </row>
    <row r="149" spans="3:14">
      <c r="C149" t="s">
        <v>27</v>
      </c>
      <c r="D149">
        <f>54.588*$D$123</f>
        <v>0</v>
      </c>
      <c r="E149">
        <f>215.193*$E$123</f>
        <v>0</v>
      </c>
      <c r="F149">
        <f>-139.275*$F$123</f>
        <v>0</v>
      </c>
      <c r="G149">
        <f>6.86*$G$123</f>
        <v>0</v>
      </c>
      <c r="H149">
        <f>0*$H$123</f>
        <v>0</v>
      </c>
      <c r="I149">
        <f>8.57*$I$123</f>
        <v>0</v>
      </c>
      <c r="J149">
        <f>-0.561*$J$123</f>
        <v>0</v>
      </c>
      <c r="K149">
        <f>0.748*$K$123</f>
        <v>0</v>
      </c>
      <c r="L149">
        <f>-0.0004845*$L$123</f>
        <v>0</v>
      </c>
      <c r="M149">
        <f>0+D149+E149+G149+H149+I149+J149+K149+L149</f>
        <v>0</v>
      </c>
      <c r="N149">
        <f>0+D149+F149+G149+H149+I149+J149+K149+L149</f>
        <v>0</v>
      </c>
    </row>
    <row r="150" spans="3:14">
      <c r="C150" t="s">
        <v>28</v>
      </c>
      <c r="D150">
        <f>79.547*$D$123</f>
        <v>0</v>
      </c>
      <c r="E150">
        <f>227.364*$E$123</f>
        <v>0</v>
      </c>
      <c r="F150">
        <f>-134.926*$F$123</f>
        <v>0</v>
      </c>
      <c r="G150">
        <f>7.124*$G$123</f>
        <v>0</v>
      </c>
      <c r="H150">
        <f>0*$H$123</f>
        <v>0</v>
      </c>
      <c r="I150">
        <f>10.574*$I$123</f>
        <v>0</v>
      </c>
      <c r="J150">
        <f>2.295*$J$123</f>
        <v>0</v>
      </c>
      <c r="K150">
        <f>-3.06*$K$123</f>
        <v>0</v>
      </c>
      <c r="L150">
        <f>-0.0008884*$L$123</f>
        <v>0</v>
      </c>
      <c r="M150">
        <f>0+D150+E150+G150+H150+I150+J150+K150+L150</f>
        <v>0</v>
      </c>
      <c r="N150">
        <f>0+D150+F150+G150+H150+I150+J150+K150+L150</f>
        <v>0</v>
      </c>
    </row>
    <row r="151" spans="3:14">
      <c r="C151" t="s">
        <v>28</v>
      </c>
      <c r="D151">
        <f>78.714*$D$123</f>
        <v>0</v>
      </c>
      <c r="E151">
        <f>245.469*$E$123</f>
        <v>0</v>
      </c>
      <c r="F151">
        <f>-120.594*$F$123</f>
        <v>0</v>
      </c>
      <c r="G151">
        <f>7.205*$G$123</f>
        <v>0</v>
      </c>
      <c r="H151">
        <f>0*$H$123</f>
        <v>0</v>
      </c>
      <c r="I151">
        <f>12.602*$I$123</f>
        <v>0</v>
      </c>
      <c r="J151">
        <f>5.542*$J$123</f>
        <v>0</v>
      </c>
      <c r="K151">
        <f>-7.39*$K$123</f>
        <v>0</v>
      </c>
      <c r="L151">
        <f>-0.001394*$L$123</f>
        <v>0</v>
      </c>
      <c r="M151">
        <f>0+D151+E151+G151+H151+I151+J151+K151+L151</f>
        <v>0</v>
      </c>
      <c r="N151">
        <f>0+D151+F151+G151+H151+I151+J151+K151+L151</f>
        <v>0</v>
      </c>
    </row>
    <row r="152" spans="3:14">
      <c r="C152" t="s">
        <v>29</v>
      </c>
      <c r="D152">
        <f>103.812*$D$123</f>
        <v>0</v>
      </c>
      <c r="E152">
        <f>255.945*$E$123</f>
        <v>0</v>
      </c>
      <c r="F152">
        <f>-110.039*$F$123</f>
        <v>0</v>
      </c>
      <c r="G152">
        <f>7.617*$G$123</f>
        <v>0</v>
      </c>
      <c r="H152">
        <f>0*$H$123</f>
        <v>0</v>
      </c>
      <c r="I152">
        <f>14.616*$I$123</f>
        <v>0</v>
      </c>
      <c r="J152">
        <f>7.416*$J$123</f>
        <v>0</v>
      </c>
      <c r="K152">
        <f>-9.889*$K$123</f>
        <v>0</v>
      </c>
      <c r="L152">
        <f>-0.001927*$L$123</f>
        <v>0</v>
      </c>
      <c r="M152">
        <f>0+D152+E152+G152+H152+I152+J152+K152+L152</f>
        <v>0</v>
      </c>
      <c r="N152">
        <f>0+D152+F152+G152+H152+I152+J152+K152+L152</f>
        <v>0</v>
      </c>
    </row>
    <row r="153" spans="3:14">
      <c r="C153" t="s">
        <v>29</v>
      </c>
      <c r="D153">
        <f>103.075*$D$123</f>
        <v>0</v>
      </c>
      <c r="E153">
        <f>271.846*$E$123</f>
        <v>0</v>
      </c>
      <c r="F153">
        <f>-91.46*$F$123</f>
        <v>0</v>
      </c>
      <c r="G153">
        <f>7.786*$G$123</f>
        <v>0</v>
      </c>
      <c r="H153">
        <f>0*$H$123</f>
        <v>0</v>
      </c>
      <c r="I153">
        <f>16.672*$I$123</f>
        <v>0</v>
      </c>
      <c r="J153">
        <f>9.786*$J$123</f>
        <v>0</v>
      </c>
      <c r="K153">
        <f>-13.048*$K$123</f>
        <v>0</v>
      </c>
      <c r="L153">
        <f>-0.002448*$L$123</f>
        <v>0</v>
      </c>
      <c r="M153">
        <f>0+D153+E153+G153+H153+I153+J153+K153+L153</f>
        <v>0</v>
      </c>
      <c r="N153">
        <f>0+D153+F153+G153+H153+I153+J153+K153+L153</f>
        <v>0</v>
      </c>
    </row>
    <row r="154" spans="3:14">
      <c r="C154" t="s">
        <v>30</v>
      </c>
      <c r="D154">
        <f>128.422*$D$123</f>
        <v>0</v>
      </c>
      <c r="E154">
        <f>287.165*$E$123</f>
        <v>0</v>
      </c>
      <c r="F154">
        <f>-87.328*$F$123</f>
        <v>0</v>
      </c>
      <c r="G154">
        <f>8.448*$G$123</f>
        <v>0</v>
      </c>
      <c r="H154">
        <f>0*$H$123</f>
        <v>0</v>
      </c>
      <c r="I154">
        <f>18.714*$I$123</f>
        <v>0</v>
      </c>
      <c r="J154">
        <f>9.717*$J$123</f>
        <v>0</v>
      </c>
      <c r="K154">
        <f>-12.956*$K$123</f>
        <v>0</v>
      </c>
      <c r="L154">
        <f>-0.002998*$L$123</f>
        <v>0</v>
      </c>
      <c r="M154">
        <f>0+D154+E154+G154+H154+I154+J154+K154+L154</f>
        <v>0</v>
      </c>
      <c r="N154">
        <f>0+D154+F154+G154+H154+I154+J154+K154+L154</f>
        <v>0</v>
      </c>
    </row>
    <row r="155" spans="3:14">
      <c r="C155" t="s">
        <v>30</v>
      </c>
      <c r="D155">
        <f>145.926*$D$123</f>
        <v>0</v>
      </c>
      <c r="E155">
        <f>280.578*$E$123</f>
        <v>0</v>
      </c>
      <c r="F155">
        <f>-109.545*$F$123</f>
        <v>0</v>
      </c>
      <c r="G155">
        <f>17.542*$G$123</f>
        <v>0</v>
      </c>
      <c r="H155">
        <f>0*$H$123</f>
        <v>0</v>
      </c>
      <c r="I155">
        <f>20.347*$I$123</f>
        <v>0</v>
      </c>
      <c r="J155">
        <f>-23.024*$J$123</f>
        <v>0</v>
      </c>
      <c r="K155">
        <f>30.699*$K$123</f>
        <v>0</v>
      </c>
      <c r="L155">
        <f>0.001645*$L$123</f>
        <v>0</v>
      </c>
      <c r="M155">
        <f>0+D155+E155+G155+H155+I155+J155+K155+L155</f>
        <v>0</v>
      </c>
      <c r="N155">
        <f>0+D155+F155+G155+H155+I155+J155+K155+L155</f>
        <v>0</v>
      </c>
    </row>
    <row r="156" spans="3:14">
      <c r="C156" t="s">
        <v>31</v>
      </c>
      <c r="D156">
        <f>169.362*$D$123</f>
        <v>0</v>
      </c>
      <c r="E156">
        <f>292.589*$E$123</f>
        <v>0</v>
      </c>
      <c r="F156">
        <f>-100.363*$F$123</f>
        <v>0</v>
      </c>
      <c r="G156">
        <f>18.174*$G$123</f>
        <v>0</v>
      </c>
      <c r="H156">
        <f>0*$H$123</f>
        <v>0</v>
      </c>
      <c r="I156">
        <f>22.256*$I$123</f>
        <v>0</v>
      </c>
      <c r="J156">
        <f>-23.94*$J$123</f>
        <v>0</v>
      </c>
      <c r="K156">
        <f>31.919*$K$123</f>
        <v>0</v>
      </c>
      <c r="L156">
        <f>0.001628*$L$123</f>
        <v>0</v>
      </c>
      <c r="M156">
        <f>0+D156+E156+G156+H156+I156+J156+K156+L156</f>
        <v>0</v>
      </c>
      <c r="N156">
        <f>0+D156+F156+G156+H156+I156+J156+K156+L156</f>
        <v>0</v>
      </c>
    </row>
    <row r="157" spans="3:14">
      <c r="C157" t="s">
        <v>31</v>
      </c>
      <c r="D157">
        <f>162.617*$D$123</f>
        <v>0</v>
      </c>
      <c r="E157">
        <f>298.675*$E$123</f>
        <v>0</v>
      </c>
      <c r="F157">
        <f>-90.398*$F$123</f>
        <v>0</v>
      </c>
      <c r="G157">
        <f>17.717*$G$123</f>
        <v>0</v>
      </c>
      <c r="H157">
        <f>0*$H$123</f>
        <v>0</v>
      </c>
      <c r="I157">
        <f>23.245*$I$123</f>
        <v>0</v>
      </c>
      <c r="J157">
        <f>-30.464*$J$123</f>
        <v>0</v>
      </c>
      <c r="K157">
        <f>40.619*$K$123</f>
        <v>0</v>
      </c>
      <c r="L157">
        <f>0.001929*$L$123</f>
        <v>0</v>
      </c>
      <c r="M157">
        <f>0+D157+E157+G157+H157+I157+J157+K157+L157</f>
        <v>0</v>
      </c>
      <c r="N157">
        <f>0+D157+F157+G157+H157+I157+J157+K157+L157</f>
        <v>0</v>
      </c>
    </row>
    <row r="158" spans="3:14">
      <c r="C158" t="s">
        <v>32</v>
      </c>
      <c r="D158">
        <f>186.321*$D$123</f>
        <v>0</v>
      </c>
      <c r="E158">
        <f>311.426*$E$123</f>
        <v>0</v>
      </c>
      <c r="F158">
        <f>-79.967*$F$123</f>
        <v>0</v>
      </c>
      <c r="G158">
        <f>18.106*$G$123</f>
        <v>0</v>
      </c>
      <c r="H158">
        <f>0*$H$123</f>
        <v>0</v>
      </c>
      <c r="I158">
        <f>25.201*$I$123</f>
        <v>0</v>
      </c>
      <c r="J158">
        <f>-30.308*$J$123</f>
        <v>0</v>
      </c>
      <c r="K158">
        <f>40.411*$K$123</f>
        <v>0</v>
      </c>
      <c r="L158">
        <f>0.002931*$L$123</f>
        <v>0</v>
      </c>
      <c r="M158">
        <f>0+D158+E158+G158+H158+I158+J158+K158+L158</f>
        <v>0</v>
      </c>
      <c r="N158">
        <f>0+D158+F158+G158+H158+I158+J158+K158+L158</f>
        <v>0</v>
      </c>
    </row>
    <row r="159" spans="3:14">
      <c r="C159" t="s">
        <v>32</v>
      </c>
      <c r="D159">
        <f>187.439*$D$123</f>
        <v>0</v>
      </c>
      <c r="E159">
        <f>328.868*$E$123</f>
        <v>0</v>
      </c>
      <c r="F159">
        <f>-64.724*$F$123</f>
        <v>0</v>
      </c>
      <c r="G159">
        <f>18.23*$G$123</f>
        <v>0</v>
      </c>
      <c r="H159">
        <f>0*$H$123</f>
        <v>0</v>
      </c>
      <c r="I159">
        <f>27.328*$I$123</f>
        <v>0</v>
      </c>
      <c r="J159">
        <f>-30.312*$J$123</f>
        <v>0</v>
      </c>
      <c r="K159">
        <f>40.416*$K$123</f>
        <v>0</v>
      </c>
      <c r="L159">
        <f>0.004673*$L$123</f>
        <v>0</v>
      </c>
      <c r="M159">
        <f>0+D159+E159+G159+H159+I159+J159+K159+L159</f>
        <v>0</v>
      </c>
      <c r="N159">
        <f>0+D159+F159+G159+H159+I159+J159+K159+L159</f>
        <v>0</v>
      </c>
    </row>
    <row r="160" spans="3:14">
      <c r="C160" t="s">
        <v>33</v>
      </c>
      <c r="D160">
        <f>211.56*$D$123</f>
        <v>0</v>
      </c>
      <c r="E160">
        <f>343.736*$E$123</f>
        <v>0</v>
      </c>
      <c r="F160">
        <f>-51.878*$F$123</f>
        <v>0</v>
      </c>
      <c r="G160">
        <f>18.442*$G$123</f>
        <v>0</v>
      </c>
      <c r="H160">
        <f>0*$H$123</f>
        <v>0</v>
      </c>
      <c r="I160">
        <f>29.354*$I$123</f>
        <v>0</v>
      </c>
      <c r="J160">
        <f>-29.977*$J$123</f>
        <v>0</v>
      </c>
      <c r="K160">
        <f>39.97*$K$123</f>
        <v>0</v>
      </c>
      <c r="L160">
        <f>0.00676*$L$123</f>
        <v>0</v>
      </c>
      <c r="M160">
        <f>0+D160+E160+G160+H160+I160+J160+K160+L160</f>
        <v>0</v>
      </c>
      <c r="N160">
        <f>0+D160+F160+G160+H160+I160+J160+K160+L160</f>
        <v>0</v>
      </c>
    </row>
    <row r="161" spans="3:14">
      <c r="C161" t="s">
        <v>33</v>
      </c>
      <c r="D161">
        <f>214.496*$D$123</f>
        <v>0</v>
      </c>
      <c r="E161">
        <f>365.109*$E$123</f>
        <v>0</v>
      </c>
      <c r="F161">
        <f>-39.205*$F$123</f>
        <v>0</v>
      </c>
      <c r="G161">
        <f>18.622*$G$123</f>
        <v>0</v>
      </c>
      <c r="H161">
        <f>0*$H$123</f>
        <v>0</v>
      </c>
      <c r="I161">
        <f>31.747*$I$123</f>
        <v>0</v>
      </c>
      <c r="J161">
        <f>-30.161*$J$123</f>
        <v>0</v>
      </c>
      <c r="K161">
        <f>40.214*$K$123</f>
        <v>0</v>
      </c>
      <c r="L161">
        <f>0.01*$L$123</f>
        <v>0</v>
      </c>
      <c r="M161">
        <f>0+D161+E161+G161+H161+I161+J161+K161+L161</f>
        <v>0</v>
      </c>
      <c r="N161">
        <f>0+D161+F161+G161+H161+I161+J161+K161+L161</f>
        <v>0</v>
      </c>
    </row>
    <row r="162" spans="3:14">
      <c r="C162" t="s">
        <v>34</v>
      </c>
      <c r="D162">
        <f>239.54*$D$123</f>
        <v>0</v>
      </c>
      <c r="E162">
        <f>383.44*$E$123</f>
        <v>0</v>
      </c>
      <c r="F162">
        <f>-31.754*$F$123</f>
        <v>0</v>
      </c>
      <c r="G162">
        <f>18.873*$G$123</f>
        <v>0</v>
      </c>
      <c r="H162">
        <f>0*$H$123</f>
        <v>0</v>
      </c>
      <c r="I162">
        <f>33.9*$I$123</f>
        <v>0</v>
      </c>
      <c r="J162">
        <f>-32.035*$J$123</f>
        <v>0</v>
      </c>
      <c r="K162">
        <f>42.714*$K$123</f>
        <v>0</v>
      </c>
      <c r="L162">
        <f>0.014*$L$123</f>
        <v>0</v>
      </c>
      <c r="M162">
        <f>0+D162+E162+G162+H162+I162+J162+K162+L162</f>
        <v>0</v>
      </c>
      <c r="N162">
        <f>0+D162+F162+G162+H162+I162+J162+K162+L162</f>
        <v>0</v>
      </c>
    </row>
    <row r="163" spans="3:14">
      <c r="C163" t="s">
        <v>34</v>
      </c>
      <c r="D163">
        <f>244.612*$D$123</f>
        <v>0</v>
      </c>
      <c r="E163">
        <f>411.135*$E$123</f>
        <v>0</v>
      </c>
      <c r="F163">
        <f>-20.533*$F$123</f>
        <v>0</v>
      </c>
      <c r="G163">
        <f>19.087*$G$123</f>
        <v>0</v>
      </c>
      <c r="H163">
        <f>0*$H$123</f>
        <v>0</v>
      </c>
      <c r="I163">
        <f>36.586*$I$123</f>
        <v>0</v>
      </c>
      <c r="J163">
        <f>-35.074*$J$123</f>
        <v>0</v>
      </c>
      <c r="K163">
        <f>46.765*$K$123</f>
        <v>0</v>
      </c>
      <c r="L163">
        <f>0.021*$L$123</f>
        <v>0</v>
      </c>
      <c r="M163">
        <f>0+D163+E163+G163+H163+I163+J163+K163+L163</f>
        <v>0</v>
      </c>
      <c r="N163">
        <f>0+D163+F163+G163+H163+I163+J163+K163+L163</f>
        <v>0</v>
      </c>
    </row>
    <row r="164" spans="3:14">
      <c r="C164" t="s">
        <v>35</v>
      </c>
      <c r="D164">
        <f>271.456*$D$123</f>
        <v>0</v>
      </c>
      <c r="E164">
        <f>436.587*$E$123</f>
        <v>0</v>
      </c>
      <c r="F164">
        <f>-13.573*$F$123</f>
        <v>0</v>
      </c>
      <c r="G164">
        <f>19.387*$G$123</f>
        <v>0</v>
      </c>
      <c r="H164">
        <f>0*$H$123</f>
        <v>0</v>
      </c>
      <c r="I164">
        <f>38.986*$I$123</f>
        <v>0</v>
      </c>
      <c r="J164">
        <f>-42.563*$J$123</f>
        <v>0</v>
      </c>
      <c r="K164">
        <f>56.751*$K$123</f>
        <v>0</v>
      </c>
      <c r="L164">
        <f>0.029*$L$123</f>
        <v>0</v>
      </c>
      <c r="M164">
        <f>0+D164+E164+G164+H164+I164+J164+K164+L164</f>
        <v>0</v>
      </c>
      <c r="N164">
        <f>0+D164+F164+G164+H164+I164+J164+K164+L164</f>
        <v>0</v>
      </c>
    </row>
    <row r="165" spans="3:14">
      <c r="C165" t="s">
        <v>35</v>
      </c>
      <c r="D165">
        <f>-24.214*$D$123</f>
        <v>0</v>
      </c>
      <c r="E165">
        <f>13.055*$E$123</f>
        <v>0</v>
      </c>
      <c r="F165">
        <f>-218.497*$F$123</f>
        <v>0</v>
      </c>
      <c r="G165">
        <f>0.633*$G$123</f>
        <v>0</v>
      </c>
      <c r="H165">
        <f>0*$H$123</f>
        <v>0</v>
      </c>
      <c r="I165">
        <f>-2.778*$I$123</f>
        <v>0</v>
      </c>
      <c r="J165">
        <f>12.688*$J$123</f>
        <v>0</v>
      </c>
      <c r="K165">
        <f>-16.917*$K$123</f>
        <v>0</v>
      </c>
      <c r="L165">
        <f>-0.02*$L$123</f>
        <v>0</v>
      </c>
      <c r="M165">
        <f>0+D165+E165+G165+H165+I165+J165+K165+L165</f>
        <v>0</v>
      </c>
      <c r="N165">
        <f>0+D165+F165+G165+H165+I165+J165+K165+L165</f>
        <v>0</v>
      </c>
    </row>
    <row r="166" spans="3:14">
      <c r="C166" t="s">
        <v>36</v>
      </c>
      <c r="D166">
        <f>-12.462*$D$123</f>
        <v>0</v>
      </c>
      <c r="E166">
        <f>13.055*$E$123</f>
        <v>0</v>
      </c>
      <c r="F166">
        <f>-219.399*$F$123</f>
        <v>0</v>
      </c>
      <c r="G166">
        <f>0.633*$G$123</f>
        <v>0</v>
      </c>
      <c r="H166">
        <f>0*$H$123</f>
        <v>0</v>
      </c>
      <c r="I166">
        <f>-2.778*$I$123</f>
        <v>0</v>
      </c>
      <c r="J166">
        <f>12.688*$J$123</f>
        <v>0</v>
      </c>
      <c r="K166">
        <f>-16.917*$K$123</f>
        <v>0</v>
      </c>
      <c r="L166">
        <f>-0.02*$L$123</f>
        <v>0</v>
      </c>
      <c r="M166">
        <f>0+D166+E166+G166+H166+I166+J166+K166+L166</f>
        <v>0</v>
      </c>
      <c r="N166">
        <f>0+D166+F166+G166+H166+I166+J166+K166+L166</f>
        <v>0</v>
      </c>
    </row>
    <row r="167" spans="3:14">
      <c r="C167" t="s">
        <v>36</v>
      </c>
      <c r="D167">
        <f>11.601*$D$123</f>
        <v>0</v>
      </c>
      <c r="E167">
        <f>25.882*$E$123</f>
        <v>0</v>
      </c>
      <c r="F167">
        <f>-13.476*$F$123</f>
        <v>0</v>
      </c>
      <c r="G167">
        <f>-0.531*$G$123</f>
        <v>0</v>
      </c>
      <c r="H167">
        <f>0*$H$123</f>
        <v>0</v>
      </c>
      <c r="I167">
        <f>2.647*$I$123</f>
        <v>0</v>
      </c>
      <c r="J167">
        <f>-11.405*$J$123</f>
        <v>0</v>
      </c>
      <c r="K167">
        <f>15.207*$K$123</f>
        <v>0</v>
      </c>
      <c r="L167">
        <f>-0.141*$L$123</f>
        <v>0</v>
      </c>
      <c r="M167">
        <f>0+D167+E167+G167+H167+I167+J167+K167+L167</f>
        <v>0</v>
      </c>
      <c r="N167">
        <f>0+D167+F167+G167+H167+I167+J167+K167+L167</f>
        <v>0</v>
      </c>
    </row>
    <row r="168" spans="3:14">
      <c r="C168" t="s">
        <v>37</v>
      </c>
      <c r="D168">
        <f>23.353*$D$123</f>
        <v>0</v>
      </c>
      <c r="E168">
        <f>24.652*$E$123</f>
        <v>0</v>
      </c>
      <c r="F168">
        <f>-13.476*$F$123</f>
        <v>0</v>
      </c>
      <c r="G168">
        <f>-0.531*$G$123</f>
        <v>0</v>
      </c>
      <c r="H168">
        <f>0*$H$123</f>
        <v>0</v>
      </c>
      <c r="I168">
        <f>2.647*$I$123</f>
        <v>0</v>
      </c>
      <c r="J168">
        <f>-11.405*$J$123</f>
        <v>0</v>
      </c>
      <c r="K168">
        <f>15.207*$K$123</f>
        <v>0</v>
      </c>
      <c r="L168">
        <f>-0.141*$L$123</f>
        <v>0</v>
      </c>
      <c r="M168">
        <f>0+D168+E168+G168+H168+I168+J168+K168+L168</f>
        <v>0</v>
      </c>
      <c r="N168">
        <f>0+D168+F168+G168+H168+I168+J168+K168+L168</f>
        <v>0</v>
      </c>
    </row>
    <row r="169" spans="3:14">
      <c r="C169" t="s">
        <v>37</v>
      </c>
      <c r="D169">
        <f>-270.981*$D$123</f>
        <v>0</v>
      </c>
      <c r="E169">
        <f>10.256*$E$123</f>
        <v>0</v>
      </c>
      <c r="F169">
        <f>-443.711*$F$123</f>
        <v>0</v>
      </c>
      <c r="G169">
        <f>-18.266*$G$123</f>
        <v>0</v>
      </c>
      <c r="H169">
        <f>0*$H$123</f>
        <v>0</v>
      </c>
      <c r="I169">
        <f>-38.949*$I$123</f>
        <v>0</v>
      </c>
      <c r="J169">
        <f>49.47*$J$123</f>
        <v>0</v>
      </c>
      <c r="K169">
        <f>-65.96*$K$123</f>
        <v>0</v>
      </c>
      <c r="L169">
        <f>0.408*$L$123</f>
        <v>0</v>
      </c>
      <c r="M169">
        <f>0+D169+E169+G169+H169+I169+J169+K169+L169</f>
        <v>0</v>
      </c>
      <c r="N169">
        <f>0+D169+F169+G169+H169+I169+J169+K169+L169</f>
        <v>0</v>
      </c>
    </row>
    <row r="170" spans="3:14">
      <c r="C170" t="s">
        <v>38</v>
      </c>
      <c r="D170">
        <f>-243.829*$D$123</f>
        <v>0</v>
      </c>
      <c r="E170">
        <f>16.789*$E$123</f>
        <v>0</v>
      </c>
      <c r="F170">
        <f>-418.778*$F$123</f>
        <v>0</v>
      </c>
      <c r="G170">
        <f>-18.008*$G$123</f>
        <v>0</v>
      </c>
      <c r="H170">
        <f>0*$H$123</f>
        <v>0</v>
      </c>
      <c r="I170">
        <f>-36.502*$I$123</f>
        <v>0</v>
      </c>
      <c r="J170">
        <f>41.467*$J$123</f>
        <v>0</v>
      </c>
      <c r="K170">
        <f>-55.289*$K$123</f>
        <v>0</v>
      </c>
      <c r="L170">
        <f>0.312*$L$123</f>
        <v>0</v>
      </c>
      <c r="M170">
        <f>0+D170+E170+G170+H170+I170+J170+K170+L170</f>
        <v>0</v>
      </c>
      <c r="N170">
        <f>0+D170+F170+G170+H170+I170+J170+K170+L170</f>
        <v>0</v>
      </c>
    </row>
    <row r="171" spans="3:14">
      <c r="C171" t="s">
        <v>38</v>
      </c>
      <c r="D171">
        <f>-238.497*$D$123</f>
        <v>0</v>
      </c>
      <c r="E171">
        <f>27.084*$E$123</f>
        <v>0</v>
      </c>
      <c r="F171">
        <f>-390.812*$F$123</f>
        <v>0</v>
      </c>
      <c r="G171">
        <f>-17.842*$G$123</f>
        <v>0</v>
      </c>
      <c r="H171">
        <f>0*$H$123</f>
        <v>0</v>
      </c>
      <c r="I171">
        <f>-33.776*$I$123</f>
        <v>0</v>
      </c>
      <c r="J171">
        <f>37.924*$J$123</f>
        <v>0</v>
      </c>
      <c r="K171">
        <f>-50.566*$K$123</f>
        <v>0</v>
      </c>
      <c r="L171">
        <f>0.236*$L$123</f>
        <v>0</v>
      </c>
      <c r="M171">
        <f>0+D171+E171+G171+H171+I171+J171+K171+L171</f>
        <v>0</v>
      </c>
      <c r="N171">
        <f>0+D171+F171+G171+H171+I171+J171+K171+L171</f>
        <v>0</v>
      </c>
    </row>
    <row r="172" spans="3:14">
      <c r="C172" t="s">
        <v>39</v>
      </c>
      <c r="D172">
        <f>-213.12*$D$123</f>
        <v>0</v>
      </c>
      <c r="E172">
        <f>33.146*$E$123</f>
        <v>0</v>
      </c>
      <c r="F172">
        <f>-371.77*$F$123</f>
        <v>0</v>
      </c>
      <c r="G172">
        <f>-17.637*$G$123</f>
        <v>0</v>
      </c>
      <c r="H172">
        <f>0*$H$123</f>
        <v>0</v>
      </c>
      <c r="I172">
        <f>-31.572*$I$123</f>
        <v>0</v>
      </c>
      <c r="J172">
        <f>35.492*$J$123</f>
        <v>0</v>
      </c>
      <c r="K172">
        <f>-47.322*$K$123</f>
        <v>0</v>
      </c>
      <c r="L172">
        <f>0.172*$L$123</f>
        <v>0</v>
      </c>
      <c r="M172">
        <f>0+D172+E172+G172+H172+I172+J172+K172+L172</f>
        <v>0</v>
      </c>
      <c r="N172">
        <f>0+D172+F172+G172+H172+I172+J172+K172+L172</f>
        <v>0</v>
      </c>
    </row>
    <row r="173" spans="3:14">
      <c r="C173" t="s">
        <v>39</v>
      </c>
      <c r="D173">
        <f>-209.928*$D$123</f>
        <v>0</v>
      </c>
      <c r="E173">
        <f>45.253*$E$123</f>
        <v>0</v>
      </c>
      <c r="F173">
        <f>-349.31*$F$123</f>
        <v>0</v>
      </c>
      <c r="G173">
        <f>-17.503*$G$123</f>
        <v>0</v>
      </c>
      <c r="H173">
        <f>0*$H$123</f>
        <v>0</v>
      </c>
      <c r="I173">
        <f>-29.14*$I$123</f>
        <v>0</v>
      </c>
      <c r="J173">
        <f>34.801*$J$123</f>
        <v>0</v>
      </c>
      <c r="K173">
        <f>-46.401*$K$123</f>
        <v>0</v>
      </c>
      <c r="L173">
        <f>0.112*$L$123</f>
        <v>0</v>
      </c>
      <c r="M173">
        <f>0+D173+E173+G173+H173+I173+J173+K173+L173</f>
        <v>0</v>
      </c>
      <c r="N173">
        <f>0+D173+F173+G173+H173+I173+J173+K173+L173</f>
        <v>0</v>
      </c>
    </row>
    <row r="174" spans="3:14">
      <c r="C174" t="s">
        <v>40</v>
      </c>
      <c r="D174">
        <f>-185.565*$D$123</f>
        <v>0</v>
      </c>
      <c r="E174">
        <f>56.567*$E$123</f>
        <v>0</v>
      </c>
      <c r="F174">
        <f>-333.478*$F$123</f>
        <v>0</v>
      </c>
      <c r="G174">
        <f>-17.327*$G$123</f>
        <v>0</v>
      </c>
      <c r="H174">
        <f>0*$H$123</f>
        <v>0</v>
      </c>
      <c r="I174">
        <f>-27.076*$I$123</f>
        <v>0</v>
      </c>
      <c r="J174">
        <f>34.702*$J$123</f>
        <v>0</v>
      </c>
      <c r="K174">
        <f>-46.269*$K$123</f>
        <v>0</v>
      </c>
      <c r="L174">
        <f>0.064*$L$123</f>
        <v>0</v>
      </c>
      <c r="M174">
        <f>0+D174+E174+G174+H174+I174+J174+K174+L174</f>
        <v>0</v>
      </c>
      <c r="N174">
        <f>0+D174+F174+G174+H174+I174+J174+K174+L174</f>
        <v>0</v>
      </c>
    </row>
    <row r="175" spans="3:14">
      <c r="C175" t="s">
        <v>40</v>
      </c>
      <c r="D175">
        <f>-184.236*$D$123</f>
        <v>0</v>
      </c>
      <c r="E175">
        <f>72.567*$E$123</f>
        <v>0</v>
      </c>
      <c r="F175">
        <f>-315.026*$F$123</f>
        <v>0</v>
      </c>
      <c r="G175">
        <f>-17.239*$G$123</f>
        <v>0</v>
      </c>
      <c r="H175">
        <f>0*$H$123</f>
        <v>0</v>
      </c>
      <c r="I175">
        <f>-24.917*$I$123</f>
        <v>0</v>
      </c>
      <c r="J175">
        <f>34.273*$J$123</f>
        <v>0</v>
      </c>
      <c r="K175">
        <f>-45.698*$K$123</f>
        <v>0</v>
      </c>
      <c r="L175">
        <f>0.017*$L$123</f>
        <v>0</v>
      </c>
      <c r="M175">
        <f>0+D175+E175+G175+H175+I175+J175+K175+L175</f>
        <v>0</v>
      </c>
      <c r="N175">
        <f>0+D175+F175+G175+H175+I175+J175+K175+L175</f>
        <v>0</v>
      </c>
    </row>
    <row r="176" spans="3:14">
      <c r="C176" t="s">
        <v>41</v>
      </c>
      <c r="D176">
        <f>-160.359*$D$123</f>
        <v>0</v>
      </c>
      <c r="E176">
        <f>83.742*$E$123</f>
        <v>0</v>
      </c>
      <c r="F176">
        <f>-301.325*$F$123</f>
        <v>0</v>
      </c>
      <c r="G176">
        <f>-16.882*$G$123</f>
        <v>0</v>
      </c>
      <c r="H176">
        <f>0*$H$123</f>
        <v>0</v>
      </c>
      <c r="I176">
        <f>-22.934*$I$123</f>
        <v>0</v>
      </c>
      <c r="J176">
        <f>34.07*$J$123</f>
        <v>0</v>
      </c>
      <c r="K176">
        <f>-45.426*$K$123</f>
        <v>0</v>
      </c>
      <c r="L176">
        <f>-0.026*$L$123</f>
        <v>0</v>
      </c>
      <c r="M176">
        <f>0+D176+E176+G176+H176+I176+J176+K176+L176</f>
        <v>0</v>
      </c>
      <c r="N176">
        <f>0+D176+F176+G176+H176+I176+J176+K176+L176</f>
        <v>0</v>
      </c>
    </row>
    <row r="177" spans="3:14">
      <c r="C177" t="s">
        <v>41</v>
      </c>
      <c r="D177">
        <f>-166.709*$D$123</f>
        <v>0</v>
      </c>
      <c r="E177">
        <f>94.412*$E$123</f>
        <v>0</v>
      </c>
      <c r="F177">
        <f>-294.283*$F$123</f>
        <v>0</v>
      </c>
      <c r="G177">
        <f>-17.359*$G$123</f>
        <v>0</v>
      </c>
      <c r="H177">
        <f>0*$H$123</f>
        <v>0</v>
      </c>
      <c r="I177">
        <f>-21.886*$I$123</f>
        <v>0</v>
      </c>
      <c r="J177">
        <f>27.075*$J$123</f>
        <v>0</v>
      </c>
      <c r="K177">
        <f>-36.1*$K$123</f>
        <v>0</v>
      </c>
      <c r="L177">
        <f>-0.078*$L$123</f>
        <v>0</v>
      </c>
      <c r="M177">
        <f>0+D177+E177+G177+H177+I177+J177+K177+L177</f>
        <v>0</v>
      </c>
      <c r="N177">
        <f>0+D177+F177+G177+H177+I177+J177+K177+L177</f>
        <v>0</v>
      </c>
    </row>
    <row r="178" spans="3:14">
      <c r="C178" t="s">
        <v>42</v>
      </c>
      <c r="D178">
        <f>-143.157*$D$123</f>
        <v>0</v>
      </c>
      <c r="E178">
        <f>104.159*$E$123</f>
        <v>0</v>
      </c>
      <c r="F178">
        <f>-281.664*$F$123</f>
        <v>0</v>
      </c>
      <c r="G178">
        <f>-16.754*$G$123</f>
        <v>0</v>
      </c>
      <c r="H178">
        <f>0*$H$123</f>
        <v>0</v>
      </c>
      <c r="I178">
        <f>-19.958*$I$123</f>
        <v>0</v>
      </c>
      <c r="J178">
        <f>25.865*$J$123</f>
        <v>0</v>
      </c>
      <c r="K178">
        <f>-34.487*$K$123</f>
        <v>0</v>
      </c>
      <c r="L178">
        <f>-0.108*$L$123</f>
        <v>0</v>
      </c>
      <c r="M178">
        <f>0+D178+E178+G178+H178+I178+J178+K178+L178</f>
        <v>0</v>
      </c>
      <c r="N178">
        <f>0+D178+F178+G178+H178+I178+J178+K178+L178</f>
        <v>0</v>
      </c>
    </row>
    <row r="179" spans="3:14">
      <c r="C179" t="s">
        <v>42</v>
      </c>
      <c r="D179">
        <f>-124.612*$D$123</f>
        <v>0</v>
      </c>
      <c r="E179">
        <f>85.004*$E$123</f>
        <v>0</v>
      </c>
      <c r="F179">
        <f>-282.681*$F$123</f>
        <v>0</v>
      </c>
      <c r="G179">
        <f>-7.852*$G$123</f>
        <v>0</v>
      </c>
      <c r="H179">
        <f>0*$H$123</f>
        <v>0</v>
      </c>
      <c r="I179">
        <f>-18.162*$I$123</f>
        <v>0</v>
      </c>
      <c r="J179">
        <f>-9.125*$J$123</f>
        <v>0</v>
      </c>
      <c r="K179">
        <f>12.166*$K$123</f>
        <v>0</v>
      </c>
      <c r="L179">
        <f>-0.371*$L$123</f>
        <v>0</v>
      </c>
      <c r="M179">
        <f>0+D179+E179+G179+H179+I179+J179+K179+L179</f>
        <v>0</v>
      </c>
      <c r="N179">
        <f>0+D179+F179+G179+H179+I179+J179+K179+L179</f>
        <v>0</v>
      </c>
    </row>
    <row r="180" spans="3:14">
      <c r="C180" t="s">
        <v>43</v>
      </c>
      <c r="D180">
        <f>-99.192*$D$123</f>
        <v>0</v>
      </c>
      <c r="E180">
        <f>90.266*$E$123</f>
        <v>0</v>
      </c>
      <c r="F180">
        <f>-270.274*$F$123</f>
        <v>0</v>
      </c>
      <c r="G180">
        <f>-7.213*$G$123</f>
        <v>0</v>
      </c>
      <c r="H180">
        <f>0*$H$123</f>
        <v>0</v>
      </c>
      <c r="I180">
        <f>-16.107*$I$123</f>
        <v>0</v>
      </c>
      <c r="J180">
        <f>-9.455*$J$123</f>
        <v>0</v>
      </c>
      <c r="K180">
        <f>12.607*$K$123</f>
        <v>0</v>
      </c>
      <c r="L180">
        <f>-0.393*$L$123</f>
        <v>0</v>
      </c>
      <c r="M180">
        <f>0+D180+E180+G180+H180+I180+J180+K180+L180</f>
        <v>0</v>
      </c>
      <c r="N180">
        <f>0+D180+F180+G180+H180+I180+J180+K180+L180</f>
        <v>0</v>
      </c>
    </row>
    <row r="181" spans="3:14">
      <c r="C181" t="s">
        <v>43</v>
      </c>
      <c r="D181">
        <f>-99.881*$D$123</f>
        <v>0</v>
      </c>
      <c r="E181">
        <f>108.672*$E$123</f>
        <v>0</v>
      </c>
      <c r="F181">
        <f>-252.881*$F$123</f>
        <v>0</v>
      </c>
      <c r="G181">
        <f>-7.067*$G$123</f>
        <v>0</v>
      </c>
      <c r="H181">
        <f>0*$H$123</f>
        <v>0</v>
      </c>
      <c r="I181">
        <f>-14.043*$I$123</f>
        <v>0</v>
      </c>
      <c r="J181">
        <f>-7.337*$J$123</f>
        <v>0</v>
      </c>
      <c r="K181">
        <f>9.783*$K$123</f>
        <v>0</v>
      </c>
      <c r="L181">
        <f>-0.409*$L$123</f>
        <v>0</v>
      </c>
      <c r="M181">
        <f>0+D181+E181+G181+H181+I181+J181+K181+L181</f>
        <v>0</v>
      </c>
      <c r="N181">
        <f>0+D181+F181+G181+H181+I181+J181+K181+L181</f>
        <v>0</v>
      </c>
    </row>
    <row r="182" spans="3:14">
      <c r="C182" t="s">
        <v>44</v>
      </c>
      <c r="D182">
        <f>-74.754*$D$123</f>
        <v>0</v>
      </c>
      <c r="E182">
        <f>119.619*$E$123</f>
        <v>0</v>
      </c>
      <c r="F182">
        <f>-240.113*$F$123</f>
        <v>0</v>
      </c>
      <c r="G182">
        <f>-6.674*$G$123</f>
        <v>0</v>
      </c>
      <c r="H182">
        <f>0*$H$123</f>
        <v>0</v>
      </c>
      <c r="I182">
        <f>-12.023*$I$123</f>
        <v>0</v>
      </c>
      <c r="J182">
        <f>-5.69*$J$123</f>
        <v>0</v>
      </c>
      <c r="K182">
        <f>7.587*$K$123</f>
        <v>0</v>
      </c>
      <c r="L182">
        <f>-0.423*$L$123</f>
        <v>0</v>
      </c>
      <c r="M182">
        <f>0+D182+E182+G182+H182+I182+J182+K182+L182</f>
        <v>0</v>
      </c>
      <c r="N182">
        <f>0+D182+F182+G182+H182+I182+J182+K182+L182</f>
        <v>0</v>
      </c>
    </row>
    <row r="183" spans="3:14">
      <c r="C183" t="s">
        <v>44</v>
      </c>
      <c r="D183">
        <f>-75.582*$D$123</f>
        <v>0</v>
      </c>
      <c r="E183">
        <f>133.733*$E$123</f>
        <v>0</v>
      </c>
      <c r="F183">
        <f>-225.084*$F$123</f>
        <v>0</v>
      </c>
      <c r="G183">
        <f>-6.613*$G$123</f>
        <v>0</v>
      </c>
      <c r="H183">
        <f>0*$H$123</f>
        <v>0</v>
      </c>
      <c r="I183">
        <f>-9.992*$I$123</f>
        <v>0</v>
      </c>
      <c r="J183">
        <f>-2.655*$J$123</f>
        <v>0</v>
      </c>
      <c r="K183">
        <f>3.54*$K$123</f>
        <v>0</v>
      </c>
      <c r="L183">
        <f>-0.433*$L$123</f>
        <v>0</v>
      </c>
      <c r="M183">
        <f>0+D183+E183+G183+H183+I183+J183+K183+L183</f>
        <v>0</v>
      </c>
      <c r="N183">
        <f>0+D183+F183+G183+H183+I183+J183+K183+L183</f>
        <v>0</v>
      </c>
    </row>
    <row r="184" spans="3:14">
      <c r="C184" t="s">
        <v>45</v>
      </c>
      <c r="D184">
        <f>-50.643*$D$123</f>
        <v>0</v>
      </c>
      <c r="E184">
        <f>144.331*$E$123</f>
        <v>0</v>
      </c>
      <c r="F184">
        <f>-212.812*$F$123</f>
        <v>0</v>
      </c>
      <c r="G184">
        <f>-6.364*$G$123</f>
        <v>0</v>
      </c>
      <c r="H184">
        <f>0*$H$123</f>
        <v>0</v>
      </c>
      <c r="I184">
        <f>-7.989*$I$123</f>
        <v>0</v>
      </c>
      <c r="J184">
        <f>0.024*$J$123</f>
        <v>0</v>
      </c>
      <c r="K184">
        <f>-0.032*$K$123</f>
        <v>0</v>
      </c>
      <c r="L184">
        <f>-0.444*$L$123</f>
        <v>0</v>
      </c>
      <c r="M184">
        <f>0+D184+E184+G184+H184+I184+J184+K184+L184</f>
        <v>0</v>
      </c>
      <c r="N184">
        <f>0+D184+F184+G184+H184+I184+J184+K184+L184</f>
        <v>0</v>
      </c>
    </row>
    <row r="185" spans="3:14">
      <c r="C185" t="s">
        <v>45</v>
      </c>
      <c r="D185">
        <f>-51.722*$D$123</f>
        <v>0</v>
      </c>
      <c r="E185">
        <f>154.81*$E$123</f>
        <v>0</v>
      </c>
      <c r="F185">
        <f>-198.509*$F$123</f>
        <v>0</v>
      </c>
      <c r="G185">
        <f>-6.294*$G$123</f>
        <v>0</v>
      </c>
      <c r="H185">
        <f>0*$H$123</f>
        <v>0</v>
      </c>
      <c r="I185">
        <f>-5.978*$I$123</f>
        <v>0</v>
      </c>
      <c r="J185">
        <f>3.262*$J$123</f>
        <v>0</v>
      </c>
      <c r="K185">
        <f>-4.349*$K$123</f>
        <v>0</v>
      </c>
      <c r="L185">
        <f>-0.445*$L$123</f>
        <v>0</v>
      </c>
      <c r="M185">
        <f>0+D185+E185+G185+H185+I185+J185+K185+L185</f>
        <v>0</v>
      </c>
      <c r="N185">
        <f>0+D185+F185+G185+H185+I185+J185+K185+L185</f>
        <v>0</v>
      </c>
    </row>
    <row r="186" spans="3:14">
      <c r="C186" t="s">
        <v>46</v>
      </c>
      <c r="D186">
        <f>-26.879*$D$123</f>
        <v>0</v>
      </c>
      <c r="E186">
        <f>161.426*$E$123</f>
        <v>0</v>
      </c>
      <c r="F186">
        <f>-187*$F$123</f>
        <v>0</v>
      </c>
      <c r="G186">
        <f>-5.879*$G$123</f>
        <v>0</v>
      </c>
      <c r="H186">
        <f>0*$H$123</f>
        <v>0</v>
      </c>
      <c r="I186">
        <f>-4*$I$123</f>
        <v>0</v>
      </c>
      <c r="J186">
        <f>5.36*$J$123</f>
        <v>0</v>
      </c>
      <c r="K186">
        <f>-7.147*$K$123</f>
        <v>0</v>
      </c>
      <c r="L186">
        <f>-0.452*$L$123</f>
        <v>0</v>
      </c>
      <c r="M186">
        <f>0+D186+E186+G186+H186+I186+J186+K186+L186</f>
        <v>0</v>
      </c>
      <c r="N186">
        <f>0+D186+F186+G186+H186+I186+J186+K186+L186</f>
        <v>0</v>
      </c>
    </row>
    <row r="187" spans="3:14">
      <c r="C187" t="s">
        <v>46</v>
      </c>
      <c r="D187">
        <f>-27.99*$D$123</f>
        <v>0</v>
      </c>
      <c r="E187">
        <f>175.999*$E$123</f>
        <v>0</v>
      </c>
      <c r="F187">
        <f>-172.914*$F$123</f>
        <v>0</v>
      </c>
      <c r="G187">
        <f>-5.704*$G$123</f>
        <v>0</v>
      </c>
      <c r="H187">
        <f>0*$H$123</f>
        <v>0</v>
      </c>
      <c r="I187">
        <f>-1.995*$I$123</f>
        <v>0</v>
      </c>
      <c r="J187">
        <f>8.074*$J$123</f>
        <v>0</v>
      </c>
      <c r="K187">
        <f>-10.765*$K$123</f>
        <v>0</v>
      </c>
      <c r="L187">
        <f>-0.445*$L$123</f>
        <v>0</v>
      </c>
      <c r="M187">
        <f>0+D187+E187+G187+H187+I187+J187+K187+L187</f>
        <v>0</v>
      </c>
      <c r="N187">
        <f>0+D187+F187+G187+H187+I187+J187+K187+L187</f>
        <v>0</v>
      </c>
    </row>
    <row r="188" spans="3:14">
      <c r="C188" t="s">
        <v>47</v>
      </c>
      <c r="D188">
        <f>-3.084*$D$123</f>
        <v>0</v>
      </c>
      <c r="E188">
        <f>187.354*$E$123</f>
        <v>0</v>
      </c>
      <c r="F188">
        <f>-161.451*$F$123</f>
        <v>0</v>
      </c>
      <c r="G188">
        <f>-5.007*$G$123</f>
        <v>0</v>
      </c>
      <c r="H188">
        <f>0*$H$123</f>
        <v>0</v>
      </c>
      <c r="I188">
        <f>-0.017*$I$123</f>
        <v>0</v>
      </c>
      <c r="J188">
        <f>8.584*$J$123</f>
        <v>0</v>
      </c>
      <c r="K188">
        <f>-11.446*$K$123</f>
        <v>0</v>
      </c>
      <c r="L188">
        <f>-0.452*$L$123</f>
        <v>0</v>
      </c>
      <c r="M188">
        <f>0+D188+E188+G188+H188+I188+J188+K188+L188</f>
        <v>0</v>
      </c>
      <c r="N188">
        <f>0+D188+F188+G188+H188+I188+J188+K188+L188</f>
        <v>0</v>
      </c>
    </row>
    <row r="189" spans="3:14">
      <c r="C189" t="s">
        <v>47</v>
      </c>
      <c r="D189">
        <f>3.655*$D$123</f>
        <v>0</v>
      </c>
      <c r="E189">
        <f>161.239*$E$123</f>
        <v>0</v>
      </c>
      <c r="F189">
        <f>-187.233*$F$123</f>
        <v>0</v>
      </c>
      <c r="G189">
        <f>5.193*$G$123</f>
        <v>0</v>
      </c>
      <c r="H189">
        <f>0*$H$123</f>
        <v>0</v>
      </c>
      <c r="I189">
        <f>0.093*$I$123</f>
        <v>0</v>
      </c>
      <c r="J189">
        <f>-7.664*$J$123</f>
        <v>0</v>
      </c>
      <c r="K189">
        <f>10.219*$K$123</f>
        <v>0</v>
      </c>
      <c r="L189">
        <f>0.345*$L$123</f>
        <v>0</v>
      </c>
      <c r="M189">
        <f>0+D189+E189+G189+H189+I189+J189+K189+L189</f>
        <v>0</v>
      </c>
      <c r="N189">
        <f>0+D189+F189+G189+H189+I189+J189+K189+L189</f>
        <v>0</v>
      </c>
    </row>
    <row r="190" spans="3:14">
      <c r="C190" t="s">
        <v>48</v>
      </c>
      <c r="D190">
        <f>28.548*$D$123</f>
        <v>0</v>
      </c>
      <c r="E190">
        <f>172.615*$E$123</f>
        <v>0</v>
      </c>
      <c r="F190">
        <f>-176.096*$F$123</f>
        <v>0</v>
      </c>
      <c r="G190">
        <f>5.893*$G$123</f>
        <v>0</v>
      </c>
      <c r="H190">
        <f>0*$H$123</f>
        <v>0</v>
      </c>
      <c r="I190">
        <f>2.069*$I$123</f>
        <v>0</v>
      </c>
      <c r="J190">
        <f>-7.134*$J$123</f>
        <v>0</v>
      </c>
      <c r="K190">
        <f>9.512*$K$123</f>
        <v>0</v>
      </c>
      <c r="L190">
        <f>0.375*$L$123</f>
        <v>0</v>
      </c>
      <c r="M190">
        <f>0+D190+E190+G190+H190+I190+J190+K190+L190</f>
        <v>0</v>
      </c>
      <c r="N190">
        <f>0+D190+F190+G190+H190+I190+J190+K190+L190</f>
        <v>0</v>
      </c>
    </row>
    <row r="191" spans="3:14">
      <c r="C191" t="s">
        <v>48</v>
      </c>
      <c r="D191">
        <f>27.425*$D$123</f>
        <v>0</v>
      </c>
      <c r="E191">
        <f>186.628*$E$123</f>
        <v>0</v>
      </c>
      <c r="F191">
        <f>-161.207*$F$123</f>
        <v>0</v>
      </c>
      <c r="G191">
        <f>6.07*$G$123</f>
        <v>0</v>
      </c>
      <c r="H191">
        <f>0*$H$123</f>
        <v>0</v>
      </c>
      <c r="I191">
        <f>4.072*$I$123</f>
        <v>0</v>
      </c>
      <c r="J191">
        <f>-4.389*$J$123</f>
        <v>0</v>
      </c>
      <c r="K191">
        <f>5.852*$K$123</f>
        <v>0</v>
      </c>
      <c r="L191">
        <f>0.443*$L$123</f>
        <v>0</v>
      </c>
      <c r="M191">
        <f>0+D191+E191+G191+H191+I191+J191+K191+L191</f>
        <v>0</v>
      </c>
      <c r="N191">
        <f>0+D191+F191+G191+H191+I191+J191+K191+L191</f>
        <v>0</v>
      </c>
    </row>
    <row r="192" spans="3:14">
      <c r="C192" t="s">
        <v>49</v>
      </c>
      <c r="D192">
        <f>52.245*$D$123</f>
        <v>0</v>
      </c>
      <c r="E192">
        <f>198.074*$E$123</f>
        <v>0</v>
      </c>
      <c r="F192">
        <f>-154.721*$F$123</f>
        <v>0</v>
      </c>
      <c r="G192">
        <f>6.49*$G$123</f>
        <v>0</v>
      </c>
      <c r="H192">
        <f>0*$H$123</f>
        <v>0</v>
      </c>
      <c r="I192">
        <f>6.046*$I$123</f>
        <v>0</v>
      </c>
      <c r="J192">
        <f>-2.241*$J$123</f>
        <v>0</v>
      </c>
      <c r="K192">
        <f>2.988*$K$123</f>
        <v>0</v>
      </c>
      <c r="L192">
        <f>0.519*$L$123</f>
        <v>0</v>
      </c>
      <c r="M192">
        <f>0+D192+E192+G192+H192+I192+J192+K192+L192</f>
        <v>0</v>
      </c>
      <c r="N192">
        <f>0+D192+F192+G192+H192+I192+J192+K192+L192</f>
        <v>0</v>
      </c>
    </row>
    <row r="193" spans="3:14">
      <c r="C193" t="s">
        <v>49</v>
      </c>
      <c r="D193">
        <f>51.136*$D$123</f>
        <v>0</v>
      </c>
      <c r="E193">
        <f>212.288*$E$123</f>
        <v>0</v>
      </c>
      <c r="F193">
        <f>-143.618*$F$123</f>
        <v>0</v>
      </c>
      <c r="G193">
        <f>6.567*$G$123</f>
        <v>0</v>
      </c>
      <c r="H193">
        <f>0*$H$123</f>
        <v>0</v>
      </c>
      <c r="I193">
        <f>8.053*$I$123</f>
        <v>0</v>
      </c>
      <c r="J193">
        <f>1.064*$J$123</f>
        <v>0</v>
      </c>
      <c r="K193">
        <f>-1.419*$K$123</f>
        <v>0</v>
      </c>
      <c r="L193">
        <f>0.623*$L$123</f>
        <v>0</v>
      </c>
      <c r="M193">
        <f>0+D193+E193+G193+H193+I193+J193+K193+L193</f>
        <v>0</v>
      </c>
      <c r="N193">
        <f>0+D193+F193+G193+H193+I193+J193+K193+L193</f>
        <v>0</v>
      </c>
    </row>
    <row r="194" spans="3:14">
      <c r="C194" t="s">
        <v>50</v>
      </c>
      <c r="D194">
        <f>76.032*$D$123</f>
        <v>0</v>
      </c>
      <c r="E194">
        <f>224.45*$E$123</f>
        <v>0</v>
      </c>
      <c r="F194">
        <f>-134.686*$F$123</f>
        <v>0</v>
      </c>
      <c r="G194">
        <f>6.824*$G$123</f>
        <v>0</v>
      </c>
      <c r="H194">
        <f>0*$H$123</f>
        <v>0</v>
      </c>
      <c r="I194">
        <f>10.049*$I$123</f>
        <v>0</v>
      </c>
      <c r="J194">
        <f>3.827*$J$123</f>
        <v>0</v>
      </c>
      <c r="K194">
        <f>-5.103*$K$123</f>
        <v>0</v>
      </c>
      <c r="L194">
        <f>0.712*$L$123</f>
        <v>0</v>
      </c>
      <c r="M194">
        <f>0+D194+E194+G194+H194+I194+J194+K194+L194</f>
        <v>0</v>
      </c>
      <c r="N194">
        <f>0+D194+F194+G194+H194+I194+J194+K194+L194</f>
        <v>0</v>
      </c>
    </row>
    <row r="195" spans="3:14">
      <c r="C195" t="s">
        <v>50</v>
      </c>
      <c r="D195">
        <f>75.138*$D$123</f>
        <v>0</v>
      </c>
      <c r="E195">
        <f>239.334*$E$123</f>
        <v>0</v>
      </c>
      <c r="F195">
        <f>-120.591*$F$123</f>
        <v>0</v>
      </c>
      <c r="G195">
        <f>6.895*$G$123</f>
        <v>0</v>
      </c>
      <c r="H195">
        <f>0*$H$123</f>
        <v>0</v>
      </c>
      <c r="I195">
        <f>12.07*$I$123</f>
        <v>0</v>
      </c>
      <c r="J195">
        <f>6.974*$J$123</f>
        <v>0</v>
      </c>
      <c r="K195">
        <f>-9.299*$K$123</f>
        <v>0</v>
      </c>
      <c r="L195">
        <f>0.834*$L$123</f>
        <v>0</v>
      </c>
      <c r="M195">
        <f>0+D195+E195+G195+H195+I195+J195+K195+L195</f>
        <v>0</v>
      </c>
      <c r="N195">
        <f>0+D195+F195+G195+H195+I195+J195+K195+L195</f>
        <v>0</v>
      </c>
    </row>
    <row r="196" spans="3:14">
      <c r="C196" t="s">
        <v>51</v>
      </c>
      <c r="D196">
        <f>100.16*$D$123</f>
        <v>0</v>
      </c>
      <c r="E196">
        <f>251.912*$E$123</f>
        <v>0</v>
      </c>
      <c r="F196">
        <f>-109.796*$F$123</f>
        <v>0</v>
      </c>
      <c r="G196">
        <f>7.297*$G$123</f>
        <v>0</v>
      </c>
      <c r="H196">
        <f>0*$H$123</f>
        <v>0</v>
      </c>
      <c r="I196">
        <f>14.074*$I$123</f>
        <v>0</v>
      </c>
      <c r="J196">
        <f>8.763*$J$123</f>
        <v>0</v>
      </c>
      <c r="K196">
        <f>-11.685*$K$123</f>
        <v>0</v>
      </c>
      <c r="L196">
        <f>0.947*$L$123</f>
        <v>0</v>
      </c>
      <c r="M196">
        <f>0+D196+E196+G196+H196+I196+J196+K196+L196</f>
        <v>0</v>
      </c>
      <c r="N196">
        <f>0+D196+F196+G196+H196+I196+J196+K196+L196</f>
        <v>0</v>
      </c>
    </row>
    <row r="197" spans="3:14">
      <c r="C197" t="s">
        <v>51</v>
      </c>
      <c r="D197">
        <f>99.354*$D$123</f>
        <v>0</v>
      </c>
      <c r="E197">
        <f>270.675*$E$123</f>
        <v>0</v>
      </c>
      <c r="F197">
        <f>-91.25*$F$123</f>
        <v>0</v>
      </c>
      <c r="G197">
        <f>7.455*$G$123</f>
        <v>0</v>
      </c>
      <c r="H197">
        <f>0*$H$123</f>
        <v>0</v>
      </c>
      <c r="I197">
        <f>16.121*$I$123</f>
        <v>0</v>
      </c>
      <c r="J197">
        <f>11.042*$J$123</f>
        <v>0</v>
      </c>
      <c r="K197">
        <f>-14.723*$K$123</f>
        <v>0</v>
      </c>
      <c r="L197">
        <f>1.086*$L$123</f>
        <v>0</v>
      </c>
      <c r="M197">
        <f>0+D197+E197+G197+H197+I197+J197+K197+L197</f>
        <v>0</v>
      </c>
      <c r="N197">
        <f>0+D197+F197+G197+H197+I197+J197+K197+L197</f>
        <v>0</v>
      </c>
    </row>
    <row r="198" spans="3:14">
      <c r="C198" t="s">
        <v>52</v>
      </c>
      <c r="D198">
        <f>124.602*$D$123</f>
        <v>0</v>
      </c>
      <c r="E198">
        <f>281.23*$E$123</f>
        <v>0</v>
      </c>
      <c r="F198">
        <f>-86.726*$F$123</f>
        <v>0</v>
      </c>
      <c r="G198">
        <f>8.106*$G$123</f>
        <v>0</v>
      </c>
      <c r="H198">
        <f>0*$H$123</f>
        <v>0</v>
      </c>
      <c r="I198">
        <f>18.15*$I$123</f>
        <v>0</v>
      </c>
      <c r="J198">
        <f>10.913*$J$123</f>
        <v>0</v>
      </c>
      <c r="K198">
        <f>-14.55*$K$123</f>
        <v>0</v>
      </c>
      <c r="L198">
        <f>1.3*$L$123</f>
        <v>0</v>
      </c>
      <c r="M198">
        <f>0+D198+E198+G198+H198+I198+J198+K198+L198</f>
        <v>0</v>
      </c>
      <c r="N198">
        <f>0+D198+F198+G198+H198+I198+J198+K198+L198</f>
        <v>0</v>
      </c>
    </row>
    <row r="199" spans="3:14">
      <c r="C199" t="s">
        <v>52</v>
      </c>
      <c r="D199">
        <f>139.282*$D$123</f>
        <v>0</v>
      </c>
      <c r="E199">
        <f>277.216*$E$123</f>
        <v>0</v>
      </c>
      <c r="F199">
        <f>-109.563*$F$123</f>
        <v>0</v>
      </c>
      <c r="G199">
        <f>16.971*$G$123</f>
        <v>0</v>
      </c>
      <c r="H199">
        <f>0*$H$123</f>
        <v>0</v>
      </c>
      <c r="I199">
        <f>19.381*$I$123</f>
        <v>0</v>
      </c>
      <c r="J199">
        <f>-21.741*$J$123</f>
        <v>0</v>
      </c>
      <c r="K199">
        <f>28.988*$K$123</f>
        <v>0</v>
      </c>
      <c r="L199">
        <f>1.921*$L$123</f>
        <v>0</v>
      </c>
      <c r="M199">
        <f>0+D199+E199+G199+H199+I199+J199+K199+L199</f>
        <v>0</v>
      </c>
      <c r="N199">
        <f>0+D199+F199+G199+H199+I199+J199+K199+L199</f>
        <v>0</v>
      </c>
    </row>
    <row r="200" spans="3:14">
      <c r="C200" t="s">
        <v>53</v>
      </c>
      <c r="D200">
        <f>162.576*$D$123</f>
        <v>0</v>
      </c>
      <c r="E200">
        <f>289.201*$E$123</f>
        <v>0</v>
      </c>
      <c r="F200">
        <f>-100.375*$F$123</f>
        <v>0</v>
      </c>
      <c r="G200">
        <f>17.586*$G$123</f>
        <v>0</v>
      </c>
      <c r="H200">
        <f>0*$H$123</f>
        <v>0</v>
      </c>
      <c r="I200">
        <f>21.271*$I$123</f>
        <v>0</v>
      </c>
      <c r="J200">
        <f>-22.71*$J$123</f>
        <v>0</v>
      </c>
      <c r="K200">
        <f>30.28*$K$123</f>
        <v>0</v>
      </c>
      <c r="L200">
        <f>2.036*$L$123</f>
        <v>0</v>
      </c>
      <c r="M200">
        <f>0+D200+E200+G200+H200+I200+J200+K200+L200</f>
        <v>0</v>
      </c>
      <c r="N200">
        <f>0+D200+F200+G200+H200+I200+J200+K200+L200</f>
        <v>0</v>
      </c>
    </row>
    <row r="201" spans="3:14">
      <c r="C201" t="s">
        <v>53</v>
      </c>
      <c r="D201">
        <f>155.948*$D$123</f>
        <v>0</v>
      </c>
      <c r="E201">
        <f>295.502*$E$123</f>
        <v>0</v>
      </c>
      <c r="F201">
        <f>-90.405*$F$123</f>
        <v>0</v>
      </c>
      <c r="G201">
        <f>17.136*$G$123</f>
        <v>0</v>
      </c>
      <c r="H201">
        <f>0*$H$123</f>
        <v>0</v>
      </c>
      <c r="I201">
        <f>22.277*$I$123</f>
        <v>0</v>
      </c>
      <c r="J201">
        <f>-29.33*$J$123</f>
        <v>0</v>
      </c>
      <c r="K201">
        <f>39.107*$K$123</f>
        <v>0</v>
      </c>
      <c r="L201">
        <f>1.907*$L$123</f>
        <v>0</v>
      </c>
      <c r="M201">
        <f>0+D201+E201+G201+H201+I201+J201+K201+L201</f>
        <v>0</v>
      </c>
      <c r="N201">
        <f>0+D201+F201+G201+H201+I201+J201+K201+L201</f>
        <v>0</v>
      </c>
    </row>
    <row r="202" spans="3:14">
      <c r="C202" t="s">
        <v>54</v>
      </c>
      <c r="D202">
        <f>179.486*$D$123</f>
        <v>0</v>
      </c>
      <c r="E202">
        <f>308.272*$E$123</f>
        <v>0</v>
      </c>
      <c r="F202">
        <f>-79.971*$F$123</f>
        <v>0</v>
      </c>
      <c r="G202">
        <f>17.504*$G$123</f>
        <v>0</v>
      </c>
      <c r="H202">
        <f>0*$H$123</f>
        <v>0</v>
      </c>
      <c r="I202">
        <f>24.21*$I$123</f>
        <v>0</v>
      </c>
      <c r="J202">
        <f>-29.235*$J$123</f>
        <v>0</v>
      </c>
      <c r="K202">
        <f>38.98*$K$123</f>
        <v>0</v>
      </c>
      <c r="L202">
        <f>1.683*$L$123</f>
        <v>0</v>
      </c>
      <c r="M202">
        <f>0+D202+E202+G202+H202+I202+J202+K202+L202</f>
        <v>0</v>
      </c>
      <c r="N202">
        <f>0+D202+F202+G202+H202+I202+J202+K202+L202</f>
        <v>0</v>
      </c>
    </row>
    <row r="203" spans="3:14">
      <c r="C203" t="s">
        <v>54</v>
      </c>
      <c r="D203">
        <f>180.402*$D$123</f>
        <v>0</v>
      </c>
      <c r="E203">
        <f>325.805*$E$123</f>
        <v>0</v>
      </c>
      <c r="F203">
        <f>-64.634*$F$123</f>
        <v>0</v>
      </c>
      <c r="G203">
        <f>17.605*$G$123</f>
        <v>0</v>
      </c>
      <c r="H203">
        <f>0*$H$123</f>
        <v>0</v>
      </c>
      <c r="I203">
        <f>26.309*$I$123</f>
        <v>0</v>
      </c>
      <c r="J203">
        <f>-29.303*$J$123</f>
        <v>0</v>
      </c>
      <c r="K203">
        <f>39.071*$K$123</f>
        <v>0</v>
      </c>
      <c r="L203">
        <f>1.132*$L$123</f>
        <v>0</v>
      </c>
      <c r="M203">
        <f>0+D203+E203+G203+H203+I203+J203+K203+L203</f>
        <v>0</v>
      </c>
      <c r="N203">
        <f>0+D203+F203+G203+H203+I203+J203+K203+L203</f>
        <v>0</v>
      </c>
    </row>
    <row r="204" spans="3:14">
      <c r="C204" t="s">
        <v>55</v>
      </c>
      <c r="D204">
        <f>204.313*$D$123</f>
        <v>0</v>
      </c>
      <c r="E204">
        <f>340.719*$E$123</f>
        <v>0</v>
      </c>
      <c r="F204">
        <f>-51.771*$F$123</f>
        <v>0</v>
      </c>
      <c r="G204">
        <f>17.793*$G$123</f>
        <v>0</v>
      </c>
      <c r="H204">
        <f>0*$H$123</f>
        <v>0</v>
      </c>
      <c r="I204">
        <f>28.305*$I$123</f>
        <v>0</v>
      </c>
      <c r="J204">
        <f>-29.032*$J$123</f>
        <v>0</v>
      </c>
      <c r="K204">
        <f>38.709*$K$123</f>
        <v>0</v>
      </c>
      <c r="L204">
        <f>0.475*$L$123</f>
        <v>0</v>
      </c>
      <c r="M204">
        <f>0+D204+E204+G204+H204+I204+J204+K204+L204</f>
        <v>0</v>
      </c>
      <c r="N204">
        <f>0+D204+F204+G204+H204+I204+J204+K204+L204</f>
        <v>0</v>
      </c>
    </row>
    <row r="205" spans="3:14">
      <c r="C205" t="s">
        <v>55</v>
      </c>
      <c r="D205">
        <f>206.899*$D$123</f>
        <v>0</v>
      </c>
      <c r="E205">
        <f>362.186*$E$123</f>
        <v>0</v>
      </c>
      <c r="F205">
        <f>-39.27*$F$123</f>
        <v>0</v>
      </c>
      <c r="G205">
        <f>17.935*$G$123</f>
        <v>0</v>
      </c>
      <c r="H205">
        <f>0*$H$123</f>
        <v>0</v>
      </c>
      <c r="I205">
        <f>30.649*$I$123</f>
        <v>0</v>
      </c>
      <c r="J205">
        <f>-29.279*$J$123</f>
        <v>0</v>
      </c>
      <c r="K205">
        <f>39.039*$K$123</f>
        <v>0</v>
      </c>
      <c r="L205">
        <f>-0.667*$L$123</f>
        <v>0</v>
      </c>
      <c r="M205">
        <f>0+D205+E205+G205+H205+I205+J205+K205+L205</f>
        <v>0</v>
      </c>
      <c r="N205">
        <f>0+D205+F205+G205+H205+I205+J205+K205+L205</f>
        <v>0</v>
      </c>
    </row>
    <row r="206" spans="3:14">
      <c r="C206" t="s">
        <v>56</v>
      </c>
      <c r="D206">
        <f>231.546*$D$123</f>
        <v>0</v>
      </c>
      <c r="E206">
        <f>380.463*$E$123</f>
        <v>0</v>
      </c>
      <c r="F206">
        <f>-31.898*$F$123</f>
        <v>0</v>
      </c>
      <c r="G206">
        <f>18.141*$G$123</f>
        <v>0</v>
      </c>
      <c r="H206">
        <f>0*$H$123</f>
        <v>0</v>
      </c>
      <c r="I206">
        <f>32.746*$I$123</f>
        <v>0</v>
      </c>
      <c r="J206">
        <f>-31.229*$J$123</f>
        <v>0</v>
      </c>
      <c r="K206">
        <f>41.639*$K$123</f>
        <v>0</v>
      </c>
      <c r="L206">
        <f>-1.931*$L$123</f>
        <v>0</v>
      </c>
      <c r="M206">
        <f>0+D206+E206+G206+H206+I206+J206+K206+L206</f>
        <v>0</v>
      </c>
      <c r="N206">
        <f>0+D206+F206+G206+H206+I206+J206+K206+L206</f>
        <v>0</v>
      </c>
    </row>
    <row r="207" spans="3:14">
      <c r="C207" t="s">
        <v>56</v>
      </c>
      <c r="D207">
        <f>235.999*$D$123</f>
        <v>0</v>
      </c>
      <c r="E207">
        <f>407.934*$E$123</f>
        <v>0</v>
      </c>
      <c r="F207">
        <f>-20.516*$F$123</f>
        <v>0</v>
      </c>
      <c r="G207">
        <f>18.289*$G$123</f>
        <v>0</v>
      </c>
      <c r="H207">
        <f>0*$H$123</f>
        <v>0</v>
      </c>
      <c r="I207">
        <f>35.344*$I$123</f>
        <v>0</v>
      </c>
      <c r="J207">
        <f>-34.344*$J$123</f>
        <v>0</v>
      </c>
      <c r="K207">
        <f>45.792*$K$123</f>
        <v>0</v>
      </c>
      <c r="L207">
        <f>-4.027*$L$123</f>
        <v>0</v>
      </c>
      <c r="M207">
        <f>0+D207+E207+G207+H207+I207+J207+K207+L207</f>
        <v>0</v>
      </c>
      <c r="N207">
        <f>0+D207+F207+G207+H207+I207+J207+K207+L207</f>
        <v>0</v>
      </c>
    </row>
    <row r="208" spans="3:14">
      <c r="C208" t="s">
        <v>57</v>
      </c>
      <c r="D208">
        <f>261.99*$D$123</f>
        <v>0</v>
      </c>
      <c r="E208">
        <f>433.008*$E$123</f>
        <v>0</v>
      </c>
      <c r="F208">
        <f>-13.384*$F$123</f>
        <v>0</v>
      </c>
      <c r="G208">
        <f>18.499*$G$123</f>
        <v>0</v>
      </c>
      <c r="H208">
        <f>0*$H$123</f>
        <v>0</v>
      </c>
      <c r="I208">
        <f>37.624*$I$123</f>
        <v>0</v>
      </c>
      <c r="J208">
        <f>-41.941*$J$123</f>
        <v>0</v>
      </c>
      <c r="K208">
        <f>55.922*$K$123</f>
        <v>0</v>
      </c>
      <c r="L208">
        <f>-6.268*$L$123</f>
        <v>0</v>
      </c>
      <c r="M208">
        <f>0+D208+E208+G208+H208+I208+J208+K208+L208</f>
        <v>0</v>
      </c>
      <c r="N208">
        <f>0+D208+F208+G208+H208+I208+J208+K208+L208</f>
        <v>0</v>
      </c>
    </row>
    <row r="209" spans="3:14">
      <c r="C209" t="s">
        <v>57</v>
      </c>
      <c r="D209">
        <f>-21.719*$D$123</f>
        <v>0</v>
      </c>
      <c r="E209">
        <f>14.979*$E$123</f>
        <v>0</v>
      </c>
      <c r="F209">
        <f>-218.794*$F$123</f>
        <v>0</v>
      </c>
      <c r="G209">
        <f>0.901*$G$123</f>
        <v>0</v>
      </c>
      <c r="H209">
        <f>0*$H$123</f>
        <v>0</v>
      </c>
      <c r="I209">
        <f>-2.423*$I$123</f>
        <v>0</v>
      </c>
      <c r="J209">
        <f>12.926*$J$123</f>
        <v>0</v>
      </c>
      <c r="K209">
        <f>-17.235*$K$123</f>
        <v>0</v>
      </c>
      <c r="L209">
        <f>4.045*$L$123</f>
        <v>0</v>
      </c>
      <c r="M209">
        <f>0+D209+E209+G209+H209+I209+J209+K209+L209</f>
        <v>0</v>
      </c>
      <c r="N209">
        <f>0+D209+F209+G209+H209+I209+J209+K209+L209</f>
        <v>0</v>
      </c>
    </row>
    <row r="210" spans="3:14">
      <c r="C210" t="s">
        <v>58</v>
      </c>
      <c r="D210">
        <f>-9.967*$D$123</f>
        <v>0</v>
      </c>
      <c r="E210">
        <f>14.979*$E$123</f>
        <v>0</v>
      </c>
      <c r="F210">
        <f>-218.794*$F$123</f>
        <v>0</v>
      </c>
      <c r="G210">
        <f>0.901*$G$123</f>
        <v>0</v>
      </c>
      <c r="H210">
        <f>0*$H$123</f>
        <v>0</v>
      </c>
      <c r="I210">
        <f>-2.423*$I$123</f>
        <v>0</v>
      </c>
      <c r="J210">
        <f>12.926*$J$123</f>
        <v>0</v>
      </c>
      <c r="K210">
        <f>-17.235*$K$123</f>
        <v>0</v>
      </c>
      <c r="L210">
        <f>4.045*$L$123</f>
        <v>0</v>
      </c>
      <c r="M210">
        <f>0+D210+E210+G210+H210+I210+J210+K210+L210</f>
        <v>0</v>
      </c>
      <c r="N210">
        <f>0+D210+F210+G210+H210+I210+J210+K210+L210</f>
        <v>0</v>
      </c>
    </row>
    <row r="211" spans="3:14">
      <c r="C211" t="s">
        <v>58</v>
      </c>
      <c r="D211">
        <f>9.54*$D$123</f>
        <v>0</v>
      </c>
      <c r="E211">
        <f>23.343*$E$123</f>
        <v>0</v>
      </c>
      <c r="F211">
        <f>-11.159*$F$123</f>
        <v>0</v>
      </c>
      <c r="G211">
        <f>-0.383*$G$123</f>
        <v>0</v>
      </c>
      <c r="H211">
        <f>0*$H$123</f>
        <v>0</v>
      </c>
      <c r="I211">
        <f>2.34*$I$123</f>
        <v>0</v>
      </c>
      <c r="J211">
        <f>0.547*$J$123</f>
        <v>0</v>
      </c>
      <c r="K211">
        <f>-0.729*$K$123</f>
        <v>0</v>
      </c>
      <c r="L211">
        <f>-11.607*$L$123</f>
        <v>0</v>
      </c>
      <c r="M211">
        <f>0+D211+E211+G211+H211+I211+J211+K211+L211</f>
        <v>0</v>
      </c>
      <c r="N211">
        <f>0+D211+F211+G211+H211+I211+J211+K211+L211</f>
        <v>0</v>
      </c>
    </row>
    <row r="212" spans="3:14">
      <c r="C212" t="s">
        <v>59</v>
      </c>
      <c r="D212">
        <f>21.292*$D$123</f>
        <v>0</v>
      </c>
      <c r="E212">
        <f>23.343*$E$123</f>
        <v>0</v>
      </c>
      <c r="F212">
        <f>-11.159*$F$123</f>
        <v>0</v>
      </c>
      <c r="G212">
        <f>-0.383*$G$123</f>
        <v>0</v>
      </c>
      <c r="H212">
        <f>0*$H$123</f>
        <v>0</v>
      </c>
      <c r="I212">
        <f>2.34*$I$123</f>
        <v>0</v>
      </c>
      <c r="J212">
        <f>0.547*$J$123</f>
        <v>0</v>
      </c>
      <c r="K212">
        <f>-0.729*$K$123</f>
        <v>0</v>
      </c>
      <c r="L212">
        <f>-11.607*$L$123</f>
        <v>0</v>
      </c>
      <c r="M212">
        <f>0+D212+E212+G212+H212+I212+J212+K212+L212</f>
        <v>0</v>
      </c>
      <c r="N212">
        <f>0+D212+F212+G212+H212+I212+J212+K212+L212</f>
        <v>0</v>
      </c>
    </row>
    <row r="213" spans="3:14">
      <c r="C213" t="s">
        <v>59</v>
      </c>
      <c r="D213">
        <f>-142.572*$D$123</f>
        <v>0</v>
      </c>
      <c r="E213">
        <f>12.857*$E$123</f>
        <v>0</v>
      </c>
      <c r="F213">
        <f>-338.581*$F$123</f>
        <v>0</v>
      </c>
      <c r="G213">
        <f>-4.569*$G$123</f>
        <v>0</v>
      </c>
      <c r="H213">
        <f>0*$H$123</f>
        <v>0</v>
      </c>
      <c r="I213">
        <f>-20.737*$I$123</f>
        <v>0</v>
      </c>
      <c r="J213">
        <f>66.794*$J$123</f>
        <v>0</v>
      </c>
      <c r="K213">
        <f>-89.058*$K$123</f>
        <v>0</v>
      </c>
      <c r="L213">
        <f>3.837*$L$123</f>
        <v>0</v>
      </c>
      <c r="M213">
        <f>0+D213+E213+G213+H213+I213+J213+K213+L213</f>
        <v>0</v>
      </c>
      <c r="N213">
        <f>0+D213+F213+G213+H213+I213+J213+K213+L213</f>
        <v>0</v>
      </c>
    </row>
    <row r="214" spans="3:14">
      <c r="C214" t="s">
        <v>60</v>
      </c>
      <c r="D214">
        <f>-116.064*$D$123</f>
        <v>0</v>
      </c>
      <c r="E214">
        <f>20.264*$E$123</f>
        <v>0</v>
      </c>
      <c r="F214">
        <f>-309.129*$F$123</f>
        <v>0</v>
      </c>
      <c r="G214">
        <f>-4.374*$G$123</f>
        <v>0</v>
      </c>
      <c r="H214">
        <f>0*$H$123</f>
        <v>0</v>
      </c>
      <c r="I214">
        <f>-18.38*$I$123</f>
        <v>0</v>
      </c>
      <c r="J214">
        <f>58.733*$J$123</f>
        <v>0</v>
      </c>
      <c r="K214">
        <f>-78.311*$K$123</f>
        <v>0</v>
      </c>
      <c r="L214">
        <f>0.188*$L$123</f>
        <v>0</v>
      </c>
      <c r="M214">
        <f>0+D214+E214+G214+H214+I214+J214+K214+L214</f>
        <v>0</v>
      </c>
      <c r="N214">
        <f>0+D214+F214+G214+H214+I214+J214+K214+L214</f>
        <v>0</v>
      </c>
    </row>
    <row r="215" spans="3:14">
      <c r="C215" t="s">
        <v>60</v>
      </c>
      <c r="D215">
        <f>-113.607*$D$123</f>
        <v>0</v>
      </c>
      <c r="E215">
        <f>31.186*$E$123</f>
        <v>0</v>
      </c>
      <c r="F215">
        <f>-280.117*$F$123</f>
        <v>0</v>
      </c>
      <c r="G215">
        <f>-4.437*$G$123</f>
        <v>0</v>
      </c>
      <c r="H215">
        <f>0*$H$123</f>
        <v>0</v>
      </c>
      <c r="I215">
        <f>-16.065*$I$123</f>
        <v>0</v>
      </c>
      <c r="J215">
        <f>50.344*$J$123</f>
        <v>0</v>
      </c>
      <c r="K215">
        <f>-67.126*$K$123</f>
        <v>0</v>
      </c>
      <c r="L215">
        <f>-3.11*$L$123</f>
        <v>0</v>
      </c>
      <c r="M215">
        <f>0+D215+E215+G215+H215+I215+J215+K215+L215</f>
        <v>0</v>
      </c>
      <c r="N215">
        <f>0+D215+F215+G215+H215+I215+J215+K215+L215</f>
        <v>0</v>
      </c>
    </row>
    <row r="216" spans="3:14">
      <c r="C216" t="s">
        <v>61</v>
      </c>
      <c r="D216">
        <f>-88.59*$D$123</f>
        <v>0</v>
      </c>
      <c r="E216">
        <f>40.133*$E$123</f>
        <v>0</v>
      </c>
      <c r="F216">
        <f>-256.838*$F$123</f>
        <v>0</v>
      </c>
      <c r="G216">
        <f>-4.238*$G$123</f>
        <v>0</v>
      </c>
      <c r="H216">
        <f>0*$H$123</f>
        <v>0</v>
      </c>
      <c r="I216">
        <f>-13.915*$I$123</f>
        <v>0</v>
      </c>
      <c r="J216">
        <f>48.149*$J$123</f>
        <v>0</v>
      </c>
      <c r="K216">
        <f>-64.199*$K$123</f>
        <v>0</v>
      </c>
      <c r="L216">
        <f>-4.7*$L$123</f>
        <v>0</v>
      </c>
      <c r="M216">
        <f>0+D216+E216+G216+H216+I216+J216+K216+L216</f>
        <v>0</v>
      </c>
      <c r="N216">
        <f>0+D216+F216+G216+H216+I216+J216+K216+L216</f>
        <v>0</v>
      </c>
    </row>
    <row r="217" spans="3:14">
      <c r="C217" t="s">
        <v>61</v>
      </c>
      <c r="D217">
        <f>-89.871*$D$123</f>
        <v>0</v>
      </c>
      <c r="E217">
        <f>52.126*$E$123</f>
        <v>0</v>
      </c>
      <c r="F217">
        <f>-238.802*$F$123</f>
        <v>0</v>
      </c>
      <c r="G217">
        <f>-4.399*$G$123</f>
        <v>0</v>
      </c>
      <c r="H217">
        <f>0*$H$123</f>
        <v>0</v>
      </c>
      <c r="I217">
        <f>-12.142*$I$123</f>
        <v>0</v>
      </c>
      <c r="J217">
        <f>36.708*$J$123</f>
        <v>0</v>
      </c>
      <c r="K217">
        <f>-48.944*$K$123</f>
        <v>0</v>
      </c>
      <c r="L217">
        <f>-7.204*$L$123</f>
        <v>0</v>
      </c>
      <c r="M217">
        <f>0+D217+E217+G217+H217+I217+J217+K217+L217</f>
        <v>0</v>
      </c>
      <c r="N217">
        <f>0+D217+F217+G217+H217+I217+J217+K217+L217</f>
        <v>0</v>
      </c>
    </row>
    <row r="218" spans="3:14">
      <c r="C218" t="s">
        <v>62</v>
      </c>
      <c r="D218">
        <f>-65.632*$D$123</f>
        <v>0</v>
      </c>
      <c r="E218">
        <f>65.635*$E$123</f>
        <v>0</v>
      </c>
      <c r="F218">
        <f>-219.936*$F$123</f>
        <v>0</v>
      </c>
      <c r="G218">
        <f>-4.206*$G$123</f>
        <v>0</v>
      </c>
      <c r="H218">
        <f>0*$H$123</f>
        <v>0</v>
      </c>
      <c r="I218">
        <f>-10.098*$I$123</f>
        <v>0</v>
      </c>
      <c r="J218">
        <f>36.81*$J$123</f>
        <v>0</v>
      </c>
      <c r="K218">
        <f>-49.08*$K$123</f>
        <v>0</v>
      </c>
      <c r="L218">
        <f>-7.703*$L$123</f>
        <v>0</v>
      </c>
      <c r="M218">
        <f>0+D218+E218+G218+H218+I218+J218+K218+L218</f>
        <v>0</v>
      </c>
      <c r="N218">
        <f>0+D218+F218+G218+H218+I218+J218+K218+L218</f>
        <v>0</v>
      </c>
    </row>
    <row r="219" spans="3:14">
      <c r="C219" t="s">
        <v>62</v>
      </c>
      <c r="D219">
        <f>-65.109*$D$123</f>
        <v>0</v>
      </c>
      <c r="E219">
        <f>83.754*$E$123</f>
        <v>0</v>
      </c>
      <c r="F219">
        <f>-199.89*$F$123</f>
        <v>0</v>
      </c>
      <c r="G219">
        <f>-4.167*$G$123</f>
        <v>0</v>
      </c>
      <c r="H219">
        <f>0*$H$123</f>
        <v>0</v>
      </c>
      <c r="I219">
        <f>-8.059*$I$123</f>
        <v>0</v>
      </c>
      <c r="J219">
        <f>37.718*$J$123</f>
        <v>0</v>
      </c>
      <c r="K219">
        <f>-50.29*$K$123</f>
        <v>0</v>
      </c>
      <c r="L219">
        <f>-8.438*$L$123</f>
        <v>0</v>
      </c>
      <c r="M219">
        <f>0+D219+E219+G219+H219+I219+J219+K219+L219</f>
        <v>0</v>
      </c>
      <c r="N219">
        <f>0+D219+F219+G219+H219+I219+J219+K219+L219</f>
        <v>0</v>
      </c>
    </row>
    <row r="220" spans="3:14">
      <c r="C220" t="s">
        <v>63</v>
      </c>
      <c r="D220">
        <f>-41.263*$D$123</f>
        <v>0</v>
      </c>
      <c r="E220">
        <f>98.109*$E$123</f>
        <v>0</v>
      </c>
      <c r="F220">
        <f>-183.349*$F$123</f>
        <v>0</v>
      </c>
      <c r="G220">
        <f>-3.809*$G$123</f>
        <v>0</v>
      </c>
      <c r="H220">
        <f>0*$H$123</f>
        <v>0</v>
      </c>
      <c r="I220">
        <f>-6.082*$I$123</f>
        <v>0</v>
      </c>
      <c r="J220">
        <f>37.415*$J$123</f>
        <v>0</v>
      </c>
      <c r="K220">
        <f>-49.887*$K$123</f>
        <v>0</v>
      </c>
      <c r="L220">
        <f>-7.703*$L$123</f>
        <v>0</v>
      </c>
      <c r="M220">
        <f>0+D220+E220+G220+H220+I220+J220+K220+L220</f>
        <v>0</v>
      </c>
      <c r="N220">
        <f>0+D220+F220+G220+H220+I220+J220+K220+L220</f>
        <v>0</v>
      </c>
    </row>
    <row r="221" spans="3:14">
      <c r="C221" t="s">
        <v>63</v>
      </c>
      <c r="D221">
        <f>-41.149*$D$123</f>
        <v>0</v>
      </c>
      <c r="E221">
        <f>116.713*$E$123</f>
        <v>0</v>
      </c>
      <c r="F221">
        <f>-165.284*$F$123</f>
        <v>0</v>
      </c>
      <c r="G221">
        <f>-3.677*$G$123</f>
        <v>0</v>
      </c>
      <c r="H221">
        <f>0*$H$123</f>
        <v>0</v>
      </c>
      <c r="I221">
        <f>-4.098*$I$123</f>
        <v>0</v>
      </c>
      <c r="J221">
        <f>38.255*$J$123</f>
        <v>0</v>
      </c>
      <c r="K221">
        <f>-51.007*$K$123</f>
        <v>0</v>
      </c>
      <c r="L221">
        <f>-7.357*$L$123</f>
        <v>0</v>
      </c>
      <c r="M221">
        <f>0+D221+E221+G221+H221+I221+J221+K221+L221</f>
        <v>0</v>
      </c>
      <c r="N221">
        <f>0+D221+F221+G221+H221+I221+J221+K221+L221</f>
        <v>0</v>
      </c>
    </row>
    <row r="222" spans="3:14">
      <c r="C222" t="s">
        <v>64</v>
      </c>
      <c r="D222">
        <f>-17.613*$D$123</f>
        <v>0</v>
      </c>
      <c r="E222">
        <f>133.364*$E$123</f>
        <v>0</v>
      </c>
      <c r="F222">
        <f>-150.16*$F$123</f>
        <v>0</v>
      </c>
      <c r="G222">
        <f>-3.103*$G$123</f>
        <v>0</v>
      </c>
      <c r="H222">
        <f>0*$H$123</f>
        <v>0</v>
      </c>
      <c r="I222">
        <f>-2.171*$I$123</f>
        <v>0</v>
      </c>
      <c r="J222">
        <f>36.525*$J$123</f>
        <v>0</v>
      </c>
      <c r="K222">
        <f>-48.7*$K$123</f>
        <v>0</v>
      </c>
      <c r="L222">
        <f>-5.106*$L$123</f>
        <v>0</v>
      </c>
      <c r="M222">
        <f>0+D222+E222+G222+H222+I222+J222+K222+L222</f>
        <v>0</v>
      </c>
      <c r="N222">
        <f>0+D222+F222+G222+H222+I222+J222+K222+L222</f>
        <v>0</v>
      </c>
    </row>
    <row r="223" spans="3:14">
      <c r="C223" t="s">
        <v>64</v>
      </c>
      <c r="D223">
        <f>0.843*$D$123</f>
        <v>0</v>
      </c>
      <c r="E223">
        <f>132.078*$E$123</f>
        <v>0</v>
      </c>
      <c r="F223">
        <f>-152.004*$F$123</f>
        <v>0</v>
      </c>
      <c r="G223">
        <f>3.097*$G$123</f>
        <v>0</v>
      </c>
      <c r="H223">
        <f>0*$H$123</f>
        <v>0</v>
      </c>
      <c r="I223">
        <f>-0.24*$I$123</f>
        <v>0</v>
      </c>
      <c r="J223">
        <f>-27.013*$J$123</f>
        <v>0</v>
      </c>
      <c r="K223">
        <f>36.017*$K$123</f>
        <v>0</v>
      </c>
      <c r="L223">
        <f>8.753*$L$123</f>
        <v>0</v>
      </c>
      <c r="M223">
        <f>0+D223+E223+G223+H223+I223+J223+K223+L223</f>
        <v>0</v>
      </c>
      <c r="N223">
        <f>0+D223+F223+G223+H223+I223+J223+K223+L223</f>
        <v>0</v>
      </c>
    </row>
    <row r="224" spans="3:14">
      <c r="C224" t="s">
        <v>65</v>
      </c>
      <c r="D224">
        <f>26.482*$D$123</f>
        <v>0</v>
      </c>
      <c r="E224">
        <f>148.063*$E$123</f>
        <v>0</v>
      </c>
      <c r="F224">
        <f>-136.556*$F$123</f>
        <v>0</v>
      </c>
      <c r="G224">
        <f>3.659*$G$123</f>
        <v>0</v>
      </c>
      <c r="H224">
        <f>0*$H$123</f>
        <v>0</v>
      </c>
      <c r="I224">
        <f>1.851*$I$123</f>
        <v>0</v>
      </c>
      <c r="J224">
        <f>-28.687*$J$123</f>
        <v>0</v>
      </c>
      <c r="K224">
        <f>38.249*$K$123</f>
        <v>0</v>
      </c>
      <c r="L224">
        <f>11.29*$L$123</f>
        <v>0</v>
      </c>
      <c r="M224">
        <f>0+D224+E224+G224+H224+I224+J224+K224+L224</f>
        <v>0</v>
      </c>
      <c r="N224">
        <f>0+D224+F224+G224+H224+I224+J224+K224+L224</f>
        <v>0</v>
      </c>
    </row>
    <row r="225" spans="3:14">
      <c r="C225" t="s">
        <v>65</v>
      </c>
      <c r="D225">
        <f>26.295*$D$123</f>
        <v>0</v>
      </c>
      <c r="E225">
        <f>166.396*$E$123</f>
        <v>0</v>
      </c>
      <c r="F225">
        <f>-116.149*$F$123</f>
        <v>0</v>
      </c>
      <c r="G225">
        <f>3.776*$G$123</f>
        <v>0</v>
      </c>
      <c r="H225">
        <f>0*$H$123</f>
        <v>0</v>
      </c>
      <c r="I225">
        <f>3.99*$I$123</f>
        <v>0</v>
      </c>
      <c r="J225">
        <f>-27.804*$J$123</f>
        <v>0</v>
      </c>
      <c r="K225">
        <f>37.071*$K$123</f>
        <v>0</v>
      </c>
      <c r="L225">
        <f>12.175*$L$123</f>
        <v>0</v>
      </c>
      <c r="M225">
        <f>0+D225+E225+G225+H225+I225+J225+K225+L225</f>
        <v>0</v>
      </c>
      <c r="N225">
        <f>0+D225+F225+G225+H225+I225+J225+K225+L225</f>
        <v>0</v>
      </c>
    </row>
    <row r="226" spans="3:14">
      <c r="C226" t="s">
        <v>66</v>
      </c>
      <c r="D226">
        <f>51.98*$D$123</f>
        <v>0</v>
      </c>
      <c r="E226">
        <f>183.394*$E$123</f>
        <v>0</v>
      </c>
      <c r="F226">
        <f>-100*$F$123</f>
        <v>0</v>
      </c>
      <c r="G226">
        <f>4.076*$G$123</f>
        <v>0</v>
      </c>
      <c r="H226">
        <f>0*$H$123</f>
        <v>0</v>
      </c>
      <c r="I226">
        <f>6.096*$I$123</f>
        <v>0</v>
      </c>
      <c r="J226">
        <f>-28.118*$J$123</f>
        <v>0</v>
      </c>
      <c r="K226">
        <f>37.491*$K$123</f>
        <v>0</v>
      </c>
      <c r="L226">
        <f>13.592*$L$123</f>
        <v>0</v>
      </c>
      <c r="M226">
        <f>0+D226+E226+G226+H226+I226+J226+K226+L226</f>
        <v>0</v>
      </c>
      <c r="N226">
        <f>0+D226+F226+G226+H226+I226+J226+K226+L226</f>
        <v>0</v>
      </c>
    </row>
    <row r="227" spans="3:14">
      <c r="C227" t="s">
        <v>66</v>
      </c>
      <c r="D227">
        <f>51.866*$D$123</f>
        <v>0</v>
      </c>
      <c r="E227">
        <f>203.446*$E$123</f>
        <v>0</v>
      </c>
      <c r="F227">
        <f>-81.141*$F$123</f>
        <v>0</v>
      </c>
      <c r="G227">
        <f>4.039*$G$123</f>
        <v>0</v>
      </c>
      <c r="H227">
        <f>0*$H$123</f>
        <v>0</v>
      </c>
      <c r="I227">
        <f>8.249*$I$123</f>
        <v>0</v>
      </c>
      <c r="J227">
        <f>-27.413*$J$123</f>
        <v>0</v>
      </c>
      <c r="K227">
        <f>36.55*$K$123</f>
        <v>0</v>
      </c>
      <c r="L227">
        <f>13.98*$L$123</f>
        <v>0</v>
      </c>
      <c r="M227">
        <f>0+D227+E227+G227+H227+I227+J227+K227+L227</f>
        <v>0</v>
      </c>
      <c r="N227">
        <f>0+D227+F227+G227+H227+I227+J227+K227+L227</f>
        <v>0</v>
      </c>
    </row>
    <row r="228" spans="3:14">
      <c r="C228" t="s">
        <v>67</v>
      </c>
      <c r="D228">
        <f>77.632*$D$123</f>
        <v>0</v>
      </c>
      <c r="E228">
        <f>222.109*$E$123</f>
        <v>0</v>
      </c>
      <c r="F228">
        <f>-63.76*$F$123</f>
        <v>0</v>
      </c>
      <c r="G228">
        <f>4.116*$G$123</f>
        <v>0</v>
      </c>
      <c r="H228">
        <f>0*$H$123</f>
        <v>0</v>
      </c>
      <c r="I228">
        <f>10.383*$I$123</f>
        <v>0</v>
      </c>
      <c r="J228">
        <f>-27.963*$J$123</f>
        <v>0</v>
      </c>
      <c r="K228">
        <f>37.283*$K$123</f>
        <v>0</v>
      </c>
      <c r="L228">
        <f>14.806*$L$123</f>
        <v>0</v>
      </c>
      <c r="M228">
        <f>0+D228+E228+G228+H228+I228+J228+K228+L228</f>
        <v>0</v>
      </c>
      <c r="N228">
        <f>0+D228+F228+G228+H228+I228+J228+K228+L228</f>
        <v>0</v>
      </c>
    </row>
    <row r="229" spans="3:14">
      <c r="C229" t="s">
        <v>67</v>
      </c>
      <c r="D229">
        <f>73.425*$D$123</f>
        <v>0</v>
      </c>
      <c r="E229">
        <f>235.061*$E$123</f>
        <v>0</v>
      </c>
      <c r="F229">
        <f>-49.736*$F$123</f>
        <v>0</v>
      </c>
      <c r="G229">
        <f>3.746*$G$123</f>
        <v>0</v>
      </c>
      <c r="H229">
        <f>0*$H$123</f>
        <v>0</v>
      </c>
      <c r="I229">
        <f>11.929*$I$123</f>
        <v>0</v>
      </c>
      <c r="J229">
        <f>-44.52*$J$123</f>
        <v>0</v>
      </c>
      <c r="K229">
        <f>59.36*$K$123</f>
        <v>0</v>
      </c>
      <c r="L229">
        <f>14.213*$L$123</f>
        <v>0</v>
      </c>
      <c r="M229">
        <f>0+D229+E229+G229+H229+I229+J229+K229+L229</f>
        <v>0</v>
      </c>
      <c r="N229">
        <f>0+D229+F229+G229+H229+I229+J229+K229+L229</f>
        <v>0</v>
      </c>
    </row>
    <row r="230" spans="3:14">
      <c r="C230" t="s">
        <v>68</v>
      </c>
      <c r="D230">
        <f>99.345*$D$123</f>
        <v>0</v>
      </c>
      <c r="E230">
        <f>258.705*$E$123</f>
        <v>0</v>
      </c>
      <c r="F230">
        <f>-36.873*$F$123</f>
        <v>0</v>
      </c>
      <c r="G230">
        <f>3.721*$G$123</f>
        <v>0</v>
      </c>
      <c r="H230">
        <f>0*$H$123</f>
        <v>0</v>
      </c>
      <c r="I230">
        <f>14.092*$I$123</f>
        <v>0</v>
      </c>
      <c r="J230">
        <f>-49.122*$J$123</f>
        <v>0</v>
      </c>
      <c r="K230">
        <f>65.495*$K$123</f>
        <v>0</v>
      </c>
      <c r="L230">
        <f>14.917*$L$123</f>
        <v>0</v>
      </c>
      <c r="M230">
        <f>0+D230+E230+G230+H230+I230+J230+K230+L230</f>
        <v>0</v>
      </c>
      <c r="N230">
        <f>0+D230+F230+G230+H230+I230+J230+K230+L230</f>
        <v>0</v>
      </c>
    </row>
    <row r="231" spans="3:14">
      <c r="C231" t="s">
        <v>68</v>
      </c>
      <c r="D231">
        <f>101.723*$D$123</f>
        <v>0</v>
      </c>
      <c r="E231">
        <f>290.462*$E$123</f>
        <v>0</v>
      </c>
      <c r="F231">
        <f>-22.439*$F$123</f>
        <v>0</v>
      </c>
      <c r="G231">
        <f>3.464*$G$123</f>
        <v>0</v>
      </c>
      <c r="H231">
        <f>0*$H$123</f>
        <v>0</v>
      </c>
      <c r="I231">
        <f>16.639*$I$123</f>
        <v>0</v>
      </c>
      <c r="J231">
        <f>-54.938*$J$123</f>
        <v>0</v>
      </c>
      <c r="K231">
        <f>73.251*$K$123</f>
        <v>0</v>
      </c>
      <c r="L231">
        <f>15.479*$L$123</f>
        <v>0</v>
      </c>
      <c r="M231">
        <f>0+D231+E231+G231+H231+I231+J231+K231+L231</f>
        <v>0</v>
      </c>
      <c r="N231">
        <f>0+D231+F231+G231+H231+I231+J231+K231+L231</f>
        <v>0</v>
      </c>
    </row>
    <row r="232" spans="3:14">
      <c r="C232" t="s">
        <v>69</v>
      </c>
      <c r="D232">
        <f>127.823*$D$123</f>
        <v>0</v>
      </c>
      <c r="E232">
        <f>320.112*$E$123</f>
        <v>0</v>
      </c>
      <c r="F232">
        <f>-2.976*$F$123</f>
        <v>0</v>
      </c>
      <c r="G232">
        <f>3.413*$G$123</f>
        <v>0</v>
      </c>
      <c r="H232">
        <f>0*$H$123</f>
        <v>0</v>
      </c>
      <c r="I232">
        <f>18.83*$I$123</f>
        <v>0</v>
      </c>
      <c r="J232">
        <f>-61.16*$J$123</f>
        <v>0</v>
      </c>
      <c r="K232">
        <f>81.546*$K$123</f>
        <v>0</v>
      </c>
      <c r="L232">
        <f>15.718*$L$123</f>
        <v>0</v>
      </c>
      <c r="M232">
        <f>0+D232+E232+G232+H232+I232+J232+K232+L232</f>
        <v>0</v>
      </c>
      <c r="N232">
        <f>0+D232+F232+G232+H232+I232+J232+K232+L232</f>
        <v>0</v>
      </c>
    </row>
    <row r="237" spans="3:14">
      <c r="C237" t="s">
        <v>71</v>
      </c>
    </row>
    <row r="239" spans="3:14">
      <c r="C239" t="s">
        <v>2</v>
      </c>
    </row>
    <row r="240" spans="3:14">
      <c r="C240" t="s">
        <v>3</v>
      </c>
      <c r="D240" t="s">
        <v>4</v>
      </c>
      <c r="E240" t="s">
        <v>5</v>
      </c>
      <c r="F240" t="s">
        <v>6</v>
      </c>
      <c r="G240" t="s">
        <v>7</v>
      </c>
      <c r="H240" t="s">
        <v>8</v>
      </c>
      <c r="I240" t="s">
        <v>9</v>
      </c>
      <c r="J240" t="s">
        <v>10</v>
      </c>
      <c r="K240" t="s">
        <v>11</v>
      </c>
      <c r="L240" t="s">
        <v>12</v>
      </c>
      <c r="M240" t="s">
        <v>13</v>
      </c>
      <c r="N240" t="s">
        <v>14</v>
      </c>
    </row>
    <row r="241" spans="3:14">
      <c r="C241" t="s">
        <v>78</v>
      </c>
      <c r="D241">
        <f>1.3872*$D$239</f>
        <v>0</v>
      </c>
      <c r="E241">
        <f>8.8416*$E$239</f>
        <v>0</v>
      </c>
      <c r="F241">
        <f>-10.0861*$F$239</f>
        <v>0</v>
      </c>
      <c r="G241">
        <f>0.611*$G$239</f>
        <v>0</v>
      </c>
      <c r="H241">
        <f>0*$H$239</f>
        <v>0</v>
      </c>
      <c r="I241">
        <f>0.1961*$I$239</f>
        <v>0</v>
      </c>
      <c r="J241">
        <f>58.4112*$J$239</f>
        <v>0</v>
      </c>
      <c r="K241">
        <f>-77.8815*$K$239</f>
        <v>0</v>
      </c>
      <c r="L241">
        <f>0.0007218*$L$239</f>
        <v>0</v>
      </c>
      <c r="M241">
        <f>0+D241+E241+G241+H241+I241+J241+K241+L241</f>
        <v>0</v>
      </c>
      <c r="N241">
        <f>0+D241+F241+G241+H241+I241+J241+K241+L241</f>
        <v>0</v>
      </c>
    </row>
    <row r="242" spans="3:14">
      <c r="C242" t="s">
        <v>16</v>
      </c>
      <c r="D242">
        <f>-4.3138*$D$239</f>
        <v>0</v>
      </c>
      <c r="E242">
        <f>51.8938*$E$239</f>
        <v>0</v>
      </c>
      <c r="F242">
        <f>-50.9668*$F$239</f>
        <v>0</v>
      </c>
      <c r="G242">
        <f>-2.7721*$G$239</f>
        <v>0</v>
      </c>
      <c r="H242">
        <f>0*$H$239</f>
        <v>0</v>
      </c>
      <c r="I242">
        <f>-0.5285*$I$239</f>
        <v>0</v>
      </c>
      <c r="J242">
        <f>-139.1571*$J$239</f>
        <v>0</v>
      </c>
      <c r="K242">
        <f>185.5428*$K$239</f>
        <v>0</v>
      </c>
      <c r="L242">
        <f>0.0247*$L$239</f>
        <v>0</v>
      </c>
      <c r="M242">
        <f>0+D242+E242+G242+H242+I242+J242+K242+L242</f>
        <v>0</v>
      </c>
      <c r="N242">
        <f>0+D242+F242+G242+H242+I242+J242+K242+L242</f>
        <v>0</v>
      </c>
    </row>
    <row r="243" spans="3:14">
      <c r="C243" t="s">
        <v>16</v>
      </c>
      <c r="D243">
        <f>5.2277*$D$239</f>
        <v>0</v>
      </c>
      <c r="E243">
        <f>36.952*$E$239</f>
        <v>0</v>
      </c>
      <c r="F243">
        <f>-33.1594*$F$239</f>
        <v>0</v>
      </c>
      <c r="G243">
        <f>2.0335*$G$239</f>
        <v>0</v>
      </c>
      <c r="H243">
        <f>0*$H$239</f>
        <v>0</v>
      </c>
      <c r="I243">
        <f>0.5305*$I$239</f>
        <v>0</v>
      </c>
      <c r="J243">
        <f>-8.8643*$J$239</f>
        <v>0</v>
      </c>
      <c r="K243">
        <f>11.8191*$K$239</f>
        <v>0</v>
      </c>
      <c r="L243">
        <f>0.0016*$L$239</f>
        <v>0</v>
      </c>
      <c r="M243">
        <f>0+D243+E243+G243+H243+I243+J243+K243+L243</f>
        <v>0</v>
      </c>
      <c r="N243">
        <f>0+D243+F243+G243+H243+I243+J243+K243+L243</f>
        <v>0</v>
      </c>
    </row>
    <row r="244" spans="3:14">
      <c r="C244" t="s">
        <v>17</v>
      </c>
      <c r="D244">
        <f>-2.544*$D$239</f>
        <v>0</v>
      </c>
      <c r="E244">
        <f>36.0837*$E$239</f>
        <v>0</v>
      </c>
      <c r="F244">
        <f>-42.4101*$F$239</f>
        <v>0</v>
      </c>
      <c r="G244">
        <f>-1.3095*$G$239</f>
        <v>0</v>
      </c>
      <c r="H244">
        <f>0*$H$239</f>
        <v>0</v>
      </c>
      <c r="I244">
        <f>-0.3815*$I$239</f>
        <v>0</v>
      </c>
      <c r="J244">
        <f>-71.5249*$J$239</f>
        <v>0</v>
      </c>
      <c r="K244">
        <f>95.3665*$K$239</f>
        <v>0</v>
      </c>
      <c r="L244">
        <f>0.0202*$L$239</f>
        <v>0</v>
      </c>
      <c r="M244">
        <f>0+D244+E244+G244+H244+I244+J244+K244+L244</f>
        <v>0</v>
      </c>
      <c r="N244">
        <f>0+D244+F244+G244+H244+I244+J244+K244+L244</f>
        <v>0</v>
      </c>
    </row>
    <row r="245" spans="3:14">
      <c r="C245" t="s">
        <v>17</v>
      </c>
      <c r="D245">
        <f>10.8151*$D$239</f>
        <v>0</v>
      </c>
      <c r="E245">
        <f>75.7998*$E$239</f>
        <v>0</v>
      </c>
      <c r="F245">
        <f>-70.0646*$F$239</f>
        <v>0</v>
      </c>
      <c r="G245">
        <f>4.9235*$G$239</f>
        <v>0</v>
      </c>
      <c r="H245">
        <f>0*$H$239</f>
        <v>0</v>
      </c>
      <c r="I245">
        <f>1.1947*$I$239</f>
        <v>0</v>
      </c>
      <c r="J245">
        <f>4.3847*$J$239</f>
        <v>0</v>
      </c>
      <c r="K245">
        <f>-5.8463*$K$239</f>
        <v>0</v>
      </c>
      <c r="L245">
        <f>0.00001351*$L$239</f>
        <v>0</v>
      </c>
      <c r="M245">
        <f>0+D245+E245+G245+H245+I245+J245+K245+L245</f>
        <v>0</v>
      </c>
      <c r="N245">
        <f>0+D245+F245+G245+H245+I245+J245+K245+L245</f>
        <v>0</v>
      </c>
    </row>
    <row r="246" spans="3:14">
      <c r="C246" t="s">
        <v>18</v>
      </c>
      <c r="D246">
        <f>-1.2853*$D$239</f>
        <v>0</v>
      </c>
      <c r="E246">
        <f>52.3142*$E$239</f>
        <v>0</v>
      </c>
      <c r="F246">
        <f>-57.4629*$F$239</f>
        <v>0</v>
      </c>
      <c r="G246">
        <f>0.192*$G$239</f>
        <v>0</v>
      </c>
      <c r="H246">
        <f>0*$H$239</f>
        <v>0</v>
      </c>
      <c r="I246">
        <f>-0.2723*$I$239</f>
        <v>0</v>
      </c>
      <c r="J246">
        <f>-31.1486*$J$239</f>
        <v>0</v>
      </c>
      <c r="K246">
        <f>41.5314*$K$239</f>
        <v>0</v>
      </c>
      <c r="L246">
        <f>0.0173*$L$239</f>
        <v>0</v>
      </c>
      <c r="M246">
        <f>0+D246+E246+G246+H246+I246+J246+K246+L246</f>
        <v>0</v>
      </c>
      <c r="N246">
        <f>0+D246+F246+G246+H246+I246+J246+K246+L246</f>
        <v>0</v>
      </c>
    </row>
    <row r="247" spans="3:14">
      <c r="C247" t="s">
        <v>18</v>
      </c>
      <c r="D247">
        <f>12.4317*$D$239</f>
        <v>0</v>
      </c>
      <c r="E247">
        <f>109.1729*$E$239</f>
        <v>0</v>
      </c>
      <c r="F247">
        <f>-102.147*$F$239</f>
        <v>0</v>
      </c>
      <c r="G247">
        <f>7.5238*$G$239</f>
        <v>0</v>
      </c>
      <c r="H247">
        <f>0*$H$239</f>
        <v>0</v>
      </c>
      <c r="I247">
        <f>1.3098*$I$239</f>
        <v>0</v>
      </c>
      <c r="J247">
        <f>-8.1329*$J$239</f>
        <v>0</v>
      </c>
      <c r="K247">
        <f>10.8438*$K$239</f>
        <v>0</v>
      </c>
      <c r="L247">
        <f>-0.0037*$L$239</f>
        <v>0</v>
      </c>
      <c r="M247">
        <f>0+D247+E247+G247+H247+I247+J247+K247+L247</f>
        <v>0</v>
      </c>
      <c r="N247">
        <f>0+D247+F247+G247+H247+I247+J247+K247+L247</f>
        <v>0</v>
      </c>
    </row>
    <row r="248" spans="3:14">
      <c r="C248" t="s">
        <v>19</v>
      </c>
      <c r="D248">
        <f>-0.4565*$D$239</f>
        <v>0</v>
      </c>
      <c r="E248">
        <f>73.866*$E$239</f>
        <v>0</v>
      </c>
      <c r="F248">
        <f>-78.1797*$F$239</f>
        <v>0</v>
      </c>
      <c r="G248">
        <f>1.7004*$G$239</f>
        <v>0</v>
      </c>
      <c r="H248">
        <f>0*$H$239</f>
        <v>0</v>
      </c>
      <c r="I248">
        <f>-0.229*$I$239</f>
        <v>0</v>
      </c>
      <c r="J248">
        <f>-16.9469*$J$239</f>
        <v>0</v>
      </c>
      <c r="K248">
        <f>22.5958*$K$239</f>
        <v>0</v>
      </c>
      <c r="L248">
        <f>0.0142*$L$239</f>
        <v>0</v>
      </c>
      <c r="M248">
        <f>0+D248+E248+G248+H248+I248+J248+K248+L248</f>
        <v>0</v>
      </c>
      <c r="N248">
        <f>0+D248+F248+G248+H248+I248+J248+K248+L248</f>
        <v>0</v>
      </c>
    </row>
    <row r="249" spans="3:14">
      <c r="C249" t="s">
        <v>19</v>
      </c>
      <c r="D249">
        <f>11.7733*$D$239</f>
        <v>0</v>
      </c>
      <c r="E249">
        <f>137.6319*$E$239</f>
        <v>0</v>
      </c>
      <c r="F249">
        <f>-129.2238*$F$239</f>
        <v>0</v>
      </c>
      <c r="G249">
        <f>9.1002*$G$239</f>
        <v>0</v>
      </c>
      <c r="H249">
        <f>0*$H$239</f>
        <v>0</v>
      </c>
      <c r="I249">
        <f>1.1531*$I$239</f>
        <v>0</v>
      </c>
      <c r="J249">
        <f>-24.9658*$J$239</f>
        <v>0</v>
      </c>
      <c r="K249">
        <f>33.2877*$K$239</f>
        <v>0</v>
      </c>
      <c r="L249">
        <f>-0.0104*$L$239</f>
        <v>0</v>
      </c>
      <c r="M249">
        <f>0+D249+E249+G249+H249+I249+J249+K249+L249</f>
        <v>0</v>
      </c>
      <c r="N249">
        <f>0+D249+F249+G249+H249+I249+J249+K249+L249</f>
        <v>0</v>
      </c>
    </row>
    <row r="250" spans="3:14">
      <c r="C250" t="s">
        <v>20</v>
      </c>
      <c r="D250">
        <f>4.0675*$D$239</f>
        <v>0</v>
      </c>
      <c r="E250">
        <f>99.9531*$E$239</f>
        <v>0</v>
      </c>
      <c r="F250">
        <f>-93.0334*$F$239</f>
        <v>0</v>
      </c>
      <c r="G250">
        <f>-0.455*$G$239</f>
        <v>0</v>
      </c>
      <c r="H250">
        <f>0*$H$239</f>
        <v>0</v>
      </c>
      <c r="I250">
        <f>0.643*$I$239</f>
        <v>0</v>
      </c>
      <c r="J250">
        <f>22.2214*$J$239</f>
        <v>0</v>
      </c>
      <c r="K250">
        <f>-29.6285*$K$239</f>
        <v>0</v>
      </c>
      <c r="L250">
        <f>-0.00001923*$L$239</f>
        <v>0</v>
      </c>
      <c r="M250">
        <f>0+D250+E250+G250+H250+I250+J250+K250+L250</f>
        <v>0</v>
      </c>
      <c r="N250">
        <f>0+D250+F250+G250+H250+I250+J250+K250+L250</f>
        <v>0</v>
      </c>
    </row>
    <row r="251" spans="3:14">
      <c r="C251" t="s">
        <v>20</v>
      </c>
      <c r="D251">
        <f>16.9914*$D$239</f>
        <v>0</v>
      </c>
      <c r="E251">
        <f>130.3856*$E$239</f>
        <v>0</v>
      </c>
      <c r="F251">
        <f>-109.4865*$F$239</f>
        <v>0</v>
      </c>
      <c r="G251">
        <f>3.0793*$G$239</f>
        <v>0</v>
      </c>
      <c r="H251">
        <f>0*$H$239</f>
        <v>0</v>
      </c>
      <c r="I251">
        <f>2.3637*$I$239</f>
        <v>0</v>
      </c>
      <c r="J251">
        <f>24.5363*$J$239</f>
        <v>0</v>
      </c>
      <c r="K251">
        <f>-32.715*$K$239</f>
        <v>0</v>
      </c>
      <c r="L251">
        <f>0.0003569*$L$239</f>
        <v>0</v>
      </c>
      <c r="M251">
        <f>0+D251+E251+G251+H251+I251+J251+K251+L251</f>
        <v>0</v>
      </c>
      <c r="N251">
        <f>0+D251+F251+G251+H251+I251+J251+K251+L251</f>
        <v>0</v>
      </c>
    </row>
    <row r="252" spans="3:14">
      <c r="C252" t="s">
        <v>21</v>
      </c>
      <c r="D252">
        <f>-1.1369*$D$239</f>
        <v>0</v>
      </c>
      <c r="E252">
        <f>109.5685*$E$239</f>
        <v>0</v>
      </c>
      <c r="F252">
        <f>-115.0795*$F$239</f>
        <v>0</v>
      </c>
      <c r="G252">
        <f>4.1223*$G$239</f>
        <v>0</v>
      </c>
      <c r="H252">
        <f>0*$H$239</f>
        <v>0</v>
      </c>
      <c r="I252">
        <f>-0.4558*$I$239</f>
        <v>0</v>
      </c>
      <c r="J252">
        <f>-33.3238*$J$239</f>
        <v>0</v>
      </c>
      <c r="K252">
        <f>44.4317*$K$239</f>
        <v>0</v>
      </c>
      <c r="L252">
        <f>0.0125*$L$239</f>
        <v>0</v>
      </c>
      <c r="M252">
        <f>0+D252+E252+G252+H252+I252+J252+K252+L252</f>
        <v>0</v>
      </c>
      <c r="N252">
        <f>0+D252+F252+G252+H252+I252+J252+K252+L252</f>
        <v>0</v>
      </c>
    </row>
    <row r="253" spans="3:14">
      <c r="C253" t="s">
        <v>21</v>
      </c>
      <c r="D253">
        <f>10.6319*$D$239</f>
        <v>0</v>
      </c>
      <c r="E253">
        <f>165.417*$E$239</f>
        <v>0</v>
      </c>
      <c r="F253">
        <f>-153.6486*$F$239</f>
        <v>0</v>
      </c>
      <c r="G253">
        <f>5.715*$G$239</f>
        <v>0</v>
      </c>
      <c r="H253">
        <f>0*$H$239</f>
        <v>0</v>
      </c>
      <c r="I253">
        <f>1.1972*$I$239</f>
        <v>0</v>
      </c>
      <c r="J253">
        <f>3.1702*$J$239</f>
        <v>0</v>
      </c>
      <c r="K253">
        <f>-4.2269*$K$239</f>
        <v>0</v>
      </c>
      <c r="L253">
        <f>-0.0118*$L$239</f>
        <v>0</v>
      </c>
      <c r="M253">
        <f>0+D253+E253+G253+H253+I253+J253+K253+L253</f>
        <v>0</v>
      </c>
      <c r="N253">
        <f>0+D253+F253+G253+H253+I253+J253+K253+L253</f>
        <v>0</v>
      </c>
    </row>
    <row r="254" spans="3:14">
      <c r="C254" t="s">
        <v>22</v>
      </c>
      <c r="D254">
        <f>0.8397*$D$239</f>
        <v>0</v>
      </c>
      <c r="E254">
        <f>128.2801*$E$239</f>
        <v>0</v>
      </c>
      <c r="F254">
        <f>-130.1254*$F$239</f>
        <v>0</v>
      </c>
      <c r="G254">
        <f>3.0087*$G$239</f>
        <v>0</v>
      </c>
      <c r="H254">
        <f>0*$H$239</f>
        <v>0</v>
      </c>
      <c r="I254">
        <f>-0.109*$I$239</f>
        <v>0</v>
      </c>
      <c r="J254">
        <f>-13.3225*$J$239</f>
        <v>0</v>
      </c>
      <c r="K254">
        <f>17.7633*$K$239</f>
        <v>0</v>
      </c>
      <c r="L254">
        <f>0.0072*$L$239</f>
        <v>0</v>
      </c>
      <c r="M254">
        <f>0+D254+E254+G254+H254+I254+J254+K254+L254</f>
        <v>0</v>
      </c>
      <c r="N254">
        <f>0+D254+F254+G254+H254+I254+J254+K254+L254</f>
        <v>0</v>
      </c>
    </row>
    <row r="255" spans="3:14">
      <c r="C255" t="s">
        <v>22</v>
      </c>
      <c r="D255">
        <f>7.5951*$D$239</f>
        <v>0</v>
      </c>
      <c r="E255">
        <f>177.697*$E$239</f>
        <v>0</v>
      </c>
      <c r="F255">
        <f>-168.8847*$F$239</f>
        <v>0</v>
      </c>
      <c r="G255">
        <f>4.6716*$G$239</f>
        <v>0</v>
      </c>
      <c r="H255">
        <f>0*$H$239</f>
        <v>0</v>
      </c>
      <c r="I255">
        <f>0.8128*$I$239</f>
        <v>0</v>
      </c>
      <c r="J255">
        <f>5.1403*$J$239</f>
        <v>0</v>
      </c>
      <c r="K255">
        <f>-6.8537*$K$239</f>
        <v>0</v>
      </c>
      <c r="L255">
        <f>-0.0128*$L$239</f>
        <v>0</v>
      </c>
      <c r="M255">
        <f>0+D255+E255+G255+H255+I255+J255+K255+L255</f>
        <v>0</v>
      </c>
      <c r="N255">
        <f>0+D255+F255+G255+H255+I255+J255+K255+L255</f>
        <v>0</v>
      </c>
    </row>
    <row r="256" spans="3:14">
      <c r="C256" t="s">
        <v>23</v>
      </c>
      <c r="D256">
        <f>3.3199*$D$239</f>
        <v>0</v>
      </c>
      <c r="E256">
        <f>136.8593*$E$239</f>
        <v>0</v>
      </c>
      <c r="F256">
        <f>-134.6392*$F$239</f>
        <v>0</v>
      </c>
      <c r="G256">
        <f>1.9255*$G$239</f>
        <v>0</v>
      </c>
      <c r="H256">
        <f>0*$H$239</f>
        <v>0</v>
      </c>
      <c r="I256">
        <f>0.3242*$I$239</f>
        <v>0</v>
      </c>
      <c r="J256">
        <f>-1.9127*$J$239</f>
        <v>0</v>
      </c>
      <c r="K256">
        <f>2.5503*$K$239</f>
        <v>0</v>
      </c>
      <c r="L256">
        <f>0.0061*$L$239</f>
        <v>0</v>
      </c>
      <c r="M256">
        <f>0+D256+E256+G256+H256+I256+J256+K256+L256</f>
        <v>0</v>
      </c>
      <c r="N256">
        <f>0+D256+F256+G256+H256+I256+J256+K256+L256</f>
        <v>0</v>
      </c>
    </row>
    <row r="257" spans="3:14">
      <c r="C257" t="s">
        <v>23</v>
      </c>
      <c r="D257">
        <f>4.3488*$D$239</f>
        <v>0</v>
      </c>
      <c r="E257">
        <f>184.0238*$E$239</f>
        <v>0</v>
      </c>
      <c r="F257">
        <f>-179.6875*$F$239</f>
        <v>0</v>
      </c>
      <c r="G257">
        <f>4.8267*$G$239</f>
        <v>0</v>
      </c>
      <c r="H257">
        <f>0*$H$239</f>
        <v>0</v>
      </c>
      <c r="I257">
        <f>0.3218*$I$239</f>
        <v>0</v>
      </c>
      <c r="J257">
        <f>-5.4866*$J$239</f>
        <v>0</v>
      </c>
      <c r="K257">
        <f>7.3155*$K$239</f>
        <v>0</v>
      </c>
      <c r="L257">
        <f>-0.0136*$L$239</f>
        <v>0</v>
      </c>
      <c r="M257">
        <f>0+D257+E257+G257+H257+I257+J257+K257+L257</f>
        <v>0</v>
      </c>
      <c r="N257">
        <f>0+D257+F257+G257+H257+I257+J257+K257+L257</f>
        <v>0</v>
      </c>
    </row>
    <row r="258" spans="3:14">
      <c r="C258" t="s">
        <v>24</v>
      </c>
      <c r="D258">
        <f>6.0568*$D$239</f>
        <v>0</v>
      </c>
      <c r="E258">
        <f>139.678*$E$239</f>
        <v>0</v>
      </c>
      <c r="F258">
        <f>-133.5556*$F$239</f>
        <v>0</v>
      </c>
      <c r="G258">
        <f>1.9176*$G$239</f>
        <v>0</v>
      </c>
      <c r="H258">
        <f>0*$H$239</f>
        <v>0</v>
      </c>
      <c r="I258">
        <f>0.7299*$I$239</f>
        <v>0</v>
      </c>
      <c r="J258">
        <f>-5.0537*$J$239</f>
        <v>0</v>
      </c>
      <c r="K258">
        <f>6.7382*$K$239</f>
        <v>0</v>
      </c>
      <c r="L258">
        <f>0.0052*$L$239</f>
        <v>0</v>
      </c>
      <c r="M258">
        <f>0+D258+E258+G258+H258+I258+J258+K258+L258</f>
        <v>0</v>
      </c>
      <c r="N258">
        <f>0+D258+F258+G258+H258+I258+J258+K258+L258</f>
        <v>0</v>
      </c>
    </row>
    <row r="259" spans="3:14">
      <c r="C259" t="s">
        <v>24</v>
      </c>
      <c r="D259">
        <f>1.5329*$D$239</f>
        <v>0</v>
      </c>
      <c r="E259">
        <f>185.4015*$E$239</f>
        <v>0</v>
      </c>
      <c r="F259">
        <f>-184.9256*$F$239</f>
        <v>0</v>
      </c>
      <c r="G259">
        <f>5.3127*$G$239</f>
        <v>0</v>
      </c>
      <c r="H259">
        <f>0*$H$239</f>
        <v>0</v>
      </c>
      <c r="I259">
        <f>-0.1134*$I$239</f>
        <v>0</v>
      </c>
      <c r="J259">
        <f>-22.0739*$J$239</f>
        <v>0</v>
      </c>
      <c r="K259">
        <f>29.4319*$K$239</f>
        <v>0</v>
      </c>
      <c r="L259">
        <f>-0.0189*$L$239</f>
        <v>0</v>
      </c>
      <c r="M259">
        <f>0+D259+E259+G259+H259+I259+J259+K259+L259</f>
        <v>0</v>
      </c>
      <c r="N259">
        <f>0+D259+F259+G259+H259+I259+J259+K259+L259</f>
        <v>0</v>
      </c>
    </row>
    <row r="260" spans="3:14">
      <c r="C260" t="s">
        <v>25</v>
      </c>
      <c r="D260">
        <f>14.0436*$D$239</f>
        <v>0</v>
      </c>
      <c r="E260">
        <f>139.5846*$E$239</f>
        <v>0</v>
      </c>
      <c r="F260">
        <f>-119.0854*$F$239</f>
        <v>0</v>
      </c>
      <c r="G260">
        <f>-3.3041*$G$239</f>
        <v>0</v>
      </c>
      <c r="H260">
        <f>0*$H$239</f>
        <v>0</v>
      </c>
      <c r="I260">
        <f>2.3116*$I$239</f>
        <v>0</v>
      </c>
      <c r="J260">
        <f>-3.7912*$J$239</f>
        <v>0</v>
      </c>
      <c r="K260">
        <f>5.0549*$K$239</f>
        <v>0</v>
      </c>
      <c r="L260">
        <f>-0.0103*$L$239</f>
        <v>0</v>
      </c>
      <c r="M260">
        <f>0+D260+E260+G260+H260+I260+J260+K260+L260</f>
        <v>0</v>
      </c>
      <c r="N260">
        <f>0+D260+F260+G260+H260+I260+J260+K260+L260</f>
        <v>0</v>
      </c>
    </row>
    <row r="261" spans="3:14">
      <c r="C261" t="s">
        <v>25</v>
      </c>
      <c r="D261">
        <f>7.8789*$D$239</f>
        <v>0</v>
      </c>
      <c r="E261">
        <f>175.0706*$E$239</f>
        <v>0</v>
      </c>
      <c r="F261">
        <f>-163.7123*$F$239</f>
        <v>0</v>
      </c>
      <c r="G261">
        <f>-3.6377*$G$239</f>
        <v>0</v>
      </c>
      <c r="H261">
        <f>0*$H$239</f>
        <v>0</v>
      </c>
      <c r="I261">
        <f>1.4529*$I$239</f>
        <v>0</v>
      </c>
      <c r="J261">
        <f>-4.285*$J$239</f>
        <v>0</v>
      </c>
      <c r="K261">
        <f>5.7134*$K$239</f>
        <v>0</v>
      </c>
      <c r="L261">
        <f>-0.0018*$L$239</f>
        <v>0</v>
      </c>
      <c r="M261">
        <f>0+D261+E261+G261+H261+I261+J261+K261+L261</f>
        <v>0</v>
      </c>
      <c r="N261">
        <f>0+D261+F261+G261+H261+I261+J261+K261+L261</f>
        <v>0</v>
      </c>
    </row>
    <row r="262" spans="3:14">
      <c r="C262" t="s">
        <v>26</v>
      </c>
      <c r="D262">
        <f>7.4658*$D$239</f>
        <v>0</v>
      </c>
      <c r="E262">
        <f>144.6614*$E$239</f>
        <v>0</v>
      </c>
      <c r="F262">
        <f>-138.7444*$F$239</f>
        <v>0</v>
      </c>
      <c r="G262">
        <f>5.0551*$G$239</f>
        <v>0</v>
      </c>
      <c r="H262">
        <f>0*$H$239</f>
        <v>0</v>
      </c>
      <c r="I262">
        <f>0.7546*$I$239</f>
        <v>0</v>
      </c>
      <c r="J262">
        <f>-27.1079*$J$239</f>
        <v>0</v>
      </c>
      <c r="K262">
        <f>36.1438*$K$239</f>
        <v>0</v>
      </c>
      <c r="L262">
        <f>0.0078*$L$239</f>
        <v>0</v>
      </c>
      <c r="M262">
        <f>0+D262+E262+G262+H262+I262+J262+K262+L262</f>
        <v>0</v>
      </c>
      <c r="N262">
        <f>0+D262+F262+G262+H262+I262+J262+K262+L262</f>
        <v>0</v>
      </c>
    </row>
    <row r="263" spans="3:14">
      <c r="C263" t="s">
        <v>26</v>
      </c>
      <c r="D263">
        <f>0.864*$D$239</f>
        <v>0</v>
      </c>
      <c r="E263">
        <f>179.2808*$E$239</f>
        <v>0</v>
      </c>
      <c r="F263">
        <f>-178.4169*$F$239</f>
        <v>0</v>
      </c>
      <c r="G263">
        <f>1.4379*$G$239</f>
        <v>0</v>
      </c>
      <c r="H263">
        <f>0*$H$239</f>
        <v>0</v>
      </c>
      <c r="I263">
        <f>0.0175*$I$239</f>
        <v>0</v>
      </c>
      <c r="J263">
        <f>-7.2459*$J$239</f>
        <v>0</v>
      </c>
      <c r="K263">
        <f>9.6612*$K$239</f>
        <v>0</v>
      </c>
      <c r="L263">
        <f>-0.0159*$L$239</f>
        <v>0</v>
      </c>
      <c r="M263">
        <f>0+D263+E263+G263+H263+I263+J263+K263+L263</f>
        <v>0</v>
      </c>
      <c r="N263">
        <f>0+D263+F263+G263+H263+I263+J263+K263+L263</f>
        <v>0</v>
      </c>
    </row>
    <row r="264" spans="3:14">
      <c r="C264" t="s">
        <v>27</v>
      </c>
      <c r="D264">
        <f>10.5915*$D$239</f>
        <v>0</v>
      </c>
      <c r="E264">
        <f>143.8921*$E$239</f>
        <v>0</v>
      </c>
      <c r="F264">
        <f>-133.2685*$F$239</f>
        <v>0</v>
      </c>
      <c r="G264">
        <f>4.1136*$G$239</f>
        <v>0</v>
      </c>
      <c r="H264">
        <f>0*$H$239</f>
        <v>0</v>
      </c>
      <c r="I264">
        <f>1.2646*$I$239</f>
        <v>0</v>
      </c>
      <c r="J264">
        <f>-14.5635*$J$239</f>
        <v>0</v>
      </c>
      <c r="K264">
        <f>19.4179*$K$239</f>
        <v>0</v>
      </c>
      <c r="L264">
        <f>0.0029*$L$239</f>
        <v>0</v>
      </c>
      <c r="M264">
        <f>0+D264+E264+G264+H264+I264+J264+K264+L264</f>
        <v>0</v>
      </c>
      <c r="N264">
        <f>0+D264+F264+G264+H264+I264+J264+K264+L264</f>
        <v>0</v>
      </c>
    </row>
    <row r="265" spans="3:14">
      <c r="C265" t="s">
        <v>27</v>
      </c>
      <c r="D265">
        <f>-0.9341*$D$239</f>
        <v>0</v>
      </c>
      <c r="E265">
        <f>176.7839*$E$239</f>
        <v>0</v>
      </c>
      <c r="F265">
        <f>-177.6829*$F$239</f>
        <v>0</v>
      </c>
      <c r="G265">
        <f>1.3193*$G$239</f>
        <v>0</v>
      </c>
      <c r="H265">
        <f>0*$H$239</f>
        <v>0</v>
      </c>
      <c r="I265">
        <f>-0.2474*$I$239</f>
        <v>0</v>
      </c>
      <c r="J265">
        <f>-5.5453*$J$239</f>
        <v>0</v>
      </c>
      <c r="K265">
        <f>7.3937*$K$239</f>
        <v>0</v>
      </c>
      <c r="L265">
        <f>-0.0158*$L$239</f>
        <v>0</v>
      </c>
      <c r="M265">
        <f>0+D265+E265+G265+H265+I265+J265+K265+L265</f>
        <v>0</v>
      </c>
      <c r="N265">
        <f>0+D265+F265+G265+H265+I265+J265+K265+L265</f>
        <v>0</v>
      </c>
    </row>
    <row r="266" spans="3:14">
      <c r="C266" t="s">
        <v>28</v>
      </c>
      <c r="D266">
        <f>13.9122*$D$239</f>
        <v>0</v>
      </c>
      <c r="E266">
        <f>138.1089*$E$239</f>
        <v>0</v>
      </c>
      <c r="F266">
        <f>-122.2843*$F$239</f>
        <v>0</v>
      </c>
      <c r="G266">
        <f>3.398*$G$239</f>
        <v>0</v>
      </c>
      <c r="H266">
        <f>0*$H$239</f>
        <v>0</v>
      </c>
      <c r="I266">
        <f>1.8041*$I$239</f>
        <v>0</v>
      </c>
      <c r="J266">
        <f>-8.2565*$J$239</f>
        <v>0</v>
      </c>
      <c r="K266">
        <f>11.0086*$K$239</f>
        <v>0</v>
      </c>
      <c r="L266">
        <f>0.0031*$L$239</f>
        <v>0</v>
      </c>
      <c r="M266">
        <f>0+D266+E266+G266+H266+I266+J266+K266+L266</f>
        <v>0</v>
      </c>
      <c r="N266">
        <f>0+D266+F266+G266+H266+I266+J266+K266+L266</f>
        <v>0</v>
      </c>
    </row>
    <row r="267" spans="3:14">
      <c r="C267" t="s">
        <v>28</v>
      </c>
      <c r="D267">
        <f>-1.9036*$D$239</f>
        <v>0</v>
      </c>
      <c r="E267">
        <f>168.6346*$E$239</f>
        <v>0</v>
      </c>
      <c r="F267">
        <f>-171.8482*$F$239</f>
        <v>0</v>
      </c>
      <c r="G267">
        <f>2.4836*$G$239</f>
        <v>0</v>
      </c>
      <c r="H267">
        <f>0*$H$239</f>
        <v>0</v>
      </c>
      <c r="I267">
        <f>-0.4741*$I$239</f>
        <v>0</v>
      </c>
      <c r="J267">
        <f>-16.2615*$J$239</f>
        <v>0</v>
      </c>
      <c r="K267">
        <f>21.682*$K$239</f>
        <v>0</v>
      </c>
      <c r="L267">
        <f>-0.0163*$L$239</f>
        <v>0</v>
      </c>
      <c r="M267">
        <f>0+D267+E267+G267+H267+I267+J267+K267+L267</f>
        <v>0</v>
      </c>
      <c r="N267">
        <f>0+D267+F267+G267+H267+I267+J267+K267+L267</f>
        <v>0</v>
      </c>
    </row>
    <row r="268" spans="3:14">
      <c r="C268" t="s">
        <v>29</v>
      </c>
      <c r="D268">
        <f>17.0075*$D$239</f>
        <v>0</v>
      </c>
      <c r="E268">
        <f>126.5027*$E$239</f>
        <v>0</v>
      </c>
      <c r="F268">
        <f>-106.9074*$F$239</f>
        <v>0</v>
      </c>
      <c r="G268">
        <f>3.8641*$G$239</f>
        <v>0</v>
      </c>
      <c r="H268">
        <f>0*$H$239</f>
        <v>0</v>
      </c>
      <c r="I268">
        <f>2.2355*$I$239</f>
        <v>0</v>
      </c>
      <c r="J268">
        <f>-13.483*$J$239</f>
        <v>0</v>
      </c>
      <c r="K268">
        <f>17.9774*$K$239</f>
        <v>0</v>
      </c>
      <c r="L268">
        <f>0.0037*$L$239</f>
        <v>0</v>
      </c>
      <c r="M268">
        <f>0+D268+E268+G268+H268+I268+J268+K268+L268</f>
        <v>0</v>
      </c>
      <c r="N268">
        <f>0+D268+F268+G268+H268+I268+J268+K268+L268</f>
        <v>0</v>
      </c>
    </row>
    <row r="269" spans="3:14">
      <c r="C269" t="s">
        <v>29</v>
      </c>
      <c r="D269">
        <f>-1.9225*$D$239</f>
        <v>0</v>
      </c>
      <c r="E269">
        <f>150.3093*$E$239</f>
        <v>0</v>
      </c>
      <c r="F269">
        <f>-154.8984*$F$239</f>
        <v>0</v>
      </c>
      <c r="G269">
        <f>3.7982*$G$239</f>
        <v>0</v>
      </c>
      <c r="H269">
        <f>0*$H$239</f>
        <v>0</v>
      </c>
      <c r="I269">
        <f>-0.5594*$I$239</f>
        <v>0</v>
      </c>
      <c r="J269">
        <f>-33.9652*$J$239</f>
        <v>0</v>
      </c>
      <c r="K269">
        <f>45.287*$K$239</f>
        <v>0</v>
      </c>
      <c r="L269">
        <f>-0.0222*$L$239</f>
        <v>0</v>
      </c>
      <c r="M269">
        <f>0+D269+E269+G269+H269+I269+J269+K269+L269</f>
        <v>0</v>
      </c>
      <c r="N269">
        <f>0+D269+F269+G269+H269+I269+J269+K269+L269</f>
        <v>0</v>
      </c>
    </row>
    <row r="270" spans="3:14">
      <c r="C270" t="s">
        <v>30</v>
      </c>
      <c r="D270">
        <f>18.6999*$D$239</f>
        <v>0</v>
      </c>
      <c r="E270">
        <f>94.1869*$E$239</f>
        <v>0</v>
      </c>
      <c r="F270">
        <f>-67.1081*$F$239</f>
        <v>0</v>
      </c>
      <c r="G270">
        <f>-0.8589*$G$239</f>
        <v>0</v>
      </c>
      <c r="H270">
        <f>0*$H$239</f>
        <v>0</v>
      </c>
      <c r="I270">
        <f>2.8906*$I$239</f>
        <v>0</v>
      </c>
      <c r="J270">
        <f>-7.0368*$J$239</f>
        <v>0</v>
      </c>
      <c r="K270">
        <f>9.3824*$K$239</f>
        <v>0</v>
      </c>
      <c r="L270">
        <f>-0.0068*$L$239</f>
        <v>0</v>
      </c>
      <c r="M270">
        <f>0+D270+E270+G270+H270+I270+J270+K270+L270</f>
        <v>0</v>
      </c>
      <c r="N270">
        <f>0+D270+F270+G270+H270+I270+J270+K270+L270</f>
        <v>0</v>
      </c>
    </row>
    <row r="271" spans="3:14">
      <c r="C271" t="s">
        <v>30</v>
      </c>
      <c r="D271">
        <f>-4.3272*$D$239</f>
        <v>0</v>
      </c>
      <c r="E271">
        <f>136.9562*$E$239</f>
        <v>0</v>
      </c>
      <c r="F271">
        <f>-139.2153*$F$239</f>
        <v>0</v>
      </c>
      <c r="G271">
        <f>-3.2771*$G$239</f>
        <v>0</v>
      </c>
      <c r="H271">
        <f>0*$H$239</f>
        <v>0</v>
      </c>
      <c r="I271">
        <f>-0.3461*$I$239</f>
        <v>0</v>
      </c>
      <c r="J271">
        <f>-1.0627*$J$239</f>
        <v>0</v>
      </c>
      <c r="K271">
        <f>1.417*$K$239</f>
        <v>0</v>
      </c>
      <c r="L271">
        <f>0.0063*$L$239</f>
        <v>0</v>
      </c>
      <c r="M271">
        <f>0+D271+E271+G271+H271+I271+J271+K271+L271</f>
        <v>0</v>
      </c>
      <c r="N271">
        <f>0+D271+F271+G271+H271+I271+J271+K271+L271</f>
        <v>0</v>
      </c>
    </row>
    <row r="272" spans="3:14">
      <c r="C272" t="s">
        <v>31</v>
      </c>
      <c r="D272">
        <f>19.0785*$D$239</f>
        <v>0</v>
      </c>
      <c r="E272">
        <f>108.8918*$E$239</f>
        <v>0</v>
      </c>
      <c r="F272">
        <f>-89.9921*$F$239</f>
        <v>0</v>
      </c>
      <c r="G272">
        <f>6.9006*$G$239</f>
        <v>0</v>
      </c>
      <c r="H272">
        <f>0*$H$239</f>
        <v>0</v>
      </c>
      <c r="I272">
        <f>2.3395*$I$239</f>
        <v>0</v>
      </c>
      <c r="J272">
        <f>-34.8352*$J$239</f>
        <v>0</v>
      </c>
      <c r="K272">
        <f>46.447*$K$239</f>
        <v>0</v>
      </c>
      <c r="L272">
        <f>0.0044*$L$239</f>
        <v>0</v>
      </c>
      <c r="M272">
        <f>0+D272+E272+G272+H272+I272+J272+K272+L272</f>
        <v>0</v>
      </c>
      <c r="N272">
        <f>0+D272+F272+G272+H272+I272+J272+K272+L272</f>
        <v>0</v>
      </c>
    </row>
    <row r="273" spans="3:14">
      <c r="C273" t="s">
        <v>31</v>
      </c>
      <c r="D273">
        <f>0.5777*$D$239</f>
        <v>0</v>
      </c>
      <c r="E273">
        <f>117.8886*$E$239</f>
        <v>0</v>
      </c>
      <c r="F273">
        <f>-118.6792*$F$239</f>
        <v>0</v>
      </c>
      <c r="G273">
        <f>1.5363*$G$239</f>
        <v>0</v>
      </c>
      <c r="H273">
        <f>0*$H$239</f>
        <v>0</v>
      </c>
      <c r="I273">
        <f>-0.0711*$I$239</f>
        <v>0</v>
      </c>
      <c r="J273">
        <f>-18.4334*$J$239</f>
        <v>0</v>
      </c>
      <c r="K273">
        <f>24.5778*$K$239</f>
        <v>0</v>
      </c>
      <c r="L273">
        <f>-0.0183*$L$239</f>
        <v>0</v>
      </c>
      <c r="M273">
        <f>0+D273+E273+G273+H273+I273+J273+K273+L273</f>
        <v>0</v>
      </c>
      <c r="N273">
        <f>0+D273+F273+G273+H273+I273+J273+K273+L273</f>
        <v>0</v>
      </c>
    </row>
    <row r="274" spans="3:14">
      <c r="C274" t="s">
        <v>32</v>
      </c>
      <c r="D274">
        <f>19.772*$D$239</f>
        <v>0</v>
      </c>
      <c r="E274">
        <f>89.6879*$E$239</f>
        <v>0</v>
      </c>
      <c r="F274">
        <f>-71.6263*$F$239</f>
        <v>0</v>
      </c>
      <c r="G274">
        <f>5.7976*$G$239</f>
        <v>0</v>
      </c>
      <c r="H274">
        <f>0*$H$239</f>
        <v>0</v>
      </c>
      <c r="I274">
        <f>2.4774*$I$239</f>
        <v>0</v>
      </c>
      <c r="J274">
        <f>-19.9446*$J$239</f>
        <v>0</v>
      </c>
      <c r="K274">
        <f>26.5928*$K$239</f>
        <v>0</v>
      </c>
      <c r="L274">
        <f>-0.0043*$L$239</f>
        <v>0</v>
      </c>
      <c r="M274">
        <f>0+D274+E274+G274+H274+I274+J274+K274+L274</f>
        <v>0</v>
      </c>
      <c r="N274">
        <f>0+D274+F274+G274+H274+I274+J274+K274+L274</f>
        <v>0</v>
      </c>
    </row>
    <row r="275" spans="3:14">
      <c r="C275" t="s">
        <v>32</v>
      </c>
      <c r="D275">
        <f>3.8465*$D$239</f>
        <v>0</v>
      </c>
      <c r="E275">
        <f>103.3331*$E$239</f>
        <v>0</v>
      </c>
      <c r="F275">
        <f>-102.3073*$F$239</f>
        <v>0</v>
      </c>
      <c r="G275">
        <f>1.2553*$G$239</f>
        <v>0</v>
      </c>
      <c r="H275">
        <f>0*$H$239</f>
        <v>0</v>
      </c>
      <c r="I275">
        <f>0.3836*$I$239</f>
        <v>0</v>
      </c>
      <c r="J275">
        <f>-19.5362*$J$239</f>
        <v>0</v>
      </c>
      <c r="K275">
        <f>26.0483*$K$239</f>
        <v>0</v>
      </c>
      <c r="L275">
        <f>-0.0248*$L$239</f>
        <v>0</v>
      </c>
      <c r="M275">
        <f>0+D275+E275+G275+H275+I275+J275+K275+L275</f>
        <v>0</v>
      </c>
      <c r="N275">
        <f>0+D275+F275+G275+H275+I275+J275+K275+L275</f>
        <v>0</v>
      </c>
    </row>
    <row r="276" spans="3:14">
      <c r="C276" t="s">
        <v>33</v>
      </c>
      <c r="D276">
        <f>17.6641*$D$239</f>
        <v>0</v>
      </c>
      <c r="E276">
        <f>69.7099*$E$239</f>
        <v>0</v>
      </c>
      <c r="F276">
        <f>-53.9236*$F$239</f>
        <v>0</v>
      </c>
      <c r="G276">
        <f>3.9099*$G$239</f>
        <v>0</v>
      </c>
      <c r="H276">
        <f>0*$H$239</f>
        <v>0</v>
      </c>
      <c r="I276">
        <f>2.2688*$I$239</f>
        <v>0</v>
      </c>
      <c r="J276">
        <f>-4.5019*$J$239</f>
        <v>0</v>
      </c>
      <c r="K276">
        <f>6.0025*$K$239</f>
        <v>0</v>
      </c>
      <c r="L276">
        <f>-0.0075*$L$239</f>
        <v>0</v>
      </c>
      <c r="M276">
        <f>0+D276+E276+G276+H276+I276+J276+K276+L276</f>
        <v>0</v>
      </c>
      <c r="N276">
        <f>0+D276+F276+G276+H276+I276+J276+K276+L276</f>
        <v>0</v>
      </c>
    </row>
    <row r="277" spans="3:14">
      <c r="C277" t="s">
        <v>33</v>
      </c>
      <c r="D277">
        <f>8.7942*$D$239</f>
        <v>0</v>
      </c>
      <c r="E277">
        <f>83.998*$E$239</f>
        <v>0</v>
      </c>
      <c r="F277">
        <f>-78.4901*$F$239</f>
        <v>0</v>
      </c>
      <c r="G277">
        <f>1.5063*$G$239</f>
        <v>0</v>
      </c>
      <c r="H277">
        <f>0*$H$239</f>
        <v>0</v>
      </c>
      <c r="I277">
        <f>1.0407*$I$239</f>
        <v>0</v>
      </c>
      <c r="J277">
        <f>-34.2014*$J$239</f>
        <v>0</v>
      </c>
      <c r="K277">
        <f>45.6019*$K$239</f>
        <v>0</v>
      </c>
      <c r="L277">
        <f>-0.0343*$L$239</f>
        <v>0</v>
      </c>
      <c r="M277">
        <f>0+D277+E277+G277+H277+I277+J277+K277+L277</f>
        <v>0</v>
      </c>
      <c r="N277">
        <f>0+D277+F277+G277+H277+I277+J277+K277+L277</f>
        <v>0</v>
      </c>
    </row>
    <row r="278" spans="3:14">
      <c r="C278" t="s">
        <v>34</v>
      </c>
      <c r="D278">
        <f>11.8503*$D$239</f>
        <v>0</v>
      </c>
      <c r="E278">
        <f>42.177*$E$239</f>
        <v>0</v>
      </c>
      <c r="F278">
        <f>-31.4217*$F$239</f>
        <v>0</v>
      </c>
      <c r="G278">
        <f>2.0368*$G$239</f>
        <v>0</v>
      </c>
      <c r="H278">
        <f>0*$H$239</f>
        <v>0</v>
      </c>
      <c r="I278">
        <f>1.5314*$I$239</f>
        <v>0</v>
      </c>
      <c r="J278">
        <f>6.1103*$J$239</f>
        <v>0</v>
      </c>
      <c r="K278">
        <f>-8.147*$K$239</f>
        <v>0</v>
      </c>
      <c r="L278">
        <f>-0.0087*$L$239</f>
        <v>0</v>
      </c>
      <c r="M278">
        <f>0+D278+E278+G278+H278+I278+J278+K278+L278</f>
        <v>0</v>
      </c>
      <c r="N278">
        <f>0+D278+F278+G278+H278+I278+J278+K278+L278</f>
        <v>0</v>
      </c>
    </row>
    <row r="279" spans="3:14">
      <c r="C279" t="s">
        <v>34</v>
      </c>
      <c r="D279">
        <f>14.2822*$D$239</f>
        <v>0</v>
      </c>
      <c r="E279">
        <f>47.8188*$E$239</f>
        <v>0</v>
      </c>
      <c r="F279">
        <f>-37.3328*$F$239</f>
        <v>0</v>
      </c>
      <c r="G279">
        <f>1.6185*$G$239</f>
        <v>0</v>
      </c>
      <c r="H279">
        <f>0*$H$239</f>
        <v>0</v>
      </c>
      <c r="I279">
        <f>1.8183*$I$239</f>
        <v>0</v>
      </c>
      <c r="J279">
        <f>-53.2969*$J$239</f>
        <v>0</v>
      </c>
      <c r="K279">
        <f>71.0626*$K$239</f>
        <v>0</v>
      </c>
      <c r="L279">
        <f>-0.0494*$L$239</f>
        <v>0</v>
      </c>
      <c r="M279">
        <f>0+D279+E279+G279+H279+I279+J279+K279+L279</f>
        <v>0</v>
      </c>
      <c r="N279">
        <f>0+D279+F279+G279+H279+I279+J279+K279+L279</f>
        <v>0</v>
      </c>
    </row>
    <row r="280" spans="3:14">
      <c r="C280" t="s">
        <v>35</v>
      </c>
      <c r="D280">
        <f>-12.1519*$D$239</f>
        <v>0</v>
      </c>
      <c r="E280">
        <f>45.0996*$E$239</f>
        <v>0</v>
      </c>
      <c r="F280">
        <f>-56.5553*$F$239</f>
        <v>0</v>
      </c>
      <c r="G280">
        <f>-2.5637*$G$239</f>
        <v>0</v>
      </c>
      <c r="H280">
        <f>0*$H$239</f>
        <v>0</v>
      </c>
      <c r="I280">
        <f>-1.4834*$I$239</f>
        <v>0</v>
      </c>
      <c r="J280">
        <f>59.895*$J$239</f>
        <v>0</v>
      </c>
      <c r="K280">
        <f>-79.86*$K$239</f>
        <v>0</v>
      </c>
      <c r="L280">
        <f>0.019*$L$239</f>
        <v>0</v>
      </c>
      <c r="M280">
        <f>0+D280+E280+G280+H280+I280+J280+K280+L280</f>
        <v>0</v>
      </c>
      <c r="N280">
        <f>0+D280+F280+G280+H280+I280+J280+K280+L280</f>
        <v>0</v>
      </c>
    </row>
    <row r="281" spans="3:14">
      <c r="C281" t="s">
        <v>35</v>
      </c>
      <c r="D281">
        <f>-9.9849*$D$239</f>
        <v>0</v>
      </c>
      <c r="E281">
        <f>9.1333*$E$239</f>
        <v>0</v>
      </c>
      <c r="F281">
        <f>-18.7759*$F$239</f>
        <v>0</v>
      </c>
      <c r="G281">
        <f>-1.06*$G$239</f>
        <v>0</v>
      </c>
      <c r="H281">
        <f>0*$H$239</f>
        <v>0</v>
      </c>
      <c r="I281">
        <f>-1.3186*$I$239</f>
        <v>0</v>
      </c>
      <c r="J281">
        <f>25.1682*$J$239</f>
        <v>0</v>
      </c>
      <c r="K281">
        <f>-33.5577*$K$239</f>
        <v>0</v>
      </c>
      <c r="L281">
        <f>0.0233*$L$239</f>
        <v>0</v>
      </c>
      <c r="M281">
        <f>0+D281+E281+G281+H281+I281+J281+K281+L281</f>
        <v>0</v>
      </c>
      <c r="N281">
        <f>0+D281+F281+G281+H281+I281+J281+K281+L281</f>
        <v>0</v>
      </c>
    </row>
    <row r="282" spans="3:14">
      <c r="C282" t="s">
        <v>36</v>
      </c>
      <c r="D282">
        <f>-3.4001*$D$239</f>
        <v>0</v>
      </c>
      <c r="E282">
        <f>3.9865*$E$239</f>
        <v>0</v>
      </c>
      <c r="F282">
        <f>-5.8118*$F$239</f>
        <v>0</v>
      </c>
      <c r="G282">
        <f>-0.4897*$G$239</f>
        <v>0</v>
      </c>
      <c r="H282">
        <f>0*$H$239</f>
        <v>0</v>
      </c>
      <c r="I282">
        <f>-0.4416*$I$239</f>
        <v>0</v>
      </c>
      <c r="J282">
        <f>17.5932*$J$239</f>
        <v>0</v>
      </c>
      <c r="K282">
        <f>-23.4577*$K$239</f>
        <v>0</v>
      </c>
      <c r="L282">
        <f>0.0127*$L$239</f>
        <v>0</v>
      </c>
      <c r="M282">
        <f>0+D282+E282+G282+H282+I282+J282+K282+L282</f>
        <v>0</v>
      </c>
      <c r="N282">
        <f>0+D282+F282+G282+H282+I282+J282+K282+L282</f>
        <v>0</v>
      </c>
    </row>
    <row r="283" spans="3:14">
      <c r="C283" t="s">
        <v>36</v>
      </c>
      <c r="D283">
        <f>-4.2062*$D$239</f>
        <v>0</v>
      </c>
      <c r="E283">
        <f>9.5337*$E$239</f>
        <v>0</v>
      </c>
      <c r="F283">
        <f>-12.6312*$F$239</f>
        <v>0</v>
      </c>
      <c r="G283">
        <f>-0.4862*$G$239</f>
        <v>0</v>
      </c>
      <c r="H283">
        <f>0*$H$239</f>
        <v>0</v>
      </c>
      <c r="I283">
        <f>-0.5573*$I$239</f>
        <v>0</v>
      </c>
      <c r="J283">
        <f>17.9112*$J$239</f>
        <v>0</v>
      </c>
      <c r="K283">
        <f>-23.8815*$K$239</f>
        <v>0</v>
      </c>
      <c r="L283">
        <f>-0.3292*$L$239</f>
        <v>0</v>
      </c>
      <c r="M283">
        <f>0+D283+E283+G283+H283+I283+J283+K283+L283</f>
        <v>0</v>
      </c>
      <c r="N283">
        <f>0+D283+F283+G283+H283+I283+J283+K283+L283</f>
        <v>0</v>
      </c>
    </row>
    <row r="284" spans="3:14">
      <c r="C284" t="s">
        <v>37</v>
      </c>
      <c r="D284">
        <f>-10.5427*$D$239</f>
        <v>0</v>
      </c>
      <c r="E284">
        <f>16.078*$E$239</f>
        <v>0</v>
      </c>
      <c r="F284">
        <f>-26.2187*$F$239</f>
        <v>0</v>
      </c>
      <c r="G284">
        <f>-1.0652*$G$239</f>
        <v>0</v>
      </c>
      <c r="H284">
        <f>0*$H$239</f>
        <v>0</v>
      </c>
      <c r="I284">
        <f>-1.3984*$I$239</f>
        <v>0</v>
      </c>
      <c r="J284">
        <f>25.3037*$J$239</f>
        <v>0</v>
      </c>
      <c r="K284">
        <f>-33.7383*$K$239</f>
        <v>0</v>
      </c>
      <c r="L284">
        <f>-0.3317*$L$239</f>
        <v>0</v>
      </c>
      <c r="M284">
        <f>0+D284+E284+G284+H284+I284+J284+K284+L284</f>
        <v>0</v>
      </c>
      <c r="N284">
        <f>0+D284+F284+G284+H284+I284+J284+K284+L284</f>
        <v>0</v>
      </c>
    </row>
    <row r="285" spans="3:14">
      <c r="C285" t="s">
        <v>37</v>
      </c>
      <c r="D285">
        <f>-14.631*$D$239</f>
        <v>0</v>
      </c>
      <c r="E285">
        <f>14.692*$E$239</f>
        <v>0</v>
      </c>
      <c r="F285">
        <f>-26.3746*$F$239</f>
        <v>0</v>
      </c>
      <c r="G285">
        <f>-2.5227*$G$239</f>
        <v>0</v>
      </c>
      <c r="H285">
        <f>0*$H$239</f>
        <v>0</v>
      </c>
      <c r="I285">
        <f>-1.8413*$I$239</f>
        <v>0</v>
      </c>
      <c r="J285">
        <f>61.1636*$J$239</f>
        <v>0</v>
      </c>
      <c r="K285">
        <f>-81.5514*$K$239</f>
        <v>0</v>
      </c>
      <c r="L285">
        <f>-0.1489*$L$239</f>
        <v>0</v>
      </c>
      <c r="M285">
        <f>0+D285+E285+G285+H285+I285+J285+K285+L285</f>
        <v>0</v>
      </c>
      <c r="N285">
        <f>0+D285+F285+G285+H285+I285+J285+K285+L285</f>
        <v>0</v>
      </c>
    </row>
    <row r="286" spans="3:14">
      <c r="C286" t="s">
        <v>38</v>
      </c>
      <c r="D286">
        <f>16.129*$D$239</f>
        <v>0</v>
      </c>
      <c r="E286">
        <f>32.591*$E$239</f>
        <v>0</v>
      </c>
      <c r="F286">
        <f>-21.7563*$F$239</f>
        <v>0</v>
      </c>
      <c r="G286">
        <f>1.8271*$G$239</f>
        <v>0</v>
      </c>
      <c r="H286">
        <f>0*$H$239</f>
        <v>0</v>
      </c>
      <c r="I286">
        <f>2.0688*$I$239</f>
        <v>0</v>
      </c>
      <c r="J286">
        <f>-51.9775*$J$239</f>
        <v>0</v>
      </c>
      <c r="K286">
        <f>69.3033*$K$239</f>
        <v>0</v>
      </c>
      <c r="L286">
        <f>0.9827*$L$239</f>
        <v>0</v>
      </c>
      <c r="M286">
        <f>0+D286+E286+G286+H286+I286+J286+K286+L286</f>
        <v>0</v>
      </c>
      <c r="N286">
        <f>0+D286+F286+G286+H286+I286+J286+K286+L286</f>
        <v>0</v>
      </c>
    </row>
    <row r="287" spans="3:14">
      <c r="C287" t="s">
        <v>38</v>
      </c>
      <c r="D287">
        <f>10.1651*$D$239</f>
        <v>0</v>
      </c>
      <c r="E287">
        <f>42.7976*$E$239</f>
        <v>0</v>
      </c>
      <c r="F287">
        <f>-34.4292*$F$239</f>
        <v>0</v>
      </c>
      <c r="G287">
        <f>2.0321*$G$239</f>
        <v>0</v>
      </c>
      <c r="H287">
        <f>0*$H$239</f>
        <v>0</v>
      </c>
      <c r="I287">
        <f>1.2896*$I$239</f>
        <v>0</v>
      </c>
      <c r="J287">
        <f>6.757*$J$239</f>
        <v>0</v>
      </c>
      <c r="K287">
        <f>-9.0094*$K$239</f>
        <v>0</v>
      </c>
      <c r="L287">
        <f>-0.0286*$L$239</f>
        <v>0</v>
      </c>
      <c r="M287">
        <f>0+D287+E287+G287+H287+I287+J287+K287+L287</f>
        <v>0</v>
      </c>
      <c r="N287">
        <f>0+D287+F287+G287+H287+I287+J287+K287+L287</f>
        <v>0</v>
      </c>
    </row>
    <row r="288" spans="3:14">
      <c r="C288" t="s">
        <v>39</v>
      </c>
      <c r="D288">
        <f>11.1658*$D$239</f>
        <v>0</v>
      </c>
      <c r="E288">
        <f>53.5144*$E$239</f>
        <v>0</v>
      </c>
      <c r="F288">
        <f>-46.3361*$F$239</f>
        <v>0</v>
      </c>
      <c r="G288">
        <f>1.6763*$G$239</f>
        <v>0</v>
      </c>
      <c r="H288">
        <f>0*$H$239</f>
        <v>0</v>
      </c>
      <c r="I288">
        <f>1.3679*$I$239</f>
        <v>0</v>
      </c>
      <c r="J288">
        <f>-33.421*$J$239</f>
        <v>0</v>
      </c>
      <c r="K288">
        <f>44.5613*$K$239</f>
        <v>0</v>
      </c>
      <c r="L288">
        <f>0.9718*$L$239</f>
        <v>0</v>
      </c>
      <c r="M288">
        <f>0+D288+E288+G288+H288+I288+J288+K288+L288</f>
        <v>0</v>
      </c>
      <c r="N288">
        <f>0+D288+F288+G288+H288+I288+J288+K288+L288</f>
        <v>0</v>
      </c>
    </row>
    <row r="289" spans="3:14">
      <c r="C289" t="s">
        <v>39</v>
      </c>
      <c r="D289">
        <f>15.7415*$D$239</f>
        <v>0</v>
      </c>
      <c r="E289">
        <f>71.7064*$E$239</f>
        <v>0</v>
      </c>
      <c r="F289">
        <f>-58.2202*$F$239</f>
        <v>0</v>
      </c>
      <c r="G289">
        <f>3.8646*$G$239</f>
        <v>0</v>
      </c>
      <c r="H289">
        <f>0*$H$239</f>
        <v>0</v>
      </c>
      <c r="I289">
        <f>1.9945*$I$239</f>
        <v>0</v>
      </c>
      <c r="J289">
        <f>-4.0759*$J$239</f>
        <v>0</v>
      </c>
      <c r="K289">
        <f>5.4345*$K$239</f>
        <v>0</v>
      </c>
      <c r="L289">
        <f>-0.0099*$L$239</f>
        <v>0</v>
      </c>
      <c r="M289">
        <f>0+D289+E289+G289+H289+I289+J289+K289+L289</f>
        <v>0</v>
      </c>
      <c r="N289">
        <f>0+D289+F289+G289+H289+I289+J289+K289+L289</f>
        <v>0</v>
      </c>
    </row>
    <row r="290" spans="3:14">
      <c r="C290" t="s">
        <v>40</v>
      </c>
      <c r="D290">
        <f>6.0811*$D$239</f>
        <v>0</v>
      </c>
      <c r="E290">
        <f>73.8267*$E$239</f>
        <v>0</v>
      </c>
      <c r="F290">
        <f>-72.0782*$F$239</f>
        <v>0</v>
      </c>
      <c r="G290">
        <f>1.4854*$G$239</f>
        <v>0</v>
      </c>
      <c r="H290">
        <f>0*$H$239</f>
        <v>0</v>
      </c>
      <c r="I290">
        <f>0.686*$I$239</f>
        <v>0</v>
      </c>
      <c r="J290">
        <f>-18.1206*$J$239</f>
        <v>0</v>
      </c>
      <c r="K290">
        <f>24.1609*$K$239</f>
        <v>0</v>
      </c>
      <c r="L290">
        <f>1.0325*$L$239</f>
        <v>0</v>
      </c>
      <c r="M290">
        <f>0+D290+E290+G290+H290+I290+J290+K290+L290</f>
        <v>0</v>
      </c>
      <c r="N290">
        <f>0+D290+F290+G290+H290+I290+J290+K290+L290</f>
        <v>0</v>
      </c>
    </row>
    <row r="291" spans="3:14">
      <c r="C291" t="s">
        <v>40</v>
      </c>
      <c r="D291">
        <f>17.4301*$D$239</f>
        <v>0</v>
      </c>
      <c r="E291">
        <f>94.3062*$E$239</f>
        <v>0</v>
      </c>
      <c r="F291">
        <f>-79.6743*$F$239</f>
        <v>0</v>
      </c>
      <c r="G291">
        <f>5.7815*$G$239</f>
        <v>0</v>
      </c>
      <c r="H291">
        <f>0*$H$239</f>
        <v>0</v>
      </c>
      <c r="I291">
        <f>2.1402*$I$239</f>
        <v>0</v>
      </c>
      <c r="J291">
        <f>-19.0475*$J$239</f>
        <v>0</v>
      </c>
      <c r="K291">
        <f>25.3967*$K$239</f>
        <v>0</v>
      </c>
      <c r="L291">
        <f>-0.0888*$L$239</f>
        <v>0</v>
      </c>
      <c r="M291">
        <f>0+D291+E291+G291+H291+I291+J291+K291+L291</f>
        <v>0</v>
      </c>
      <c r="N291">
        <f>0+D291+F291+G291+H291+I291+J291+K291+L291</f>
        <v>0</v>
      </c>
    </row>
    <row r="292" spans="3:14">
      <c r="C292" t="s">
        <v>41</v>
      </c>
      <c r="D292">
        <f>2.591*$D$239</f>
        <v>0</v>
      </c>
      <c r="E292">
        <f>89.083*$E$239</f>
        <v>0</v>
      </c>
      <c r="F292">
        <f>-90.0516*$F$239</f>
        <v>0</v>
      </c>
      <c r="G292">
        <f>1.8513*$G$239</f>
        <v>0</v>
      </c>
      <c r="H292">
        <f>0*$H$239</f>
        <v>0</v>
      </c>
      <c r="I292">
        <f>0.1926*$I$239</f>
        <v>0</v>
      </c>
      <c r="J292">
        <f>-16.1239*$J$239</f>
        <v>0</v>
      </c>
      <c r="K292">
        <f>21.4986*$K$239</f>
        <v>0</v>
      </c>
      <c r="L292">
        <f>1.0986*$L$239</f>
        <v>0</v>
      </c>
      <c r="M292">
        <f>0+D292+E292+G292+H292+I292+J292+K292+L292</f>
        <v>0</v>
      </c>
      <c r="N292">
        <f>0+D292+F292+G292+H292+I292+J292+K292+L292</f>
        <v>0</v>
      </c>
    </row>
    <row r="293" spans="3:14">
      <c r="C293" t="s">
        <v>41</v>
      </c>
      <c r="D293">
        <f>16.4242*$D$239</f>
        <v>0</v>
      </c>
      <c r="E293">
        <f>115.816*$E$239</f>
        <v>0</v>
      </c>
      <c r="F293">
        <f>-101.4598*$F$239</f>
        <v>0</v>
      </c>
      <c r="G293">
        <f>6.9218*$G$239</f>
        <v>0</v>
      </c>
      <c r="H293">
        <f>0*$H$239</f>
        <v>0</v>
      </c>
      <c r="I293">
        <f>1.9543*$I$239</f>
        <v>0</v>
      </c>
      <c r="J293">
        <f>-33.4564*$J$239</f>
        <v>0</v>
      </c>
      <c r="K293">
        <f>44.6085*$K$239</f>
        <v>0</v>
      </c>
      <c r="L293">
        <f>-0.3285*$L$239</f>
        <v>0</v>
      </c>
      <c r="M293">
        <f>0+D293+E293+G293+H293+I293+J293+K293+L293</f>
        <v>0</v>
      </c>
      <c r="N293">
        <f>0+D293+F293+G293+H293+I293+J293+K293+L293</f>
        <v>0</v>
      </c>
    </row>
    <row r="294" spans="3:14">
      <c r="C294" t="s">
        <v>42</v>
      </c>
      <c r="D294">
        <f>-3.0872*$D$239</f>
        <v>0</v>
      </c>
      <c r="E294">
        <f>114.3392*$E$239</f>
        <v>0</v>
      </c>
      <c r="F294">
        <f>-112.2153*$F$239</f>
        <v>0</v>
      </c>
      <c r="G294">
        <f>-2.806*$G$239</f>
        <v>0</v>
      </c>
      <c r="H294">
        <f>0*$H$239</f>
        <v>0</v>
      </c>
      <c r="I294">
        <f>-0.2055*$I$239</f>
        <v>0</v>
      </c>
      <c r="J294">
        <f>3.021*$J$239</f>
        <v>0</v>
      </c>
      <c r="K294">
        <f>-4.0279*$K$239</f>
        <v>0</v>
      </c>
      <c r="L294">
        <f>0.8652*$L$239</f>
        <v>0</v>
      </c>
      <c r="M294">
        <f>0+D294+E294+G294+H294+I294+J294+K294+L294</f>
        <v>0</v>
      </c>
      <c r="N294">
        <f>0+D294+F294+G294+H294+I294+J294+K294+L294</f>
        <v>0</v>
      </c>
    </row>
    <row r="295" spans="3:14">
      <c r="C295" t="s">
        <v>42</v>
      </c>
      <c r="D295">
        <f>15.1822*$D$239</f>
        <v>0</v>
      </c>
      <c r="E295">
        <f>102.1447*$E$239</f>
        <v>0</v>
      </c>
      <c r="F295">
        <f>-77.5823*$F$239</f>
        <v>0</v>
      </c>
      <c r="G295">
        <f>-0.6507*$G$239</f>
        <v>0</v>
      </c>
      <c r="H295">
        <f>0*$H$239</f>
        <v>0</v>
      </c>
      <c r="I295">
        <f>2.3683*$I$239</f>
        <v>0</v>
      </c>
      <c r="J295">
        <f>-3.548*$J$239</f>
        <v>0</v>
      </c>
      <c r="K295">
        <f>4.7306*$K$239</f>
        <v>0</v>
      </c>
      <c r="L295">
        <f>0.4853*$L$239</f>
        <v>0</v>
      </c>
      <c r="M295">
        <f>0+D295+E295+G295+H295+I295+J295+K295+L295</f>
        <v>0</v>
      </c>
      <c r="N295">
        <f>0+D295+F295+G295+H295+I295+J295+K295+L295</f>
        <v>0</v>
      </c>
    </row>
    <row r="296" spans="3:14">
      <c r="C296" t="s">
        <v>43</v>
      </c>
      <c r="D296">
        <f>0.9115*$D$239</f>
        <v>0</v>
      </c>
      <c r="E296">
        <f>117.2584*$E$239</f>
        <v>0</v>
      </c>
      <c r="F296">
        <f>-121.3432*$F$239</f>
        <v>0</v>
      </c>
      <c r="G296">
        <f>4.1335*$G$239</f>
        <v>0</v>
      </c>
      <c r="H296">
        <f>0*$H$239</f>
        <v>0</v>
      </c>
      <c r="I296">
        <f>-0.181*$I$239</f>
        <v>0</v>
      </c>
      <c r="J296">
        <f>-31.8458*$J$239</f>
        <v>0</v>
      </c>
      <c r="K296">
        <f>42.461*$K$239</f>
        <v>0</v>
      </c>
      <c r="L296">
        <f>1.506*$L$239</f>
        <v>0</v>
      </c>
      <c r="M296">
        <f>0+D296+E296+G296+H296+I296+J296+K296+L296</f>
        <v>0</v>
      </c>
      <c r="N296">
        <f>0+D296+F296+G296+H296+I296+J296+K296+L296</f>
        <v>0</v>
      </c>
    </row>
    <row r="297" spans="3:14">
      <c r="C297" t="s">
        <v>43</v>
      </c>
      <c r="D297">
        <f>14.1877*$D$239</f>
        <v>0</v>
      </c>
      <c r="E297">
        <f>135.8846*$E$239</f>
        <v>0</v>
      </c>
      <c r="F297">
        <f>-119.812*$F$239</f>
        <v>0</v>
      </c>
      <c r="G297">
        <f>3.9365*$G$239</f>
        <v>0</v>
      </c>
      <c r="H297">
        <f>0*$H$239</f>
        <v>0</v>
      </c>
      <c r="I297">
        <f>1.8226*$I$239</f>
        <v>0</v>
      </c>
      <c r="J297">
        <f>-11.6071*$J$239</f>
        <v>0</v>
      </c>
      <c r="K297">
        <f>15.4761*$K$239</f>
        <v>0</v>
      </c>
      <c r="L297">
        <f>-0.2273*$L$239</f>
        <v>0</v>
      </c>
      <c r="M297">
        <f>0+D297+E297+G297+H297+I297+J297+K297+L297</f>
        <v>0</v>
      </c>
      <c r="N297">
        <f>0+D297+F297+G297+H297+I297+J297+K297+L297</f>
        <v>0</v>
      </c>
    </row>
    <row r="298" spans="3:14">
      <c r="C298" t="s">
        <v>44</v>
      </c>
      <c r="D298">
        <f>1.2127*$D$239</f>
        <v>0</v>
      </c>
      <c r="E298">
        <f>136.0382*$E$239</f>
        <v>0</v>
      </c>
      <c r="F298">
        <f>-137.4647*$F$239</f>
        <v>0</v>
      </c>
      <c r="G298">
        <f>2.7731*$G$239</f>
        <v>0</v>
      </c>
      <c r="H298">
        <f>0*$H$239</f>
        <v>0</v>
      </c>
      <c r="I298">
        <f>-0.0531*$I$239</f>
        <v>0</v>
      </c>
      <c r="J298">
        <f>-14.742*$J$239</f>
        <v>0</v>
      </c>
      <c r="K298">
        <f>19.656*$K$239</f>
        <v>0</v>
      </c>
      <c r="L298">
        <f>1.5469*$L$239</f>
        <v>0</v>
      </c>
      <c r="M298">
        <f>0+D298+E298+G298+H298+I298+J298+K298+L298</f>
        <v>0</v>
      </c>
      <c r="N298">
        <f>0+D298+F298+G298+H298+I298+J298+K298+L298</f>
        <v>0</v>
      </c>
    </row>
    <row r="299" spans="3:14">
      <c r="C299" t="s">
        <v>44</v>
      </c>
      <c r="D299">
        <f>11.5435*$D$239</f>
        <v>0</v>
      </c>
      <c r="E299">
        <f>146.7943*$E$239</f>
        <v>0</v>
      </c>
      <c r="F299">
        <f>-134.3868*$F$239</f>
        <v>0</v>
      </c>
      <c r="G299">
        <f>3.4391*$G$239</f>
        <v>0</v>
      </c>
      <c r="H299">
        <f>0*$H$239</f>
        <v>0</v>
      </c>
      <c r="I299">
        <f>1.4578*$I$239</f>
        <v>0</v>
      </c>
      <c r="J299">
        <f>-6.9113*$J$239</f>
        <v>0</v>
      </c>
      <c r="K299">
        <f>9.215*$K$239</f>
        <v>0</v>
      </c>
      <c r="L299">
        <f>-0.2464*$L$239</f>
        <v>0</v>
      </c>
      <c r="M299">
        <f>0+D299+E299+G299+H299+I299+J299+K299+L299</f>
        <v>0</v>
      </c>
      <c r="N299">
        <f>0+D299+F299+G299+H299+I299+J299+K299+L299</f>
        <v>0</v>
      </c>
    </row>
    <row r="300" spans="3:14">
      <c r="C300" t="s">
        <v>45</v>
      </c>
      <c r="D300">
        <f>2.5814*$D$239</f>
        <v>0</v>
      </c>
      <c r="E300">
        <f>143.818*$E$239</f>
        <v>0</v>
      </c>
      <c r="F300">
        <f>-141.9829*$F$239</f>
        <v>0</v>
      </c>
      <c r="G300">
        <f>1.5091*$G$239</f>
        <v>0</v>
      </c>
      <c r="H300">
        <f>0*$H$239</f>
        <v>0</v>
      </c>
      <c r="I300">
        <f>0.2365*$I$239</f>
        <v>0</v>
      </c>
      <c r="J300">
        <f>-5.1801*$J$239</f>
        <v>0</v>
      </c>
      <c r="K300">
        <f>6.9068*$K$239</f>
        <v>0</v>
      </c>
      <c r="L300">
        <f>1.8049*$L$239</f>
        <v>0</v>
      </c>
      <c r="M300">
        <f>0+D300+E300+G300+H300+I300+J300+K300+L300</f>
        <v>0</v>
      </c>
      <c r="N300">
        <f>0+D300+F300+G300+H300+I300+J300+K300+L300</f>
        <v>0</v>
      </c>
    </row>
    <row r="301" spans="3:14">
      <c r="C301" t="s">
        <v>45</v>
      </c>
      <c r="D301">
        <f>8.72*$D$239</f>
        <v>0</v>
      </c>
      <c r="E301">
        <f>152.4062*$E$239</f>
        <v>0</v>
      </c>
      <c r="F301">
        <f>-144.8856*$F$239</f>
        <v>0</v>
      </c>
      <c r="G301">
        <f>4.1225*$G$239</f>
        <v>0</v>
      </c>
      <c r="H301">
        <f>0*$H$239</f>
        <v>0</v>
      </c>
      <c r="I301">
        <f>0.9913*$I$239</f>
        <v>0</v>
      </c>
      <c r="J301">
        <f>-13.7609*$J$239</f>
        <v>0</v>
      </c>
      <c r="K301">
        <f>18.3479*$K$239</f>
        <v>0</v>
      </c>
      <c r="L301">
        <f>-0.2605*$L$239</f>
        <v>0</v>
      </c>
      <c r="M301">
        <f>0+D301+E301+G301+H301+I301+J301+K301+L301</f>
        <v>0</v>
      </c>
      <c r="N301">
        <f>0+D301+F301+G301+H301+I301+J301+K301+L301</f>
        <v>0</v>
      </c>
    </row>
    <row r="302" spans="3:14">
      <c r="C302" t="s">
        <v>46</v>
      </c>
      <c r="D302">
        <f>4.8296*$D$239</f>
        <v>0</v>
      </c>
      <c r="E302">
        <f>146.0726*$E$239</f>
        <v>0</v>
      </c>
      <c r="F302">
        <f>-140.8025*$F$239</f>
        <v>0</v>
      </c>
      <c r="G302">
        <f>1.4579*$G$239</f>
        <v>0</v>
      </c>
      <c r="H302">
        <f>0*$H$239</f>
        <v>0</v>
      </c>
      <c r="I302">
        <f>0.5762*$I$239</f>
        <v>0</v>
      </c>
      <c r="J302">
        <f>-8.6749*$J$239</f>
        <v>0</v>
      </c>
      <c r="K302">
        <f>11.5665*$K$239</f>
        <v>0</v>
      </c>
      <c r="L302">
        <f>2.098*$L$239</f>
        <v>0</v>
      </c>
      <c r="M302">
        <f>0+D302+E302+G302+H302+I302+J302+K302+L302</f>
        <v>0</v>
      </c>
      <c r="N302">
        <f>0+D302+F302+G302+H302+I302+J302+K302+L302</f>
        <v>0</v>
      </c>
    </row>
    <row r="303" spans="3:14">
      <c r="C303" t="s">
        <v>46</v>
      </c>
      <c r="D303">
        <f>6.0738*$D$239</f>
        <v>0</v>
      </c>
      <c r="E303">
        <f>153.7318*$E$239</f>
        <v>0</v>
      </c>
      <c r="F303">
        <f>-150.5566*$F$239</f>
        <v>0</v>
      </c>
      <c r="G303">
        <f>5.0269*$G$239</f>
        <v>0</v>
      </c>
      <c r="H303">
        <f>0*$H$239</f>
        <v>0</v>
      </c>
      <c r="I303">
        <f>0.5517*$I$239</f>
        <v>0</v>
      </c>
      <c r="J303">
        <f>-26.8646*$J$239</f>
        <v>0</v>
      </c>
      <c r="K303">
        <f>35.8195*$K$239</f>
        <v>0</v>
      </c>
      <c r="L303">
        <f>-0.421*$L$239</f>
        <v>0</v>
      </c>
      <c r="M303">
        <f>0+D303+E303+G303+H303+I303+J303+K303+L303</f>
        <v>0</v>
      </c>
      <c r="N303">
        <f>0+D303+F303+G303+H303+I303+J303+K303+L303</f>
        <v>0</v>
      </c>
    </row>
    <row r="304" spans="3:14">
      <c r="C304" t="s">
        <v>47</v>
      </c>
      <c r="D304">
        <f>12.1471*$D$239</f>
        <v>0</v>
      </c>
      <c r="E304">
        <f>145.101*$E$239</f>
        <v>0</v>
      </c>
      <c r="F304">
        <f>-125.8235*$F$239</f>
        <v>0</v>
      </c>
      <c r="G304">
        <f>-4.0939*$G$239</f>
        <v>0</v>
      </c>
      <c r="H304">
        <f>0*$H$239</f>
        <v>0</v>
      </c>
      <c r="I304">
        <f>2.0879*$I$239</f>
        <v>0</v>
      </c>
      <c r="J304">
        <f>-10.4123*$J$239</f>
        <v>0</v>
      </c>
      <c r="K304">
        <f>13.883*$K$239</f>
        <v>0</v>
      </c>
      <c r="L304">
        <f>1.9192*$L$239</f>
        <v>0</v>
      </c>
      <c r="M304">
        <f>0+D304+E304+G304+H304+I304+J304+K304+L304</f>
        <v>0</v>
      </c>
      <c r="N304">
        <f>0+D304+F304+G304+H304+I304+J304+K304+L304</f>
        <v>0</v>
      </c>
    </row>
    <row r="305" spans="3:14">
      <c r="C305" t="s">
        <v>47</v>
      </c>
      <c r="D305">
        <f>12.6147*$D$239</f>
        <v>0</v>
      </c>
      <c r="E305">
        <f>147.1387*$E$239</f>
        <v>0</v>
      </c>
      <c r="F305">
        <f>-130.0122*$F$239</f>
        <v>0</v>
      </c>
      <c r="G305">
        <f>-3.9394*$G$239</f>
        <v>0</v>
      </c>
      <c r="H305">
        <f>0*$H$239</f>
        <v>0</v>
      </c>
      <c r="I305">
        <f>2.1505*$I$239</f>
        <v>0</v>
      </c>
      <c r="J305">
        <f>-9.6754*$J$239</f>
        <v>0</v>
      </c>
      <c r="K305">
        <f>12.9005*$K$239</f>
        <v>0</v>
      </c>
      <c r="L305">
        <f>0.0902*$L$239</f>
        <v>0</v>
      </c>
      <c r="M305">
        <f>0+D305+E305+G305+H305+I305+J305+K305+L305</f>
        <v>0</v>
      </c>
      <c r="N305">
        <f>0+D305+F305+G305+H305+I305+J305+K305+L305</f>
        <v>0</v>
      </c>
    </row>
    <row r="306" spans="3:14">
      <c r="C306" t="s">
        <v>48</v>
      </c>
      <c r="D306">
        <f>6.2119*$D$239</f>
        <v>0</v>
      </c>
      <c r="E306">
        <f>151.7535*$E$239</f>
        <v>0</v>
      </c>
      <c r="F306">
        <f>-146.6789*$F$239</f>
        <v>0</v>
      </c>
      <c r="G306">
        <f>4.8253*$G$239</f>
        <v>0</v>
      </c>
      <c r="H306">
        <f>0*$H$239</f>
        <v>0</v>
      </c>
      <c r="I306">
        <f>0.5799*$I$239</f>
        <v>0</v>
      </c>
      <c r="J306">
        <f>-28.3428*$J$239</f>
        <v>0</v>
      </c>
      <c r="K306">
        <f>37.7904*$K$239</f>
        <v>0</v>
      </c>
      <c r="L306">
        <f>2.5457*$L$239</f>
        <v>0</v>
      </c>
      <c r="M306">
        <f>0+D306+E306+G306+H306+I306+J306+K306+L306</f>
        <v>0</v>
      </c>
      <c r="N306">
        <f>0+D306+F306+G306+H306+I306+J306+K306+L306</f>
        <v>0</v>
      </c>
    </row>
    <row r="307" spans="3:14">
      <c r="C307" t="s">
        <v>48</v>
      </c>
      <c r="D307">
        <f>5.2451*$D$239</f>
        <v>0</v>
      </c>
      <c r="E307">
        <f>149.5663*$E$239</f>
        <v>0</v>
      </c>
      <c r="F307">
        <f>-145.6091*$F$239</f>
        <v>0</v>
      </c>
      <c r="G307">
        <f>1.5625*$G$239</f>
        <v>0</v>
      </c>
      <c r="H307">
        <f>0*$H$239</f>
        <v>0</v>
      </c>
      <c r="I307">
        <f>0.6331*$I$239</f>
        <v>0</v>
      </c>
      <c r="J307">
        <f>-8.2488*$J$239</f>
        <v>0</v>
      </c>
      <c r="K307">
        <f>10.9984*$K$239</f>
        <v>0</v>
      </c>
      <c r="L307">
        <f>-0.3648*$L$239</f>
        <v>0</v>
      </c>
      <c r="M307">
        <f>0+D307+E307+G307+H307+I307+J307+K307+L307</f>
        <v>0</v>
      </c>
      <c r="N307">
        <f>0+D307+F307+G307+H307+I307+J307+K307+L307</f>
        <v>0</v>
      </c>
    </row>
    <row r="308" spans="3:14">
      <c r="C308" t="s">
        <v>49</v>
      </c>
      <c r="D308">
        <f>9.1678*$D$239</f>
        <v>0</v>
      </c>
      <c r="E308">
        <f>151.2226*$E$239</f>
        <v>0</v>
      </c>
      <c r="F308">
        <f>-141.5006*$F$239</f>
        <v>0</v>
      </c>
      <c r="G308">
        <f>3.8667*$G$239</f>
        <v>0</v>
      </c>
      <c r="H308">
        <f>0*$H$239</f>
        <v>0</v>
      </c>
      <c r="I308">
        <f>1.0671*$I$239</f>
        <v>0</v>
      </c>
      <c r="J308">
        <f>-15.8285*$J$239</f>
        <v>0</v>
      </c>
      <c r="K308">
        <f>21.1046*$K$239</f>
        <v>0</v>
      </c>
      <c r="L308">
        <f>2.4411*$L$239</f>
        <v>0</v>
      </c>
      <c r="M308">
        <f>0+D308+E308+G308+H308+I308+J308+K308+L308</f>
        <v>0</v>
      </c>
      <c r="N308">
        <f>0+D308+F308+G308+H308+I308+J308+K308+L308</f>
        <v>0</v>
      </c>
    </row>
    <row r="309" spans="3:14">
      <c r="C309" t="s">
        <v>49</v>
      </c>
      <c r="D309">
        <f>2.9654*$D$239</f>
        <v>0</v>
      </c>
      <c r="E309">
        <f>148.2535*$E$239</f>
        <v>0</v>
      </c>
      <c r="F309">
        <f>-147.4144*$F$239</f>
        <v>0</v>
      </c>
      <c r="G309">
        <f>1.5698*$G$239</f>
        <v>0</v>
      </c>
      <c r="H309">
        <f>0*$H$239</f>
        <v>0</v>
      </c>
      <c r="I309">
        <f>0.2905*$I$239</f>
        <v>0</v>
      </c>
      <c r="J309">
        <f>-5.0332*$J$239</f>
        <v>0</v>
      </c>
      <c r="K309">
        <f>6.7109*$K$239</f>
        <v>0</v>
      </c>
      <c r="L309">
        <f>-0.1763*$L$239</f>
        <v>0</v>
      </c>
      <c r="M309">
        <f>0+D309+E309+G309+H309+I309+J309+K309+L309</f>
        <v>0</v>
      </c>
      <c r="N309">
        <f>0+D309+F309+G309+H309+I309+J309+K309+L309</f>
        <v>0</v>
      </c>
    </row>
    <row r="310" spans="3:14">
      <c r="C310" t="s">
        <v>50</v>
      </c>
      <c r="D310">
        <f>12.379*$D$239</f>
        <v>0</v>
      </c>
      <c r="E310">
        <f>146.2124*$E$239</f>
        <v>0</v>
      </c>
      <c r="F310">
        <f>-131.3161*$F$239</f>
        <v>0</v>
      </c>
      <c r="G310">
        <f>3.1308*$G$239</f>
        <v>0</v>
      </c>
      <c r="H310">
        <f>0*$H$239</f>
        <v>0</v>
      </c>
      <c r="I310">
        <f>1.5926*$I$239</f>
        <v>0</v>
      </c>
      <c r="J310">
        <f>-9.6109*$J$239</f>
        <v>0</v>
      </c>
      <c r="K310">
        <f>12.8145*$K$239</f>
        <v>0</v>
      </c>
      <c r="L310">
        <f>2.4327*$L$239</f>
        <v>0</v>
      </c>
      <c r="M310">
        <f>0+D310+E310+G310+H310+I310+J310+K310+L310</f>
        <v>0</v>
      </c>
      <c r="N310">
        <f>0+D310+F310+G310+H310+I310+J310+K310+L310</f>
        <v>0</v>
      </c>
    </row>
    <row r="311" spans="3:14">
      <c r="C311" t="s">
        <v>50</v>
      </c>
      <c r="D311">
        <f>1.2672*$D$239</f>
        <v>0</v>
      </c>
      <c r="E311">
        <f>141.6019*$E$239</f>
        <v>0</v>
      </c>
      <c r="F311">
        <f>-143.635*$F$239</f>
        <v>0</v>
      </c>
      <c r="G311">
        <f>2.7932*$G$239</f>
        <v>0</v>
      </c>
      <c r="H311">
        <f>0*$H$239</f>
        <v>0</v>
      </c>
      <c r="I311">
        <f>-0.0459*$I$239</f>
        <v>0</v>
      </c>
      <c r="J311">
        <f>-14.6449*$J$239</f>
        <v>0</v>
      </c>
      <c r="K311">
        <f>19.5266*$K$239</f>
        <v>0</v>
      </c>
      <c r="L311">
        <f>0.4308*$L$239</f>
        <v>0</v>
      </c>
      <c r="M311">
        <f>0+D311+E311+G311+H311+I311+J311+K311+L311</f>
        <v>0</v>
      </c>
      <c r="N311">
        <f>0+D311+F311+G311+H311+I311+J311+K311+L311</f>
        <v>0</v>
      </c>
    </row>
    <row r="312" spans="3:14">
      <c r="C312" t="s">
        <v>51</v>
      </c>
      <c r="D312">
        <f>15.3167*$D$239</f>
        <v>0</v>
      </c>
      <c r="E312">
        <f>135.615*$E$239</f>
        <v>0</v>
      </c>
      <c r="F312">
        <f>-116.8415*$F$239</f>
        <v>0</v>
      </c>
      <c r="G312">
        <f>3.5803*$G$239</f>
        <v>0</v>
      </c>
      <c r="H312">
        <f>0*$H$239</f>
        <v>0</v>
      </c>
      <c r="I312">
        <f>2.0023*$I$239</f>
        <v>0</v>
      </c>
      <c r="J312">
        <f>-14.8444*$J$239</f>
        <v>0</v>
      </c>
      <c r="K312">
        <f>19.7925*$K$239</f>
        <v>0</v>
      </c>
      <c r="L312">
        <f>2.3896*$L$239</f>
        <v>0</v>
      </c>
      <c r="M312">
        <f>0+D312+E312+G312+H312+I312+J312+K312+L312</f>
        <v>0</v>
      </c>
      <c r="N312">
        <f>0+D312+F312+G312+H312+I312+J312+K312+L312</f>
        <v>0</v>
      </c>
    </row>
    <row r="313" spans="3:14">
      <c r="C313" t="s">
        <v>51</v>
      </c>
      <c r="D313">
        <f>0.4063*$D$239</f>
        <v>0</v>
      </c>
      <c r="E313">
        <f>123.9464*$E$239</f>
        <v>0</v>
      </c>
      <c r="F313">
        <f>-128.1907*$F$239</f>
        <v>0</v>
      </c>
      <c r="G313">
        <f>4.1134*$G$239</f>
        <v>0</v>
      </c>
      <c r="H313">
        <f>0*$H$239</f>
        <v>0</v>
      </c>
      <c r="I313">
        <f>-0.2544*$I$239</f>
        <v>0</v>
      </c>
      <c r="J313">
        <f>-31.6359*$J$239</f>
        <v>0</v>
      </c>
      <c r="K313">
        <f>42.1812*$K$239</f>
        <v>0</v>
      </c>
      <c r="L313">
        <f>1.1701*$L$239</f>
        <v>0</v>
      </c>
      <c r="M313">
        <f>0+D313+E313+G313+H313+I313+J313+K313+L313</f>
        <v>0</v>
      </c>
      <c r="N313">
        <f>0+D313+F313+G313+H313+I313+J313+K313+L313</f>
        <v>0</v>
      </c>
    </row>
    <row r="314" spans="3:14">
      <c r="C314" t="s">
        <v>52</v>
      </c>
      <c r="D314">
        <f>18.4816*$D$239</f>
        <v>0</v>
      </c>
      <c r="E314">
        <f>101.4936*$E$239</f>
        <v>0</v>
      </c>
      <c r="F314">
        <f>-74.939*$F$239</f>
        <v>0</v>
      </c>
      <c r="G314">
        <f>-1.035*$G$239</f>
        <v>0</v>
      </c>
      <c r="H314">
        <f>0*$H$239</f>
        <v>0</v>
      </c>
      <c r="I314">
        <f>2.8679*$I$239</f>
        <v>0</v>
      </c>
      <c r="J314">
        <f>-8.5105*$J$239</f>
        <v>0</v>
      </c>
      <c r="K314">
        <f>11.3474*$K$239</f>
        <v>0</v>
      </c>
      <c r="L314">
        <f>-1.6215*$L$239</f>
        <v>0</v>
      </c>
      <c r="M314">
        <f>0+D314+E314+G314+H314+I314+J314+K314+L314</f>
        <v>0</v>
      </c>
      <c r="N314">
        <f>0+D314+F314+G314+H314+I314+J314+K314+L314</f>
        <v>0</v>
      </c>
    </row>
    <row r="315" spans="3:14">
      <c r="C315" t="s">
        <v>52</v>
      </c>
      <c r="D315">
        <f>-0.1218*$D$239</f>
        <v>0</v>
      </c>
      <c r="E315">
        <f>119.7045*$E$239</f>
        <v>0</v>
      </c>
      <c r="F315">
        <f>-118.4792*$F$239</f>
        <v>0</v>
      </c>
      <c r="G315">
        <f>-2.8024*$G$239</f>
        <v>0</v>
      </c>
      <c r="H315">
        <f>0*$H$239</f>
        <v>0</v>
      </c>
      <c r="I315">
        <f>0.2297*$I$239</f>
        <v>0</v>
      </c>
      <c r="J315">
        <f>0.9642*$J$239</f>
        <v>0</v>
      </c>
      <c r="K315">
        <f>-1.2856*$K$239</f>
        <v>0</v>
      </c>
      <c r="L315">
        <f>-4.0988*$L$239</f>
        <v>0</v>
      </c>
      <c r="M315">
        <f>0+D315+E315+G315+H315+I315+J315+K315+L315</f>
        <v>0</v>
      </c>
      <c r="N315">
        <f>0+D315+F315+G315+H315+I315+J315+K315+L315</f>
        <v>0</v>
      </c>
    </row>
    <row r="316" spans="3:14">
      <c r="C316" t="s">
        <v>53</v>
      </c>
      <c r="D316">
        <f>16.5994*$D$239</f>
        <v>0</v>
      </c>
      <c r="E316">
        <f>117.4759*$E$239</f>
        <v>0</v>
      </c>
      <c r="F316">
        <f>-99.9994*$F$239</f>
        <v>0</v>
      </c>
      <c r="G316">
        <f>6.5664*$G$239</f>
        <v>0</v>
      </c>
      <c r="H316">
        <f>0*$H$239</f>
        <v>0</v>
      </c>
      <c r="I316">
        <f>1.994*$I$239</f>
        <v>0</v>
      </c>
      <c r="J316">
        <f>-36.0163*$J$239</f>
        <v>0</v>
      </c>
      <c r="K316">
        <f>48.0217*$K$239</f>
        <v>0</v>
      </c>
      <c r="L316">
        <f>4.5423*$L$239</f>
        <v>0</v>
      </c>
      <c r="M316">
        <f>0+D316+E316+G316+H316+I316+J316+K316+L316</f>
        <v>0</v>
      </c>
      <c r="N316">
        <f>0+D316+F316+G316+H316+I316+J316+K316+L316</f>
        <v>0</v>
      </c>
    </row>
    <row r="317" spans="3:14">
      <c r="C317" t="s">
        <v>53</v>
      </c>
      <c r="D317">
        <f>1.9733*$D$239</f>
        <v>0</v>
      </c>
      <c r="E317">
        <f>97.7987*$E$239</f>
        <v>0</v>
      </c>
      <c r="F317">
        <f>-97.6757*$F$239</f>
        <v>0</v>
      </c>
      <c r="G317">
        <f>1.7994*$G$239</f>
        <v>0</v>
      </c>
      <c r="H317">
        <f>0*$H$239</f>
        <v>0</v>
      </c>
      <c r="I317">
        <f>0.104*$I$239</f>
        <v>0</v>
      </c>
      <c r="J317">
        <f>-16.0455*$J$239</f>
        <v>0</v>
      </c>
      <c r="K317">
        <f>21.394*$K$239</f>
        <v>0</v>
      </c>
      <c r="L317">
        <f>2.1335*$L$239</f>
        <v>0</v>
      </c>
      <c r="M317">
        <f>0+D317+E317+G317+H317+I317+J317+K317+L317</f>
        <v>0</v>
      </c>
      <c r="N317">
        <f>0+D317+F317+G317+H317+I317+J317+K317+L317</f>
        <v>0</v>
      </c>
    </row>
    <row r="318" spans="3:14">
      <c r="C318" t="s">
        <v>54</v>
      </c>
      <c r="D318">
        <f>17.2471*$D$239</f>
        <v>0</v>
      </c>
      <c r="E318">
        <f>96.3756*$E$239</f>
        <v>0</v>
      </c>
      <c r="F318">
        <f>-79.588*$F$239</f>
        <v>0</v>
      </c>
      <c r="G318">
        <f>5.4599*$G$239</f>
        <v>0</v>
      </c>
      <c r="H318">
        <f>0*$H$239</f>
        <v>0</v>
      </c>
      <c r="I318">
        <f>2.1258*$I$239</f>
        <v>0</v>
      </c>
      <c r="J318">
        <f>-21.112*$J$239</f>
        <v>0</v>
      </c>
      <c r="K318">
        <f>28.1493*$K$239</f>
        <v>0</v>
      </c>
      <c r="L318">
        <f>5.5552*$L$239</f>
        <v>0</v>
      </c>
      <c r="M318">
        <f>0+D318+E318+G318+H318+I318+J318+K318+L318</f>
        <v>0</v>
      </c>
      <c r="N318">
        <f>0+D318+F318+G318+H318+I318+J318+K318+L318</f>
        <v>0</v>
      </c>
    </row>
    <row r="319" spans="3:14">
      <c r="C319" t="s">
        <v>54</v>
      </c>
      <c r="D319">
        <f>3.9768*$D$239</f>
        <v>0</v>
      </c>
      <c r="E319">
        <f>83.096*$E$239</f>
        <v>0</v>
      </c>
      <c r="F319">
        <f>-80.95*$F$239</f>
        <v>0</v>
      </c>
      <c r="G319">
        <f>1.4055*$G$239</f>
        <v>0</v>
      </c>
      <c r="H319">
        <f>0*$H$239</f>
        <v>0</v>
      </c>
      <c r="I319">
        <f>0.38*$I$239</f>
        <v>0</v>
      </c>
      <c r="J319">
        <f>-17.1797*$J$239</f>
        <v>0</v>
      </c>
      <c r="K319">
        <f>22.9063*$K$239</f>
        <v>0</v>
      </c>
      <c r="L319">
        <f>5.7165*$L$239</f>
        <v>0</v>
      </c>
      <c r="M319">
        <f>0+D319+E319+G319+H319+I319+J319+K319+L319</f>
        <v>0</v>
      </c>
      <c r="N319">
        <f>0+D319+F319+G319+H319+I319+J319+K319+L319</f>
        <v>0</v>
      </c>
    </row>
    <row r="320" spans="3:14">
      <c r="C320" t="s">
        <v>55</v>
      </c>
      <c r="D320">
        <f>15.4797*$D$239</f>
        <v>0</v>
      </c>
      <c r="E320">
        <f>74.3367*$E$239</f>
        <v>0</v>
      </c>
      <c r="F320">
        <f>-59.7149*$F$239</f>
        <v>0</v>
      </c>
      <c r="G320">
        <f>3.6087*$G$239</f>
        <v>0</v>
      </c>
      <c r="H320">
        <f>0*$H$239</f>
        <v>0</v>
      </c>
      <c r="I320">
        <f>1.9658*$I$239</f>
        <v>0</v>
      </c>
      <c r="J320">
        <f>-5.617*$J$239</f>
        <v>0</v>
      </c>
      <c r="K320">
        <f>7.4894*$K$239</f>
        <v>0</v>
      </c>
      <c r="L320">
        <f>6.2707*$L$239</f>
        <v>0</v>
      </c>
      <c r="M320">
        <f>0+D320+E320+G320+H320+I320+J320+K320+L320</f>
        <v>0</v>
      </c>
      <c r="N320">
        <f>0+D320+F320+G320+H320+I320+J320+K320+L320</f>
        <v>0</v>
      </c>
    </row>
    <row r="321" spans="3:14">
      <c r="C321" t="s">
        <v>55</v>
      </c>
      <c r="D321">
        <f>7.2966*$D$239</f>
        <v>0</v>
      </c>
      <c r="E321">
        <f>62.1608*$E$239</f>
        <v>0</v>
      </c>
      <c r="F321">
        <f>-55.2551*$F$239</f>
        <v>0</v>
      </c>
      <c r="G321">
        <f>1.5073*$G$239</f>
        <v>0</v>
      </c>
      <c r="H321">
        <f>0*$H$239</f>
        <v>0</v>
      </c>
      <c r="I321">
        <f>0.8062*$I$239</f>
        <v>0</v>
      </c>
      <c r="J321">
        <f>-31.8398*$J$239</f>
        <v>0</v>
      </c>
      <c r="K321">
        <f>42.453*$K$239</f>
        <v>0</v>
      </c>
      <c r="L321">
        <f>10.8061*$L$239</f>
        <v>0</v>
      </c>
      <c r="M321">
        <f>0+D321+E321+G321+H321+I321+J321+K321+L321</f>
        <v>0</v>
      </c>
      <c r="N321">
        <f>0+D321+F321+G321+H321+I321+J321+K321+L321</f>
        <v>0</v>
      </c>
    </row>
    <row r="322" spans="3:14">
      <c r="C322" t="s">
        <v>56</v>
      </c>
      <c r="D322">
        <f>10.3192*$D$239</f>
        <v>0</v>
      </c>
      <c r="E322">
        <f>44.4835*$E$239</f>
        <v>0</v>
      </c>
      <c r="F322">
        <f>-34.4236*$F$239</f>
        <v>0</v>
      </c>
      <c r="G322">
        <f>1.8163*$G$239</f>
        <v>0</v>
      </c>
      <c r="H322">
        <f>0*$H$239</f>
        <v>0</v>
      </c>
      <c r="I322">
        <f>1.3204*$I$239</f>
        <v>0</v>
      </c>
      <c r="J322">
        <f>5.2049*$J$239</f>
        <v>0</v>
      </c>
      <c r="K322">
        <f>-6.9399*$K$239</f>
        <v>0</v>
      </c>
      <c r="L322">
        <f>5.5474*$L$239</f>
        <v>0</v>
      </c>
      <c r="M322">
        <f>0+D322+E322+G322+H322+I322+J322+K322+L322</f>
        <v>0</v>
      </c>
      <c r="N322">
        <f>0+D322+F322+G322+H322+I322+J322+K322+L322</f>
        <v>0</v>
      </c>
    </row>
    <row r="323" spans="3:14">
      <c r="C323" t="s">
        <v>56</v>
      </c>
      <c r="D323">
        <f>11.2408*$D$239</f>
        <v>0</v>
      </c>
      <c r="E323">
        <f>31.097*$E$239</f>
        <v>0</v>
      </c>
      <c r="F323">
        <f>-18.4521*$F$239</f>
        <v>0</v>
      </c>
      <c r="G323">
        <f>1.4757*$G$239</f>
        <v>0</v>
      </c>
      <c r="H323">
        <f>0*$H$239</f>
        <v>0</v>
      </c>
      <c r="I323">
        <f>1.3646*$I$239</f>
        <v>0</v>
      </c>
      <c r="J323">
        <f>-50.9256*$J$239</f>
        <v>0</v>
      </c>
      <c r="K323">
        <f>67.9008*$K$239</f>
        <v>0</v>
      </c>
      <c r="L323">
        <f>15.2057*$L$239</f>
        <v>0</v>
      </c>
      <c r="M323">
        <f>0+D323+E323+G323+H323+I323+J323+K323+L323</f>
        <v>0</v>
      </c>
      <c r="N323">
        <f>0+D323+F323+G323+H323+I323+J323+K323+L323</f>
        <v>0</v>
      </c>
    </row>
    <row r="324" spans="3:14">
      <c r="C324" t="s">
        <v>57</v>
      </c>
      <c r="D324">
        <f>-8.9522*$D$239</f>
        <v>0</v>
      </c>
      <c r="E324">
        <f>22.4148*$E$239</f>
        <v>0</v>
      </c>
      <c r="F324">
        <f>-32.0268*$F$239</f>
        <v>0</v>
      </c>
      <c r="G324">
        <f>-2.3736*$G$239</f>
        <v>0</v>
      </c>
      <c r="H324">
        <f>0*$H$239</f>
        <v>0</v>
      </c>
      <c r="I324">
        <f>-1.0131*$I$239</f>
        <v>0</v>
      </c>
      <c r="J324">
        <f>58.1696*$J$239</f>
        <v>0</v>
      </c>
      <c r="K324">
        <f>-77.5595*$K$239</f>
        <v>0</v>
      </c>
      <c r="L324">
        <f>-14.4126*$L$239</f>
        <v>0</v>
      </c>
      <c r="M324">
        <f>0+D324+E324+G324+H324+I324+J324+K324+L324</f>
        <v>0</v>
      </c>
      <c r="N324">
        <f>0+D324+F324+G324+H324+I324+J324+K324+L324</f>
        <v>0</v>
      </c>
    </row>
    <row r="325" spans="3:14">
      <c r="C325" t="s">
        <v>57</v>
      </c>
      <c r="D325">
        <f>-7.9338*$D$239</f>
        <v>0</v>
      </c>
      <c r="E325">
        <f>15.1331*$E$239</f>
        <v>0</v>
      </c>
      <c r="F325">
        <f>-24.597*$F$239</f>
        <v>0</v>
      </c>
      <c r="G325">
        <f>-0.8972*$G$239</f>
        <v>0</v>
      </c>
      <c r="H325">
        <f>0*$H$239</f>
        <v>0</v>
      </c>
      <c r="I325">
        <f>-1.0218*$I$239</f>
        <v>0</v>
      </c>
      <c r="J325">
        <f>24.5984*$J$239</f>
        <v>0</v>
      </c>
      <c r="K325">
        <f>-32.7978*$K$239</f>
        <v>0</v>
      </c>
      <c r="L325">
        <f>-8.6301*$L$239</f>
        <v>0</v>
      </c>
      <c r="M325">
        <f>0+D325+E325+G325+H325+I325+J325+K325+L325</f>
        <v>0</v>
      </c>
      <c r="N325">
        <f>0+D325+F325+G325+H325+I325+J325+K325+L325</f>
        <v>0</v>
      </c>
    </row>
    <row r="326" spans="3:14">
      <c r="C326" t="s">
        <v>58</v>
      </c>
      <c r="D326">
        <f>-2.6435*$D$239</f>
        <v>0</v>
      </c>
      <c r="E326">
        <f>7.9705*$E$239</f>
        <v>0</v>
      </c>
      <c r="F326">
        <f>-9.7791*$F$239</f>
        <v>0</v>
      </c>
      <c r="G326">
        <f>-0.4521*$G$239</f>
        <v>0</v>
      </c>
      <c r="H326">
        <f>0*$H$239</f>
        <v>0</v>
      </c>
      <c r="I326">
        <f>-0.3292*$I$239</f>
        <v>0</v>
      </c>
      <c r="J326">
        <f>17.047*$J$239</f>
        <v>0</v>
      </c>
      <c r="K326">
        <f>-22.7293*$K$239</f>
        <v>0</v>
      </c>
      <c r="L326">
        <f>-3.1167*$L$239</f>
        <v>0</v>
      </c>
      <c r="M326">
        <f>0+D326+E326+G326+H326+I326+J326+K326+L326</f>
        <v>0</v>
      </c>
      <c r="N326">
        <f>0+D326+F326+G326+H326+I326+J326+K326+L326</f>
        <v>0</v>
      </c>
    </row>
    <row r="327" spans="3:14">
      <c r="C327" t="s">
        <v>58</v>
      </c>
      <c r="D327">
        <f>-3.5147*$D$239</f>
        <v>0</v>
      </c>
      <c r="E327">
        <f>2.7186*$E$239</f>
        <v>0</v>
      </c>
      <c r="F327">
        <f>-5.3872*$F$239</f>
        <v>0</v>
      </c>
      <c r="G327">
        <f>-0.45*$G$239</f>
        <v>0</v>
      </c>
      <c r="H327">
        <f>0*$H$239</f>
        <v>0</v>
      </c>
      <c r="I327">
        <f>-0.4591*$I$239</f>
        <v>0</v>
      </c>
      <c r="J327">
        <f>18.1807*$J$239</f>
        <v>0</v>
      </c>
      <c r="K327">
        <f>-24.2409*$K$239</f>
        <v>0</v>
      </c>
      <c r="L327">
        <f>-3.9027*$L$239</f>
        <v>0</v>
      </c>
      <c r="M327">
        <f>0+D327+E327+G327+H327+I327+J327+K327+L327</f>
        <v>0</v>
      </c>
      <c r="N327">
        <f>0+D327+F327+G327+H327+I327+J327+K327+L327</f>
        <v>0</v>
      </c>
    </row>
    <row r="328" spans="3:14">
      <c r="C328" t="s">
        <v>59</v>
      </c>
      <c r="D328">
        <f>-7.7524*$D$239</f>
        <v>0</v>
      </c>
      <c r="E328">
        <f>7.6744*$E$239</f>
        <v>0</v>
      </c>
      <c r="F328">
        <f>-15.8027*$F$239</f>
        <v>0</v>
      </c>
      <c r="G328">
        <f>-0.8843*$G$239</f>
        <v>0</v>
      </c>
      <c r="H328">
        <f>0*$H$239</f>
        <v>0</v>
      </c>
      <c r="I328">
        <f>-0.9928*$I$239</f>
        <v>0</v>
      </c>
      <c r="J328">
        <f>23.4405*$J$239</f>
        <v>0</v>
      </c>
      <c r="K328">
        <f>-31.254*$K$239</f>
        <v>0</v>
      </c>
      <c r="L328">
        <f>-16.5659*$L$239</f>
        <v>0</v>
      </c>
      <c r="M328">
        <f>0+D328+E328+G328+H328+I328+J328+K328+L328</f>
        <v>0</v>
      </c>
      <c r="N328">
        <f>0+D328+F328+G328+H328+I328+J328+K328+L328</f>
        <v>0</v>
      </c>
    </row>
    <row r="329" spans="3:14">
      <c r="C329" t="s">
        <v>59</v>
      </c>
      <c r="D329">
        <f>-12.7331*$D$239</f>
        <v>0</v>
      </c>
      <c r="E329">
        <f>6.7223*$E$239</f>
        <v>0</v>
      </c>
      <c r="F329">
        <f>-20.161*$F$239</f>
        <v>0</v>
      </c>
      <c r="G329">
        <f>-1.8386*$G$239</f>
        <v>0</v>
      </c>
      <c r="H329">
        <f>0*$H$239</f>
        <v>0</v>
      </c>
      <c r="I329">
        <f>-1.6098*$I$239</f>
        <v>0</v>
      </c>
      <c r="J329">
        <f>68.1197*$J$239</f>
        <v>0</v>
      </c>
      <c r="K329">
        <f>-90.8263*$K$239</f>
        <v>0</v>
      </c>
      <c r="L329">
        <f>-11.1962*$L$239</f>
        <v>0</v>
      </c>
      <c r="M329">
        <f>0+D329+E329+G329+H329+I329+J329+K329+L329</f>
        <v>0</v>
      </c>
      <c r="N329">
        <f>0+D329+F329+G329+H329+I329+J329+K329+L329</f>
        <v>0</v>
      </c>
    </row>
    <row r="330" spans="3:14">
      <c r="C330" t="s">
        <v>60</v>
      </c>
      <c r="D330">
        <f>13.9674*$D$239</f>
        <v>0</v>
      </c>
      <c r="E330">
        <f>28.7615*$E$239</f>
        <v>0</v>
      </c>
      <c r="F330">
        <f>-14.7879*$F$239</f>
        <v>0</v>
      </c>
      <c r="G330">
        <f>1.8856*$G$239</f>
        <v>0</v>
      </c>
      <c r="H330">
        <f>0*$H$239</f>
        <v>0</v>
      </c>
      <c r="I330">
        <f>1.7582*$I$239</f>
        <v>0</v>
      </c>
      <c r="J330">
        <f>-56.0739*$J$239</f>
        <v>0</v>
      </c>
      <c r="K330">
        <f>74.7652*$K$239</f>
        <v>0</v>
      </c>
      <c r="L330">
        <f>2.048*$L$239</f>
        <v>0</v>
      </c>
      <c r="M330">
        <f>0+D330+E330+G330+H330+I330+J330+K330+L330</f>
        <v>0</v>
      </c>
      <c r="N330">
        <f>0+D330+F330+G330+H330+I330+J330+K330+L330</f>
        <v>0</v>
      </c>
    </row>
    <row r="331" spans="3:14">
      <c r="C331" t="s">
        <v>60</v>
      </c>
      <c r="D331">
        <f>3.7335*$D$239</f>
        <v>0</v>
      </c>
      <c r="E331">
        <f>34.0115*$E$239</f>
        <v>0</v>
      </c>
      <c r="F331">
        <f>-32.1356*$F$239</f>
        <v>0</v>
      </c>
      <c r="G331">
        <f>2.3358*$G$239</f>
        <v>0</v>
      </c>
      <c r="H331">
        <f>0*$H$239</f>
        <v>0</v>
      </c>
      <c r="I331">
        <f>0.3047*$I$239</f>
        <v>0</v>
      </c>
      <c r="J331">
        <f>15.5121*$J$239</f>
        <v>0</v>
      </c>
      <c r="K331">
        <f>-20.6828*$K$239</f>
        <v>0</v>
      </c>
      <c r="L331">
        <f>-7.8848*$L$239</f>
        <v>0</v>
      </c>
      <c r="M331">
        <f>0+D331+E331+G331+H331+I331+J331+K331+L331</f>
        <v>0</v>
      </c>
      <c r="N331">
        <f>0+D331+F331+G331+H331+I331+J331+K331+L331</f>
        <v>0</v>
      </c>
    </row>
    <row r="332" spans="3:14">
      <c r="C332" t="s">
        <v>61</v>
      </c>
      <c r="D332">
        <f>10.1945*$D$239</f>
        <v>0</v>
      </c>
      <c r="E332">
        <f>45.5899*$E$239</f>
        <v>0</v>
      </c>
      <c r="F332">
        <f>-37.838*$F$239</f>
        <v>0</v>
      </c>
      <c r="G332">
        <f>2.2571*$G$239</f>
        <v>0</v>
      </c>
      <c r="H332">
        <f>0*$H$239</f>
        <v>0</v>
      </c>
      <c r="I332">
        <f>1.2109*$I$239</f>
        <v>0</v>
      </c>
      <c r="J332">
        <f>-39.7959*$J$239</f>
        <v>0</v>
      </c>
      <c r="K332">
        <f>53.0612*$K$239</f>
        <v>0</v>
      </c>
      <c r="L332">
        <f>-27.4168*$L$239</f>
        <v>0</v>
      </c>
      <c r="M332">
        <f>0+D332+E332+G332+H332+I332+J332+K332+L332</f>
        <v>0</v>
      </c>
      <c r="N332">
        <f>0+D332+F332+G332+H332+I332+J332+K332+L332</f>
        <v>0</v>
      </c>
    </row>
    <row r="333" spans="3:14">
      <c r="C333" t="s">
        <v>61</v>
      </c>
      <c r="D333">
        <f>5.5834*$D$239</f>
        <v>0</v>
      </c>
      <c r="E333">
        <f>53.0109*$E$239</f>
        <v>0</v>
      </c>
      <c r="F333">
        <f>-49.8312*$F$239</f>
        <v>0</v>
      </c>
      <c r="G333">
        <f>4.0877*$G$239</f>
        <v>0</v>
      </c>
      <c r="H333">
        <f>0*$H$239</f>
        <v>0</v>
      </c>
      <c r="I333">
        <f>0.4617*$I$239</f>
        <v>0</v>
      </c>
      <c r="J333">
        <f>4.0441*$J$239</f>
        <v>0</v>
      </c>
      <c r="K333">
        <f>-5.3921*$K$239</f>
        <v>0</v>
      </c>
      <c r="L333">
        <f>-21.6929*$L$239</f>
        <v>0</v>
      </c>
      <c r="M333">
        <f>0+D333+E333+G333+H333+I333+J333+K333+L333</f>
        <v>0</v>
      </c>
      <c r="N333">
        <f>0+D333+F333+G333+H333+I333+J333+K333+L333</f>
        <v>0</v>
      </c>
    </row>
    <row r="334" spans="3:14">
      <c r="C334" t="s">
        <v>62</v>
      </c>
      <c r="D334">
        <f>5.9558*$D$239</f>
        <v>0</v>
      </c>
      <c r="E334">
        <f>55.5616*$E$239</f>
        <v>0</v>
      </c>
      <c r="F334">
        <f>-51.7459*$F$239</f>
        <v>0</v>
      </c>
      <c r="G334">
        <f>2.6038*$G$239</f>
        <v>0</v>
      </c>
      <c r="H334">
        <f>0*$H$239</f>
        <v>0</v>
      </c>
      <c r="I334">
        <f>0.6302*$I$239</f>
        <v>0</v>
      </c>
      <c r="J334">
        <f>-26.9026*$J$239</f>
        <v>0</v>
      </c>
      <c r="K334">
        <f>35.8701*$K$239</f>
        <v>0</v>
      </c>
      <c r="L334">
        <f>-49.4521*$L$239</f>
        <v>0</v>
      </c>
      <c r="M334">
        <f>0+D334+E334+G334+H334+I334+J334+K334+L334</f>
        <v>0</v>
      </c>
      <c r="N334">
        <f>0+D334+F334+G334+H334+I334+J334+K334+L334</f>
        <v>0</v>
      </c>
    </row>
    <row r="335" spans="3:14">
      <c r="C335" t="s">
        <v>62</v>
      </c>
      <c r="D335">
        <f>5.3326*$D$239</f>
        <v>0</v>
      </c>
      <c r="E335">
        <f>65.0281*$E$239</f>
        <v>0</v>
      </c>
      <c r="F335">
        <f>-62.3948*$F$239</f>
        <v>0</v>
      </c>
      <c r="G335">
        <f>5.784*$G$239</f>
        <v>0</v>
      </c>
      <c r="H335">
        <f>0*$H$239</f>
        <v>0</v>
      </c>
      <c r="I335">
        <f>0.3353*$I$239</f>
        <v>0</v>
      </c>
      <c r="J335">
        <f>-15.6975*$J$239</f>
        <v>0</v>
      </c>
      <c r="K335">
        <f>20.93*$K$239</f>
        <v>0</v>
      </c>
      <c r="L335">
        <f>-34.5151*$L$239</f>
        <v>0</v>
      </c>
      <c r="M335">
        <f>0+D335+E335+G335+H335+I335+J335+K335+L335</f>
        <v>0</v>
      </c>
      <c r="N335">
        <f>0+D335+F335+G335+H335+I335+J335+K335+L335</f>
        <v>0</v>
      </c>
    </row>
    <row r="336" spans="3:14">
      <c r="C336" t="s">
        <v>63</v>
      </c>
      <c r="D336">
        <f>2.7188*$D$239</f>
        <v>0</v>
      </c>
      <c r="E336">
        <f>59.3186*$E$239</f>
        <v>0</v>
      </c>
      <c r="F336">
        <f>-58.1577*$F$239</f>
        <v>0</v>
      </c>
      <c r="G336">
        <f>3.4883*$G$239</f>
        <v>0</v>
      </c>
      <c r="H336">
        <f>0*$H$239</f>
        <v>0</v>
      </c>
      <c r="I336">
        <f>0.1499*$I$239</f>
        <v>0</v>
      </c>
      <c r="J336">
        <f>-27.3163*$J$239</f>
        <v>0</v>
      </c>
      <c r="K336">
        <f>36.4218*$K$239</f>
        <v>0</v>
      </c>
      <c r="L336">
        <f>-64.8245*$L$239</f>
        <v>0</v>
      </c>
      <c r="M336">
        <f>0+D336+E336+G336+H336+I336+J336+K336+L336</f>
        <v>0</v>
      </c>
      <c r="N336">
        <f>0+D336+F336+G336+H336+I336+J336+K336+L336</f>
        <v>0</v>
      </c>
    </row>
    <row r="337" spans="3:14">
      <c r="C337" t="s">
        <v>63</v>
      </c>
      <c r="D337">
        <f>3.7885*$D$239</f>
        <v>0</v>
      </c>
      <c r="E337">
        <f>68.6984*$E$239</f>
        <v>0</v>
      </c>
      <c r="F337">
        <f>-68.0674*$F$239</f>
        <v>0</v>
      </c>
      <c r="G337">
        <f>6.7591*$G$239</f>
        <v>0</v>
      </c>
      <c r="H337">
        <f>0*$H$239</f>
        <v>0</v>
      </c>
      <c r="I337">
        <f>0.0825*$I$239</f>
        <v>0</v>
      </c>
      <c r="J337">
        <f>-36.3173*$J$239</f>
        <v>0</v>
      </c>
      <c r="K337">
        <f>48.423*$K$239</f>
        <v>0</v>
      </c>
      <c r="L337">
        <f>-47.8154*$L$239</f>
        <v>0</v>
      </c>
      <c r="M337">
        <f>0+D337+E337+G337+H337+I337+J337+K337+L337</f>
        <v>0</v>
      </c>
      <c r="N337">
        <f>0+D337+F337+G337+H337+I337+J337+K337+L337</f>
        <v>0</v>
      </c>
    </row>
    <row r="338" spans="3:14">
      <c r="C338" t="s">
        <v>64</v>
      </c>
      <c r="D338">
        <f>-2.5687*$D$239</f>
        <v>0</v>
      </c>
      <c r="E338">
        <f>53.2923*$E$239</f>
        <v>0</v>
      </c>
      <c r="F338">
        <f>-50.5576*$F$239</f>
        <v>0</v>
      </c>
      <c r="G338">
        <f>0.8036*$G$239</f>
        <v>0</v>
      </c>
      <c r="H338">
        <f>0*$H$239</f>
        <v>0</v>
      </c>
      <c r="I338">
        <f>-0.3044*$I$239</f>
        <v>0</v>
      </c>
      <c r="J338">
        <f>5.3723*$J$239</f>
        <v>0</v>
      </c>
      <c r="K338">
        <f>-7.163*$K$239</f>
        <v>0</v>
      </c>
      <c r="L338">
        <f>-103.8204*$L$239</f>
        <v>0</v>
      </c>
      <c r="M338">
        <f>0+D338+E338+G338+H338+I338+J338+K338+L338</f>
        <v>0</v>
      </c>
      <c r="N338">
        <f>0+D338+F338+G338+H338+I338+J338+K338+L338</f>
        <v>0</v>
      </c>
    </row>
    <row r="339" spans="3:14">
      <c r="C339" t="s">
        <v>64</v>
      </c>
      <c r="D339">
        <f>0.9868*$D$239</f>
        <v>0</v>
      </c>
      <c r="E339">
        <f>56.1061*$E$239</f>
        <v>0</v>
      </c>
      <c r="F339">
        <f>-51.5533*$F$239</f>
        <v>0</v>
      </c>
      <c r="G339">
        <f>2.0751*$G$239</f>
        <v>0</v>
      </c>
      <c r="H339">
        <f>0*$H$239</f>
        <v>0</v>
      </c>
      <c r="I339">
        <f>0.086*$I$239</f>
        <v>0</v>
      </c>
      <c r="J339">
        <f>21.2668*$J$239</f>
        <v>0</v>
      </c>
      <c r="K339">
        <f>-28.3557*$K$239</f>
        <v>0</v>
      </c>
      <c r="L339">
        <f>-101.8732*$L$239</f>
        <v>0</v>
      </c>
      <c r="M339">
        <f>0+D339+E339+G339+H339+I339+J339+K339+L339</f>
        <v>0</v>
      </c>
      <c r="N339">
        <f>0+D339+F339+G339+H339+I339+J339+K339+L339</f>
        <v>0</v>
      </c>
    </row>
    <row r="340" spans="3:14">
      <c r="C340" t="s">
        <v>65</v>
      </c>
      <c r="D340">
        <f>0.9328*$D$239</f>
        <v>0</v>
      </c>
      <c r="E340">
        <f>66.2357*$E$239</f>
        <v>0</v>
      </c>
      <c r="F340">
        <f>-68.7232*$F$239</f>
        <v>0</v>
      </c>
      <c r="G340">
        <f>6.048*$G$239</f>
        <v>0</v>
      </c>
      <c r="H340">
        <f>0*$H$239</f>
        <v>0</v>
      </c>
      <c r="I340">
        <f>-0.2591*$I$239</f>
        <v>0</v>
      </c>
      <c r="J340">
        <f>-51.9319*$J$239</f>
        <v>0</v>
      </c>
      <c r="K340">
        <f>69.2426*$K$239</f>
        <v>0</v>
      </c>
      <c r="L340">
        <f>-51.2497*$L$239</f>
        <v>0</v>
      </c>
      <c r="M340">
        <f>0+D340+E340+G340+H340+I340+J340+K340+L340</f>
        <v>0</v>
      </c>
      <c r="N340">
        <f>0+D340+F340+G340+H340+I340+J340+K340+L340</f>
        <v>0</v>
      </c>
    </row>
    <row r="341" spans="3:14">
      <c r="C341" t="s">
        <v>65</v>
      </c>
      <c r="D341">
        <f>1.7694*$D$239</f>
        <v>0</v>
      </c>
      <c r="E341">
        <f>64.8993*$E$239</f>
        <v>0</v>
      </c>
      <c r="F341">
        <f>-65.3939*$F$239</f>
        <v>0</v>
      </c>
      <c r="G341">
        <f>4.1773*$G$239</f>
        <v>0</v>
      </c>
      <c r="H341">
        <f>0*$H$239</f>
        <v>0</v>
      </c>
      <c r="I341">
        <f>-0.0495*$I$239</f>
        <v>0</v>
      </c>
      <c r="J341">
        <f>-18.5379*$J$239</f>
        <v>0</v>
      </c>
      <c r="K341">
        <f>24.7172*$K$239</f>
        <v>0</v>
      </c>
      <c r="L341">
        <f>-67.1275*$L$239</f>
        <v>0</v>
      </c>
      <c r="M341">
        <f>0+D341+E341+G341+H341+I341+J341+K341+L341</f>
        <v>0</v>
      </c>
      <c r="N341">
        <f>0+D341+F341+G341+H341+I341+J341+K341+L341</f>
        <v>0</v>
      </c>
    </row>
    <row r="342" spans="3:14">
      <c r="C342" t="s">
        <v>66</v>
      </c>
      <c r="D342">
        <f>0.2431*$D$239</f>
        <v>0</v>
      </c>
      <c r="E342">
        <f>62.0275*$E$239</f>
        <v>0</v>
      </c>
      <c r="F342">
        <f>-64.838*$F$239</f>
        <v>0</v>
      </c>
      <c r="G342">
        <f>4.7808*$G$239</f>
        <v>0</v>
      </c>
      <c r="H342">
        <f>0*$H$239</f>
        <v>0</v>
      </c>
      <c r="I342">
        <f>-0.3048*$I$239</f>
        <v>0</v>
      </c>
      <c r="J342">
        <f>-28.1512*$J$239</f>
        <v>0</v>
      </c>
      <c r="K342">
        <f>37.5349*$K$239</f>
        <v>0</v>
      </c>
      <c r="L342">
        <f>-41.1811*$L$239</f>
        <v>0</v>
      </c>
      <c r="M342">
        <f>0+D342+E342+G342+H342+I342+J342+K342+L342</f>
        <v>0</v>
      </c>
      <c r="N342">
        <f>0+D342+F342+G342+H342+I342+J342+K342+L342</f>
        <v>0</v>
      </c>
    </row>
    <row r="343" spans="3:14">
      <c r="C343" t="s">
        <v>66</v>
      </c>
      <c r="D343">
        <f>1.0969*$D$239</f>
        <v>0</v>
      </c>
      <c r="E343">
        <f>58.1713*$E$239</f>
        <v>0</v>
      </c>
      <c r="F343">
        <f>-61.2089*$F$239</f>
        <v>0</v>
      </c>
      <c r="G343">
        <f>2.6085*$G$239</f>
        <v>0</v>
      </c>
      <c r="H343">
        <f>0*$H$239</f>
        <v>0</v>
      </c>
      <c r="I343">
        <f>-0.0691*$I$239</f>
        <v>0</v>
      </c>
      <c r="J343">
        <f>-28.3408*$J$239</f>
        <v>0</v>
      </c>
      <c r="K343">
        <f>37.7878*$K$239</f>
        <v>0</v>
      </c>
      <c r="L343">
        <f>-56.51*$L$239</f>
        <v>0</v>
      </c>
      <c r="M343">
        <f>0+D343+E343+G343+H343+I343+J343+K343+L343</f>
        <v>0</v>
      </c>
      <c r="N343">
        <f>0+D343+F343+G343+H343+I343+J343+K343+L343</f>
        <v>0</v>
      </c>
    </row>
    <row r="344" spans="3:14">
      <c r="C344" t="s">
        <v>67</v>
      </c>
      <c r="D344">
        <f>-0.1147*$D$239</f>
        <v>0</v>
      </c>
      <c r="E344">
        <f>49.3155*$E$239</f>
        <v>0</v>
      </c>
      <c r="F344">
        <f>-51.5204*$F$239</f>
        <v>0</v>
      </c>
      <c r="G344">
        <f>2.7928*$G$239</f>
        <v>0</v>
      </c>
      <c r="H344">
        <f>0*$H$239</f>
        <v>0</v>
      </c>
      <c r="I344">
        <f>-0.2635*$I$239</f>
        <v>0</v>
      </c>
      <c r="J344">
        <f>-8.2521*$J$239</f>
        <v>0</v>
      </c>
      <c r="K344">
        <f>11.0028*$K$239</f>
        <v>0</v>
      </c>
      <c r="L344">
        <f>-28.2499*$L$239</f>
        <v>0</v>
      </c>
      <c r="M344">
        <f>0+D344+E344+G344+H344+I344+J344+K344+L344</f>
        <v>0</v>
      </c>
      <c r="N344">
        <f>0+D344+F344+G344+H344+I344+J344+K344+L344</f>
        <v>0</v>
      </c>
    </row>
    <row r="345" spans="3:14">
      <c r="C345" t="s">
        <v>67</v>
      </c>
      <c r="D345">
        <f>0.8583*$D$239</f>
        <v>0</v>
      </c>
      <c r="E345">
        <f>41.7143*$E$239</f>
        <v>0</v>
      </c>
      <c r="F345">
        <f>-45.7774*$F$239</f>
        <v>0</v>
      </c>
      <c r="G345">
        <f>0.8697*$G$239</f>
        <v>0</v>
      </c>
      <c r="H345">
        <f>0*$H$239</f>
        <v>0</v>
      </c>
      <c r="I345">
        <f>-0.0173*$I$239</f>
        <v>0</v>
      </c>
      <c r="J345">
        <f>-65.8099*$J$239</f>
        <v>0</v>
      </c>
      <c r="K345">
        <f>87.7465*$K$239</f>
        <v>0</v>
      </c>
      <c r="L345">
        <f>-37.5237*$L$239</f>
        <v>0</v>
      </c>
      <c r="M345">
        <f>0+D345+E345+G345+H345+I345+J345+K345+L345</f>
        <v>0</v>
      </c>
      <c r="N345">
        <f>0+D345+F345+G345+H345+I345+J345+K345+L345</f>
        <v>0</v>
      </c>
    </row>
    <row r="346" spans="3:14">
      <c r="C346" t="s">
        <v>68</v>
      </c>
      <c r="D346">
        <f>0.0946*$D$239</f>
        <v>0</v>
      </c>
      <c r="E346">
        <f>28.0548*$E$239</f>
        <v>0</v>
      </c>
      <c r="F346">
        <f>-25.1616*$F$239</f>
        <v>0</v>
      </c>
      <c r="G346">
        <f>0.3596*$G$239</f>
        <v>0</v>
      </c>
      <c r="H346">
        <f>0*$H$239</f>
        <v>0</v>
      </c>
      <c r="I346">
        <f>-0.1004*$I$239</f>
        <v>0</v>
      </c>
      <c r="J346">
        <f>-19.6795*$J$239</f>
        <v>0</v>
      </c>
      <c r="K346">
        <f>26.2393*$K$239</f>
        <v>0</v>
      </c>
      <c r="L346">
        <f>-9.0332*$L$239</f>
        <v>0</v>
      </c>
      <c r="M346">
        <f>0+D346+E346+G346+H346+I346+J346+K346+L346</f>
        <v>0</v>
      </c>
      <c r="N346">
        <f>0+D346+F346+G346+H346+I346+J346+K346+L346</f>
        <v>0</v>
      </c>
    </row>
    <row r="347" spans="3:14">
      <c r="C347" t="s">
        <v>68</v>
      </c>
      <c r="D347">
        <f>1.3255*$D$239</f>
        <v>0</v>
      </c>
      <c r="E347">
        <f>23.7316*$E$239</f>
        <v>0</v>
      </c>
      <c r="F347">
        <f>-16.4554*$F$239</f>
        <v>0</v>
      </c>
      <c r="G347">
        <f>-1.6293*$G$239</f>
        <v>0</v>
      </c>
      <c r="H347">
        <f>0*$H$239</f>
        <v>0</v>
      </c>
      <c r="I347">
        <f>0.232*$I$239</f>
        <v>0</v>
      </c>
      <c r="J347">
        <f>-138.7488*$J$239</f>
        <v>0</v>
      </c>
      <c r="K347">
        <f>184.9984*$K$239</f>
        <v>0</v>
      </c>
      <c r="L347">
        <f>-4.7175*$L$239</f>
        <v>0</v>
      </c>
      <c r="M347">
        <f>0+D347+E347+G347+H347+I347+J347+K347+L347</f>
        <v>0</v>
      </c>
      <c r="N347">
        <f>0+D347+F347+G347+H347+I347+J347+K347+L347</f>
        <v>0</v>
      </c>
    </row>
    <row r="348" spans="3:14">
      <c r="C348" t="s">
        <v>69</v>
      </c>
      <c r="D348">
        <f>-0.4505*$D$239</f>
        <v>0</v>
      </c>
      <c r="E348">
        <f>15.2374*$E$239</f>
        <v>0</v>
      </c>
      <c r="F348">
        <f>-14.6278*$F$239</f>
        <v>0</v>
      </c>
      <c r="G348">
        <f>-0.4127*$G$239</f>
        <v>0</v>
      </c>
      <c r="H348">
        <f>0*$H$239</f>
        <v>0</v>
      </c>
      <c r="I348">
        <f>0.005*$I$239</f>
        <v>0</v>
      </c>
      <c r="J348">
        <f>52.1715*$J$239</f>
        <v>0</v>
      </c>
      <c r="K348">
        <f>-69.562*$K$239</f>
        <v>0</v>
      </c>
      <c r="L348">
        <f>11.7422*$L$239</f>
        <v>0</v>
      </c>
      <c r="M348">
        <f>0+D348+E348+G348+H348+I348+J348+K348+L348</f>
        <v>0</v>
      </c>
      <c r="N348">
        <f>0+D348+F348+G348+H348+I348+J348+K348+L348</f>
        <v>0</v>
      </c>
    </row>
    <row r="353" spans="3:14">
      <c r="C353" t="s">
        <v>72</v>
      </c>
    </row>
    <row r="355" spans="3:14">
      <c r="C355" t="s">
        <v>2</v>
      </c>
    </row>
    <row r="356" spans="3:14">
      <c r="C356" t="s">
        <v>3</v>
      </c>
      <c r="D356" t="s">
        <v>4</v>
      </c>
      <c r="E356" t="s">
        <v>5</v>
      </c>
      <c r="F356" t="s">
        <v>6</v>
      </c>
      <c r="G356" t="s">
        <v>7</v>
      </c>
      <c r="H356" t="s">
        <v>8</v>
      </c>
      <c r="I356" t="s">
        <v>9</v>
      </c>
      <c r="J356" t="s">
        <v>10</v>
      </c>
      <c r="K356" t="s">
        <v>11</v>
      </c>
      <c r="L356" t="s">
        <v>12</v>
      </c>
      <c r="M356" t="s">
        <v>13</v>
      </c>
      <c r="N356" t="s">
        <v>14</v>
      </c>
    </row>
    <row r="357" spans="3:14">
      <c r="C357" t="s">
        <v>78</v>
      </c>
      <c r="D357">
        <f>5.793*$D$355</f>
        <v>0</v>
      </c>
      <c r="E357">
        <f>109.322*$E$355</f>
        <v>0</v>
      </c>
      <c r="F357">
        <f>-112.304*$F$355</f>
        <v>0</v>
      </c>
      <c r="G357">
        <f>4.617*$G$355</f>
        <v>0</v>
      </c>
      <c r="H357">
        <f>0*$H$355</f>
        <v>0</v>
      </c>
      <c r="I357">
        <f>0.713*$I$355</f>
        <v>0</v>
      </c>
      <c r="J357">
        <f>304.92*$J$355</f>
        <v>0</v>
      </c>
      <c r="K357">
        <f>-406.56*$K$355</f>
        <v>0</v>
      </c>
      <c r="L357">
        <f>-0.045*$L$355</f>
        <v>0</v>
      </c>
      <c r="M357">
        <f>0+D357+E357+G357+H357+I357+J357+K357+L357</f>
        <v>0</v>
      </c>
      <c r="N357">
        <f>0+D357+F357+G357+H357+I357+J357+K357+L357</f>
        <v>0</v>
      </c>
    </row>
    <row r="358" spans="3:14">
      <c r="C358" t="s">
        <v>16</v>
      </c>
      <c r="D358">
        <f>10.619*$D$355</f>
        <v>0</v>
      </c>
      <c r="E358">
        <f>88.908*$E$355</f>
        <v>0</v>
      </c>
      <c r="F358">
        <f>-80.669*$F$355</f>
        <v>0</v>
      </c>
      <c r="G358">
        <f>5.061*$G$355</f>
        <v>0</v>
      </c>
      <c r="H358">
        <f>0*$H$355</f>
        <v>0</v>
      </c>
      <c r="I358">
        <f>1.287*$I$355</f>
        <v>0</v>
      </c>
      <c r="J358">
        <f>251.114*$J$355</f>
        <v>0</v>
      </c>
      <c r="K358">
        <f>-334.819*$K$355</f>
        <v>0</v>
      </c>
      <c r="L358">
        <f>-0.042*$L$355</f>
        <v>0</v>
      </c>
      <c r="M358">
        <f>0+D358+E358+G358+H358+I358+J358+K358+L358</f>
        <v>0</v>
      </c>
      <c r="N358">
        <f>0+D358+F358+G358+H358+I358+J358+K358+L358</f>
        <v>0</v>
      </c>
    </row>
    <row r="359" spans="3:14">
      <c r="C359" t="s">
        <v>16</v>
      </c>
      <c r="D359">
        <f>16.173*$D$355</f>
        <v>0</v>
      </c>
      <c r="E359">
        <f>76.606*$E$355</f>
        <v>0</v>
      </c>
      <c r="F359">
        <f>-56.019*$F$355</f>
        <v>0</v>
      </c>
      <c r="G359">
        <f>5.789*$G$355</f>
        <v>0</v>
      </c>
      <c r="H359">
        <f>0*$H$355</f>
        <v>0</v>
      </c>
      <c r="I359">
        <f>2.01*$I$355</f>
        <v>0</v>
      </c>
      <c r="J359">
        <f>192.734*$J$355</f>
        <v>0</v>
      </c>
      <c r="K359">
        <f>-256.978*$K$355</f>
        <v>0</v>
      </c>
      <c r="L359">
        <f>-0.037*$L$355</f>
        <v>0</v>
      </c>
      <c r="M359">
        <f>0+D359+E359+G359+H359+I359+J359+K359+L359</f>
        <v>0</v>
      </c>
      <c r="N359">
        <f>0+D359+F359+G359+H359+I359+J359+K359+L359</f>
        <v>0</v>
      </c>
    </row>
    <row r="360" spans="3:14">
      <c r="C360" t="s">
        <v>17</v>
      </c>
      <c r="D360">
        <f>20.766*$D$355</f>
        <v>0</v>
      </c>
      <c r="E360">
        <f>75.707*$E$355</f>
        <v>0</v>
      </c>
      <c r="F360">
        <f>-52.398*$F$355</f>
        <v>0</v>
      </c>
      <c r="G360">
        <f>7.594*$G$355</f>
        <v>0</v>
      </c>
      <c r="H360">
        <f>0*$H$355</f>
        <v>0</v>
      </c>
      <c r="I360">
        <f>2.557*$I$355</f>
        <v>0</v>
      </c>
      <c r="J360">
        <f>141.822*$J$355</f>
        <v>0</v>
      </c>
      <c r="K360">
        <f>-189.096*$K$355</f>
        <v>0</v>
      </c>
      <c r="L360">
        <f>-0.033*$L$355</f>
        <v>0</v>
      </c>
      <c r="M360">
        <f>0+D360+E360+G360+H360+I360+J360+K360+L360</f>
        <v>0</v>
      </c>
      <c r="N360">
        <f>0+D360+F360+G360+H360+I360+J360+K360+L360</f>
        <v>0</v>
      </c>
    </row>
    <row r="361" spans="3:14">
      <c r="C361" t="s">
        <v>17</v>
      </c>
      <c r="D361">
        <f>23.717*$D$355</f>
        <v>0</v>
      </c>
      <c r="E361">
        <f>80.969*$E$355</f>
        <v>0</v>
      </c>
      <c r="F361">
        <f>-56.817*$F$355</f>
        <v>0</v>
      </c>
      <c r="G361">
        <f>9.476*$G$355</f>
        <v>0</v>
      </c>
      <c r="H361">
        <f>0*$H$355</f>
        <v>0</v>
      </c>
      <c r="I361">
        <f>2.885*$I$355</f>
        <v>0</v>
      </c>
      <c r="J361">
        <f>95.534*$J$355</f>
        <v>0</v>
      </c>
      <c r="K361">
        <f>-127.379*$K$355</f>
        <v>0</v>
      </c>
      <c r="L361">
        <f>-0.033*$L$355</f>
        <v>0</v>
      </c>
      <c r="M361">
        <f>0+D361+E361+G361+H361+I361+J361+K361+L361</f>
        <v>0</v>
      </c>
      <c r="N361">
        <f>0+D361+F361+G361+H361+I361+J361+K361+L361</f>
        <v>0</v>
      </c>
    </row>
    <row r="362" spans="3:14">
      <c r="C362" t="s">
        <v>18</v>
      </c>
      <c r="D362">
        <f>25.181*$D$355</f>
        <v>0</v>
      </c>
      <c r="E362">
        <f>84.842*$E$355</f>
        <v>0</v>
      </c>
      <c r="F362">
        <f>-59.538*$F$355</f>
        <v>0</v>
      </c>
      <c r="G362">
        <f>11.412*$G$355</f>
        <v>0</v>
      </c>
      <c r="H362">
        <f>0*$H$355</f>
        <v>0</v>
      </c>
      <c r="I362">
        <f>2.986*$I$355</f>
        <v>0</v>
      </c>
      <c r="J362">
        <f>51.092*$J$355</f>
        <v>0</v>
      </c>
      <c r="K362">
        <f>-68.122*$K$355</f>
        <v>0</v>
      </c>
      <c r="L362">
        <f>-0.033*$L$355</f>
        <v>0</v>
      </c>
      <c r="M362">
        <f>0+D362+E362+G362+H362+I362+J362+K362+L362</f>
        <v>0</v>
      </c>
      <c r="N362">
        <f>0+D362+F362+G362+H362+I362+J362+K362+L362</f>
        <v>0</v>
      </c>
    </row>
    <row r="363" spans="3:14">
      <c r="C363" t="s">
        <v>18</v>
      </c>
      <c r="D363">
        <f>25.204*$D$355</f>
        <v>0</v>
      </c>
      <c r="E363">
        <f>90.587*$E$355</f>
        <v>0</v>
      </c>
      <c r="F363">
        <f>-65.94*$F$355</f>
        <v>0</v>
      </c>
      <c r="G363">
        <f>12.818*$G$355</f>
        <v>0</v>
      </c>
      <c r="H363">
        <f>0*$H$355</f>
        <v>0</v>
      </c>
      <c r="I363">
        <f>2.912*$I$355</f>
        <v>0</v>
      </c>
      <c r="J363">
        <f>13.014*$J$355</f>
        <v>0</v>
      </c>
      <c r="K363">
        <f>-17.352*$K$355</f>
        <v>0</v>
      </c>
      <c r="L363">
        <f>-0.034*$L$355</f>
        <v>0</v>
      </c>
      <c r="M363">
        <f>0+D363+E363+G363+H363+I363+J363+K363+L363</f>
        <v>0</v>
      </c>
      <c r="N363">
        <f>0+D363+F363+G363+H363+I363+J363+K363+L363</f>
        <v>0</v>
      </c>
    </row>
    <row r="364" spans="3:14">
      <c r="C364" t="s">
        <v>19</v>
      </c>
      <c r="D364">
        <f>23.872*$D$355</f>
        <v>0</v>
      </c>
      <c r="E364">
        <f>97.099*$E$355</f>
        <v>0</v>
      </c>
      <c r="F364">
        <f>-73.513*$F$355</f>
        <v>0</v>
      </c>
      <c r="G364">
        <f>13.913*$G$355</f>
        <v>0</v>
      </c>
      <c r="H364">
        <f>0*$H$355</f>
        <v>0</v>
      </c>
      <c r="I364">
        <f>2.651*$I$355</f>
        <v>0</v>
      </c>
      <c r="J364">
        <f>-18.803*$J$355</f>
        <v>0</v>
      </c>
      <c r="K364">
        <f>25.071*$K$355</f>
        <v>0</v>
      </c>
      <c r="L364">
        <f>-0.034*$L$355</f>
        <v>0</v>
      </c>
      <c r="M364">
        <f>0+D364+E364+G364+H364+I364+J364+K364+L364</f>
        <v>0</v>
      </c>
      <c r="N364">
        <f>0+D364+F364+G364+H364+I364+J364+K364+L364</f>
        <v>0</v>
      </c>
    </row>
    <row r="365" spans="3:14">
      <c r="C365" t="s">
        <v>19</v>
      </c>
      <c r="D365">
        <f>21.151*$D$355</f>
        <v>0</v>
      </c>
      <c r="E365">
        <f>108.029*$E$355</f>
        <v>0</v>
      </c>
      <c r="F365">
        <f>-86.604*$F$355</f>
        <v>0</v>
      </c>
      <c r="G365">
        <f>15.062*$G$355</f>
        <v>0</v>
      </c>
      <c r="H365">
        <f>0*$H$355</f>
        <v>0</v>
      </c>
      <c r="I365">
        <f>2.164*$I$355</f>
        <v>0</v>
      </c>
      <c r="J365">
        <f>-43.004*$J$355</f>
        <v>0</v>
      </c>
      <c r="K365">
        <f>57.338*$K$355</f>
        <v>0</v>
      </c>
      <c r="L365">
        <f>-0.034*$L$355</f>
        <v>0</v>
      </c>
      <c r="M365">
        <f>0+D365+E365+G365+H365+I365+J365+K365+L365</f>
        <v>0</v>
      </c>
      <c r="N365">
        <f>0+D365+F365+G365+H365+I365+J365+K365+L365</f>
        <v>0</v>
      </c>
    </row>
    <row r="366" spans="3:14">
      <c r="C366" t="s">
        <v>20</v>
      </c>
      <c r="D366">
        <f>17.271*$D$355</f>
        <v>0</v>
      </c>
      <c r="E366">
        <f>119.358*$E$355</f>
        <v>0</v>
      </c>
      <c r="F366">
        <f>-103.359*$F$355</f>
        <v>0</v>
      </c>
      <c r="G366">
        <f>15.911*$G$355</f>
        <v>0</v>
      </c>
      <c r="H366">
        <f>0*$H$355</f>
        <v>0</v>
      </c>
      <c r="I366">
        <f>1.518*$I$355</f>
        <v>0</v>
      </c>
      <c r="J366">
        <f>-61.734*$J$355</f>
        <v>0</v>
      </c>
      <c r="K366">
        <f>82.312*$K$355</f>
        <v>0</v>
      </c>
      <c r="L366">
        <f>-0.034*$L$355</f>
        <v>0</v>
      </c>
      <c r="M366">
        <f>0+D366+E366+G366+H366+I366+J366+K366+L366</f>
        <v>0</v>
      </c>
      <c r="N366">
        <f>0+D366+F366+G366+H366+I366+J366+K366+L366</f>
        <v>0</v>
      </c>
    </row>
    <row r="367" spans="3:14">
      <c r="C367" t="s">
        <v>20</v>
      </c>
      <c r="D367">
        <f>31.612*$D$355</f>
        <v>0</v>
      </c>
      <c r="E367">
        <f>109.281*$E$355</f>
        <v>0</v>
      </c>
      <c r="F367">
        <f>-51.206*$F$355</f>
        <v>0</v>
      </c>
      <c r="G367">
        <f>0.697*$G$355</f>
        <v>0</v>
      </c>
      <c r="H367">
        <f>0*$H$355</f>
        <v>0</v>
      </c>
      <c r="I367">
        <f>4.762*$I$355</f>
        <v>0</v>
      </c>
      <c r="J367">
        <f>89.355*$J$355</f>
        <v>0</v>
      </c>
      <c r="K367">
        <f>-119.14*$K$355</f>
        <v>0</v>
      </c>
      <c r="L367">
        <f>-0.036*$L$355</f>
        <v>0</v>
      </c>
      <c r="M367">
        <f>0+D367+E367+G367+H367+I367+J367+K367+L367</f>
        <v>0</v>
      </c>
      <c r="N367">
        <f>0+D367+F367+G367+H367+I367+J367+K367+L367</f>
        <v>0</v>
      </c>
    </row>
    <row r="368" spans="3:14">
      <c r="C368" t="s">
        <v>21</v>
      </c>
      <c r="D368">
        <f>26.474*$D$355</f>
        <v>0</v>
      </c>
      <c r="E368">
        <f>96.97*$E$355</f>
        <v>0</v>
      </c>
      <c r="F368">
        <f>-54.778*$F$355</f>
        <v>0</v>
      </c>
      <c r="G368">
        <f>1.457*$G$355</f>
        <v>0</v>
      </c>
      <c r="H368">
        <f>0*$H$355</f>
        <v>0</v>
      </c>
      <c r="I368">
        <f>3.93*$I$355</f>
        <v>0</v>
      </c>
      <c r="J368">
        <f>74.818*$J$355</f>
        <v>0</v>
      </c>
      <c r="K368">
        <f>-99.758*$K$355</f>
        <v>0</v>
      </c>
      <c r="L368">
        <f>-0.035*$L$355</f>
        <v>0</v>
      </c>
      <c r="M368">
        <f>0+D368+E368+G368+H368+I368+J368+K368+L368</f>
        <v>0</v>
      </c>
      <c r="N368">
        <f>0+D368+F368+G368+H368+I368+J368+K368+L368</f>
        <v>0</v>
      </c>
    </row>
    <row r="369" spans="3:14">
      <c r="C369" t="s">
        <v>21</v>
      </c>
      <c r="D369">
        <f>21.147*$D$355</f>
        <v>0</v>
      </c>
      <c r="E369">
        <f>88.927*$E$355</f>
        <v>0</v>
      </c>
      <c r="F369">
        <f>-60.192*$F$355</f>
        <v>0</v>
      </c>
      <c r="G369">
        <f>2.401*$G$355</f>
        <v>0</v>
      </c>
      <c r="H369">
        <f>0*$H$355</f>
        <v>0</v>
      </c>
      <c r="I369">
        <f>3.059*$I$355</f>
        <v>0</v>
      </c>
      <c r="J369">
        <f>59.361*$J$355</f>
        <v>0</v>
      </c>
      <c r="K369">
        <f>-79.149*$K$355</f>
        <v>0</v>
      </c>
      <c r="L369">
        <f>-0.035*$L$355</f>
        <v>0</v>
      </c>
      <c r="M369">
        <f>0+D369+E369+G369+H369+I369+J369+K369+L369</f>
        <v>0</v>
      </c>
      <c r="N369">
        <f>0+D369+F369+G369+H369+I369+J369+K369+L369</f>
        <v>0</v>
      </c>
    </row>
    <row r="370" spans="3:14">
      <c r="C370" t="s">
        <v>22</v>
      </c>
      <c r="D370">
        <f>15.9*$D$355</f>
        <v>0</v>
      </c>
      <c r="E370">
        <f>88.363*$E$355</f>
        <v>0</v>
      </c>
      <c r="F370">
        <f>-66.832*$F$355</f>
        <v>0</v>
      </c>
      <c r="G370">
        <f>3.269*$G$355</f>
        <v>0</v>
      </c>
      <c r="H370">
        <f>0*$H$355</f>
        <v>0</v>
      </c>
      <c r="I370">
        <f>2.217*$I$355</f>
        <v>0</v>
      </c>
      <c r="J370">
        <f>42.137*$J$355</f>
        <v>0</v>
      </c>
      <c r="K370">
        <f>-56.183*$K$355</f>
        <v>0</v>
      </c>
      <c r="L370">
        <f>-0.035*$L$355</f>
        <v>0</v>
      </c>
      <c r="M370">
        <f>0+D370+E370+G370+H370+I370+J370+K370+L370</f>
        <v>0</v>
      </c>
      <c r="N370">
        <f>0+D370+F370+G370+H370+I370+J370+K370+L370</f>
        <v>0</v>
      </c>
    </row>
    <row r="371" spans="3:14">
      <c r="C371" t="s">
        <v>22</v>
      </c>
      <c r="D371">
        <f>10.443*$D$355</f>
        <v>0</v>
      </c>
      <c r="E371">
        <f>88.555*$E$355</f>
        <v>0</v>
      </c>
      <c r="F371">
        <f>-75.128*$F$355</f>
        <v>0</v>
      </c>
      <c r="G371">
        <f>4.26*$G$355</f>
        <v>0</v>
      </c>
      <c r="H371">
        <f>0*$H$355</f>
        <v>0</v>
      </c>
      <c r="I371">
        <f>1.337*$I$355</f>
        <v>0</v>
      </c>
      <c r="J371">
        <f>23.898*$J$355</f>
        <v>0</v>
      </c>
      <c r="K371">
        <f>-31.864*$K$355</f>
        <v>0</v>
      </c>
      <c r="L371">
        <f>-0.034*$L$355</f>
        <v>0</v>
      </c>
      <c r="M371">
        <f>0+D371+E371+G371+H371+I371+J371+K371+L371</f>
        <v>0</v>
      </c>
      <c r="N371">
        <f>0+D371+F371+G371+H371+I371+J371+K371+L371</f>
        <v>0</v>
      </c>
    </row>
    <row r="372" spans="3:14">
      <c r="C372" t="s">
        <v>23</v>
      </c>
      <c r="D372">
        <f>5.123*$D$355</f>
        <v>0</v>
      </c>
      <c r="E372">
        <f>89.168*$E$355</f>
        <v>0</v>
      </c>
      <c r="F372">
        <f>-84.509*$F$355</f>
        <v>0</v>
      </c>
      <c r="G372">
        <f>5.56*$G$355</f>
        <v>0</v>
      </c>
      <c r="H372">
        <f>0*$H$355</f>
        <v>0</v>
      </c>
      <c r="I372">
        <f>0.454*$I$355</f>
        <v>0</v>
      </c>
      <c r="J372">
        <f>4.237*$J$355</f>
        <v>0</v>
      </c>
      <c r="K372">
        <f>-5.649*$K$355</f>
        <v>0</v>
      </c>
      <c r="L372">
        <f>-0.034*$L$355</f>
        <v>0</v>
      </c>
      <c r="M372">
        <f>0+D372+E372+G372+H372+I372+J372+K372+L372</f>
        <v>0</v>
      </c>
      <c r="N372">
        <f>0+D372+F372+G372+H372+I372+J372+K372+L372</f>
        <v>0</v>
      </c>
    </row>
    <row r="373" spans="3:14">
      <c r="C373" t="s">
        <v>23</v>
      </c>
      <c r="D373">
        <f>-0.667*$D$355</f>
        <v>0</v>
      </c>
      <c r="E373">
        <f>91.959*$E$355</f>
        <v>0</v>
      </c>
      <c r="F373">
        <f>-97.289*$F$355</f>
        <v>0</v>
      </c>
      <c r="G373">
        <f>6.754*$G$355</f>
        <v>0</v>
      </c>
      <c r="H373">
        <f>0*$H$355</f>
        <v>0</v>
      </c>
      <c r="I373">
        <f>-0.49*$I$355</f>
        <v>0</v>
      </c>
      <c r="J373">
        <f>-11.624*$J$355</f>
        <v>0</v>
      </c>
      <c r="K373">
        <f>15.499*$K$355</f>
        <v>0</v>
      </c>
      <c r="L373">
        <f>-0.034*$L$355</f>
        <v>0</v>
      </c>
      <c r="M373">
        <f>0+D373+E373+G373+H373+I373+J373+K373+L373</f>
        <v>0</v>
      </c>
      <c r="N373">
        <f>0+D373+F373+G373+H373+I373+J373+K373+L373</f>
        <v>0</v>
      </c>
    </row>
    <row r="374" spans="3:14">
      <c r="C374" t="s">
        <v>24</v>
      </c>
      <c r="D374">
        <f>-6.672*$D$355</f>
        <v>0</v>
      </c>
      <c r="E374">
        <f>95.879*$E$355</f>
        <v>0</v>
      </c>
      <c r="F374">
        <f>-111.505*$F$355</f>
        <v>0</v>
      </c>
      <c r="G374">
        <f>8.072*$G$355</f>
        <v>0</v>
      </c>
      <c r="H374">
        <f>0*$H$355</f>
        <v>0</v>
      </c>
      <c r="I374">
        <f>-1.477*$I$355</f>
        <v>0</v>
      </c>
      <c r="J374">
        <f>-23.511*$J$355</f>
        <v>0</v>
      </c>
      <c r="K374">
        <f>31.348*$K$355</f>
        <v>0</v>
      </c>
      <c r="L374">
        <f>-0.033*$L$355</f>
        <v>0</v>
      </c>
      <c r="M374">
        <f>0+D374+E374+G374+H374+I374+J374+K374+L374</f>
        <v>0</v>
      </c>
      <c r="N374">
        <f>0+D374+F374+G374+H374+I374+J374+K374+L374</f>
        <v>0</v>
      </c>
    </row>
    <row r="375" spans="3:14">
      <c r="C375" t="s">
        <v>24</v>
      </c>
      <c r="D375">
        <f>-13.269*$D$355</f>
        <v>0</v>
      </c>
      <c r="E375">
        <f>104.138*$E$355</f>
        <v>0</v>
      </c>
      <c r="F375">
        <f>-131.305*$F$355</f>
        <v>0</v>
      </c>
      <c r="G375">
        <f>9.918*$G$355</f>
        <v>0</v>
      </c>
      <c r="H375">
        <f>0*$H$355</f>
        <v>0</v>
      </c>
      <c r="I375">
        <f>-2.601*$I$355</f>
        <v>0</v>
      </c>
      <c r="J375">
        <f>-28.122*$J$355</f>
        <v>0</v>
      </c>
      <c r="K375">
        <f>37.496*$K$355</f>
        <v>0</v>
      </c>
      <c r="L375">
        <f>-0.033*$L$355</f>
        <v>0</v>
      </c>
      <c r="M375">
        <f>0+D375+E375+G375+H375+I375+J375+K375+L375</f>
        <v>0</v>
      </c>
      <c r="N375">
        <f>0+D375+F375+G375+H375+I375+J375+K375+L375</f>
        <v>0</v>
      </c>
    </row>
    <row r="376" spans="3:14">
      <c r="C376" t="s">
        <v>25</v>
      </c>
      <c r="D376">
        <f>-20.258*$D$355</f>
        <v>0</v>
      </c>
      <c r="E376">
        <f>114.545*$E$355</f>
        <v>0</v>
      </c>
      <c r="F376">
        <f>-153.968*$F$355</f>
        <v>0</v>
      </c>
      <c r="G376">
        <f>11.834*$G$355</f>
        <v>0</v>
      </c>
      <c r="H376">
        <f>0*$H$355</f>
        <v>0</v>
      </c>
      <c r="I376">
        <f>-3.791*$I$355</f>
        <v>0</v>
      </c>
      <c r="J376">
        <f>-27.891*$J$355</f>
        <v>0</v>
      </c>
      <c r="K376">
        <f>37.188*$K$355</f>
        <v>0</v>
      </c>
      <c r="L376">
        <f>-0.033*$L$355</f>
        <v>0</v>
      </c>
      <c r="M376">
        <f>0+D376+E376+G376+H376+I376+J376+K376+L376</f>
        <v>0</v>
      </c>
      <c r="N376">
        <f>0+D376+F376+G376+H376+I376+J376+K376+L376</f>
        <v>0</v>
      </c>
    </row>
    <row r="377" spans="3:14">
      <c r="C377" t="s">
        <v>25</v>
      </c>
      <c r="D377">
        <f>-1.787*$D$355</f>
        <v>0</v>
      </c>
      <c r="E377">
        <f>117.7*$E$355</f>
        <v>0</v>
      </c>
      <c r="F377">
        <f>-99.304*$F$355</f>
        <v>0</v>
      </c>
      <c r="G377">
        <f>-12.165*$G$355</f>
        <v>0</v>
      </c>
      <c r="H377">
        <f>0*$H$355</f>
        <v>0</v>
      </c>
      <c r="I377">
        <f>0.655*$I$355</f>
        <v>0</v>
      </c>
      <c r="J377">
        <f>34.601*$J$355</f>
        <v>0</v>
      </c>
      <c r="K377">
        <f>-46.135*$K$355</f>
        <v>0</v>
      </c>
      <c r="L377">
        <f>-0.034*$L$355</f>
        <v>0</v>
      </c>
      <c r="M377">
        <f>0+D377+E377+G377+H377+I377+J377+K377+L377</f>
        <v>0</v>
      </c>
      <c r="N377">
        <f>0+D377+F377+G377+H377+I377+J377+K377+L377</f>
        <v>0</v>
      </c>
    </row>
    <row r="378" spans="3:14">
      <c r="C378" t="s">
        <v>26</v>
      </c>
      <c r="D378">
        <f>-8.556*$D$355</f>
        <v>0</v>
      </c>
      <c r="E378">
        <f>103.29*$E$355</f>
        <v>0</v>
      </c>
      <c r="F378">
        <f>-101.405*$F$355</f>
        <v>0</v>
      </c>
      <c r="G378">
        <f>-10.136*$G$355</f>
        <v>0</v>
      </c>
      <c r="H378">
        <f>0*$H$355</f>
        <v>0</v>
      </c>
      <c r="I378">
        <f>-0.512*$I$355</f>
        <v>0</v>
      </c>
      <c r="J378">
        <f>35.684*$J$355</f>
        <v>0</v>
      </c>
      <c r="K378">
        <f>-47.579*$K$355</f>
        <v>0</v>
      </c>
      <c r="L378">
        <f>-0.033*$L$355</f>
        <v>0</v>
      </c>
      <c r="M378">
        <f>0+D378+E378+G378+H378+I378+J378+K378+L378</f>
        <v>0</v>
      </c>
      <c r="N378">
        <f>0+D378+F378+G378+H378+I378+J378+K378+L378</f>
        <v>0</v>
      </c>
    </row>
    <row r="379" spans="3:14">
      <c r="C379" t="s">
        <v>26</v>
      </c>
      <c r="D379">
        <f>-14.725*$D$355</f>
        <v>0</v>
      </c>
      <c r="E379">
        <f>92.67*$E$355</f>
        <v>0</v>
      </c>
      <c r="F379">
        <f>-105.377*$F$355</f>
        <v>0</v>
      </c>
      <c r="G379">
        <f>-8.07*$G$355</f>
        <v>0</v>
      </c>
      <c r="H379">
        <f>0*$H$355</f>
        <v>0</v>
      </c>
      <c r="I379">
        <f>-1.591*$I$355</f>
        <v>0</v>
      </c>
      <c r="J379">
        <f>32.738*$J$355</f>
        <v>0</v>
      </c>
      <c r="K379">
        <f>-43.651*$K$355</f>
        <v>0</v>
      </c>
      <c r="L379">
        <f>-0.033*$L$355</f>
        <v>0</v>
      </c>
      <c r="M379">
        <f>0+D379+E379+G379+H379+I379+J379+K379+L379</f>
        <v>0</v>
      </c>
      <c r="N379">
        <f>0+D379+F379+G379+H379+I379+J379+K379+L379</f>
        <v>0</v>
      </c>
    </row>
    <row r="380" spans="3:14">
      <c r="C380" t="s">
        <v>27</v>
      </c>
      <c r="D380">
        <f>-19.985*$D$355</f>
        <v>0</v>
      </c>
      <c r="E380">
        <f>90.266*$E$355</f>
        <v>0</v>
      </c>
      <c r="F380">
        <f>-111.412*$F$355</f>
        <v>0</v>
      </c>
      <c r="G380">
        <f>-6.395*$G$355</f>
        <v>0</v>
      </c>
      <c r="H380">
        <f>0*$H$355</f>
        <v>0</v>
      </c>
      <c r="I380">
        <f>-2.497*$I$355</f>
        <v>0</v>
      </c>
      <c r="J380">
        <f>23.535*$J$355</f>
        <v>0</v>
      </c>
      <c r="K380">
        <f>-31.38*$K$355</f>
        <v>0</v>
      </c>
      <c r="L380">
        <f>-0.033*$L$355</f>
        <v>0</v>
      </c>
      <c r="M380">
        <f>0+D380+E380+G380+H380+I380+J380+K380+L380</f>
        <v>0</v>
      </c>
      <c r="N380">
        <f>0+D380+F380+G380+H380+I380+J380+K380+L380</f>
        <v>0</v>
      </c>
    </row>
    <row r="381" spans="3:14">
      <c r="C381" t="s">
        <v>27</v>
      </c>
      <c r="D381">
        <f>-24.82*$D$355</f>
        <v>0</v>
      </c>
      <c r="E381">
        <f>90.181*$E$355</f>
        <v>0</v>
      </c>
      <c r="F381">
        <f>-118.168*$F$355</f>
        <v>0</v>
      </c>
      <c r="G381">
        <f>-4.738*$G$355</f>
        <v>0</v>
      </c>
      <c r="H381">
        <f>0*$H$355</f>
        <v>0</v>
      </c>
      <c r="I381">
        <f>-3.338*$I$355</f>
        <v>0</v>
      </c>
      <c r="J381">
        <f>11.07*$J$355</f>
        <v>0</v>
      </c>
      <c r="K381">
        <f>-14.76*$K$355</f>
        <v>0</v>
      </c>
      <c r="L381">
        <f>-0.033*$L$355</f>
        <v>0</v>
      </c>
      <c r="M381">
        <f>0+D381+E381+G381+H381+I381+J381+K381+L381</f>
        <v>0</v>
      </c>
      <c r="N381">
        <f>0+D381+F381+G381+H381+I381+J381+K381+L381</f>
        <v>0</v>
      </c>
    </row>
    <row r="382" spans="3:14">
      <c r="C382" t="s">
        <v>28</v>
      </c>
      <c r="D382">
        <f>-28.886*$D$355</f>
        <v>0</v>
      </c>
      <c r="E382">
        <f>91.802*$E$355</f>
        <v>0</v>
      </c>
      <c r="F382">
        <f>-126.307*$F$355</f>
        <v>0</v>
      </c>
      <c r="G382">
        <f>-2.863*$G$355</f>
        <v>0</v>
      </c>
      <c r="H382">
        <f>0*$H$355</f>
        <v>0</v>
      </c>
      <c r="I382">
        <f>-4.085*$I$355</f>
        <v>0</v>
      </c>
      <c r="J382">
        <f>-4.507*$J$355</f>
        <v>0</v>
      </c>
      <c r="K382">
        <f>6.009*$K$355</f>
        <v>0</v>
      </c>
      <c r="L382">
        <f>-0.034*$L$355</f>
        <v>0</v>
      </c>
      <c r="M382">
        <f>0+D382+E382+G382+H382+I382+J382+K382+L382</f>
        <v>0</v>
      </c>
      <c r="N382">
        <f>0+D382+F382+G382+H382+I382+J382+K382+L382</f>
        <v>0</v>
      </c>
    </row>
    <row r="383" spans="3:14">
      <c r="C383" t="s">
        <v>28</v>
      </c>
      <c r="D383">
        <f>-32.71*$D$355</f>
        <v>0</v>
      </c>
      <c r="E383">
        <f>94.563*$E$355</f>
        <v>0</v>
      </c>
      <c r="F383">
        <f>-136.257*$F$355</f>
        <v>0</v>
      </c>
      <c r="G383">
        <f>-1.163*$G$355</f>
        <v>0</v>
      </c>
      <c r="H383">
        <f>0*$H$355</f>
        <v>0</v>
      </c>
      <c r="I383">
        <f>-4.783*$I$355</f>
        <v>0</v>
      </c>
      <c r="J383">
        <f>-17.847*$J$355</f>
        <v>0</v>
      </c>
      <c r="K383">
        <f>23.796*$K$355</f>
        <v>0</v>
      </c>
      <c r="L383">
        <f>-0.035*$L$355</f>
        <v>0</v>
      </c>
      <c r="M383">
        <f>0+D383+E383+G383+H383+I383+J383+K383+L383</f>
        <v>0</v>
      </c>
      <c r="N383">
        <f>0+D383+F383+G383+H383+I383+J383+K383+L383</f>
        <v>0</v>
      </c>
    </row>
    <row r="384" spans="3:14">
      <c r="C384" t="s">
        <v>29</v>
      </c>
      <c r="D384">
        <f>-35.738*$D$355</f>
        <v>0</v>
      </c>
      <c r="E384">
        <f>97.714*$E$355</f>
        <v>0</v>
      </c>
      <c r="F384">
        <f>-147.216*$F$355</f>
        <v>0</v>
      </c>
      <c r="G384">
        <f>0.606*$G$355</f>
        <v>0</v>
      </c>
      <c r="H384">
        <f>0*$H$355</f>
        <v>0</v>
      </c>
      <c r="I384">
        <f>-5.375*$I$355</f>
        <v>0</v>
      </c>
      <c r="J384">
        <f>-29.049*$J$355</f>
        <v>0</v>
      </c>
      <c r="K384">
        <f>38.732*$K$355</f>
        <v>0</v>
      </c>
      <c r="L384">
        <f>-0.036*$L$355</f>
        <v>0</v>
      </c>
      <c r="M384">
        <f>0+D384+E384+G384+H384+I384+J384+K384+L384</f>
        <v>0</v>
      </c>
      <c r="N384">
        <f>0+D384+F384+G384+H384+I384+J384+K384+L384</f>
        <v>0</v>
      </c>
    </row>
    <row r="385" spans="3:14">
      <c r="C385" t="s">
        <v>29</v>
      </c>
      <c r="D385">
        <f>-37.643*$D$355</f>
        <v>0</v>
      </c>
      <c r="E385">
        <f>104.022*$E$355</f>
        <v>0</v>
      </c>
      <c r="F385">
        <f>-161.661*$F$355</f>
        <v>0</v>
      </c>
      <c r="G385">
        <f>2.78*$G$355</f>
        <v>0</v>
      </c>
      <c r="H385">
        <f>0*$H$355</f>
        <v>0</v>
      </c>
      <c r="I385">
        <f>-5.849*$I$355</f>
        <v>0</v>
      </c>
      <c r="J385">
        <f>-36.095*$J$355</f>
        <v>0</v>
      </c>
      <c r="K385">
        <f>48.127*$K$355</f>
        <v>0</v>
      </c>
      <c r="L385">
        <f>-0.04*$L$355</f>
        <v>0</v>
      </c>
      <c r="M385">
        <f>0+D385+E385+G385+H385+I385+J385+K385+L385</f>
        <v>0</v>
      </c>
      <c r="N385">
        <f>0+D385+F385+G385+H385+I385+J385+K385+L385</f>
        <v>0</v>
      </c>
    </row>
    <row r="386" spans="3:14">
      <c r="C386" t="s">
        <v>30</v>
      </c>
      <c r="D386">
        <f>-38.414*$D$355</f>
        <v>0</v>
      </c>
      <c r="E386">
        <f>113.8*$E$355</f>
        <v>0</v>
      </c>
      <c r="F386">
        <f>-179.559*$F$355</f>
        <v>0</v>
      </c>
      <c r="G386">
        <f>4.984*$G$355</f>
        <v>0</v>
      </c>
      <c r="H386">
        <f>0*$H$355</f>
        <v>0</v>
      </c>
      <c r="I386">
        <f>-6.166*$I$355</f>
        <v>0</v>
      </c>
      <c r="J386">
        <f>-40.78*$J$355</f>
        <v>0</v>
      </c>
      <c r="K386">
        <f>54.373*$K$355</f>
        <v>0</v>
      </c>
      <c r="L386">
        <f>-0.044*$L$355</f>
        <v>0</v>
      </c>
      <c r="M386">
        <f>0+D386+E386+G386+H386+I386+J386+K386+L386</f>
        <v>0</v>
      </c>
      <c r="N386">
        <f>0+D386+F386+G386+H386+I386+J386+K386+L386</f>
        <v>0</v>
      </c>
    </row>
    <row r="387" spans="3:14">
      <c r="C387" t="s">
        <v>30</v>
      </c>
      <c r="D387">
        <f>-45.528*$D$355</f>
        <v>0</v>
      </c>
      <c r="E387">
        <f>118.456*$E$355</f>
        <v>0</v>
      </c>
      <c r="F387">
        <f>-148.024*$F$355</f>
        <v>0</v>
      </c>
      <c r="G387">
        <f>-16.875*$G$355</f>
        <v>0</v>
      </c>
      <c r="H387">
        <f>0*$H$355</f>
        <v>0</v>
      </c>
      <c r="I387">
        <f>-5.466*$I$355</f>
        <v>0</v>
      </c>
      <c r="J387">
        <f>51.24*$J$355</f>
        <v>0</v>
      </c>
      <c r="K387">
        <f>-68.321*$K$355</f>
        <v>0</v>
      </c>
      <c r="L387">
        <f>-0.022*$L$355</f>
        <v>0</v>
      </c>
      <c r="M387">
        <f>0+D387+E387+G387+H387+I387+J387+K387+L387</f>
        <v>0</v>
      </c>
      <c r="N387">
        <f>0+D387+F387+G387+H387+I387+J387+K387+L387</f>
        <v>0</v>
      </c>
    </row>
    <row r="388" spans="3:14">
      <c r="C388" t="s">
        <v>31</v>
      </c>
      <c r="D388">
        <f>-44.145*$D$355</f>
        <v>0</v>
      </c>
      <c r="E388">
        <f>107.173*$E$355</f>
        <v>0</v>
      </c>
      <c r="F388">
        <f>-140.478*$F$355</f>
        <v>0</v>
      </c>
      <c r="G388">
        <f>-14.724*$G$355</f>
        <v>0</v>
      </c>
      <c r="H388">
        <f>0*$H$355</f>
        <v>0</v>
      </c>
      <c r="I388">
        <f>-5.459*$I$355</f>
        <v>0</v>
      </c>
      <c r="J388">
        <f>44.137*$J$355</f>
        <v>0</v>
      </c>
      <c r="K388">
        <f>-58.849*$K$355</f>
        <v>0</v>
      </c>
      <c r="L388">
        <f>-0.026*$L$355</f>
        <v>0</v>
      </c>
      <c r="M388">
        <f>0+D388+E388+G388+H388+I388+J388+K388+L388</f>
        <v>0</v>
      </c>
      <c r="N388">
        <f>0+D388+F388+G388+H388+I388+J388+K388+L388</f>
        <v>0</v>
      </c>
    </row>
    <row r="389" spans="3:14">
      <c r="C389" t="s">
        <v>31</v>
      </c>
      <c r="D389">
        <f>-41.741*$D$355</f>
        <v>0</v>
      </c>
      <c r="E389">
        <f>99.413*$E$355</f>
        <v>0</v>
      </c>
      <c r="F389">
        <f>-139.365*$F$355</f>
        <v>0</v>
      </c>
      <c r="G389">
        <f>-12.285*$G$355</f>
        <v>0</v>
      </c>
      <c r="H389">
        <f>0*$H$355</f>
        <v>0</v>
      </c>
      <c r="I389">
        <f>-5.319*$I$355</f>
        <v>0</v>
      </c>
      <c r="J389">
        <f>32.233*$J$355</f>
        <v>0</v>
      </c>
      <c r="K389">
        <f>-42.977*$K$355</f>
        <v>0</v>
      </c>
      <c r="L389">
        <f>-0.029*$L$355</f>
        <v>0</v>
      </c>
      <c r="M389">
        <f>0+D389+E389+G389+H389+I389+J389+K389+L389</f>
        <v>0</v>
      </c>
      <c r="N389">
        <f>0+D389+F389+G389+H389+I389+J389+K389+L389</f>
        <v>0</v>
      </c>
    </row>
    <row r="390" spans="3:14">
      <c r="C390" t="s">
        <v>32</v>
      </c>
      <c r="D390">
        <f>-37.831*$D$355</f>
        <v>0</v>
      </c>
      <c r="E390">
        <f>97.258*$E$355</f>
        <v>0</v>
      </c>
      <c r="F390">
        <f>-138.832*$F$355</f>
        <v>0</v>
      </c>
      <c r="G390">
        <f>-10.089*$G$355</f>
        <v>0</v>
      </c>
      <c r="H390">
        <f>0*$H$355</f>
        <v>0</v>
      </c>
      <c r="I390">
        <f>-4.928*$I$355</f>
        <v>0</v>
      </c>
      <c r="J390">
        <f>12.673*$J$355</f>
        <v>0</v>
      </c>
      <c r="K390">
        <f>-16.898*$K$355</f>
        <v>0</v>
      </c>
      <c r="L390">
        <f>-0.032*$L$355</f>
        <v>0</v>
      </c>
      <c r="M390">
        <f>0+D390+E390+G390+H390+I390+J390+K390+L390</f>
        <v>0</v>
      </c>
      <c r="N390">
        <f>0+D390+F390+G390+H390+I390+J390+K390+L390</f>
        <v>0</v>
      </c>
    </row>
    <row r="391" spans="3:14">
      <c r="C391" t="s">
        <v>32</v>
      </c>
      <c r="D391">
        <f>-32.236*$D$355</f>
        <v>0</v>
      </c>
      <c r="E391">
        <f>95.339*$E$355</f>
        <v>0</v>
      </c>
      <c r="F391">
        <f>-137.427*$F$355</f>
        <v>0</v>
      </c>
      <c r="G391">
        <f>-7.822*$G$355</f>
        <v>0</v>
      </c>
      <c r="H391">
        <f>0*$H$355</f>
        <v>0</v>
      </c>
      <c r="I391">
        <f>-4.288*$I$355</f>
        <v>0</v>
      </c>
      <c r="J391">
        <f>-12.047*$J$355</f>
        <v>0</v>
      </c>
      <c r="K391">
        <f>16.062*$K$355</f>
        <v>0</v>
      </c>
      <c r="L391">
        <f>-0.036*$L$355</f>
        <v>0</v>
      </c>
      <c r="M391">
        <f>0+D391+E391+G391+H391+I391+J391+K391+L391</f>
        <v>0</v>
      </c>
      <c r="N391">
        <f>0+D391+F391+G391+H391+I391+J391+K391+L391</f>
        <v>0</v>
      </c>
    </row>
    <row r="392" spans="3:14">
      <c r="C392" t="s">
        <v>33</v>
      </c>
      <c r="D392">
        <f>-24.566*$D$355</f>
        <v>0</v>
      </c>
      <c r="E392">
        <f>97.804*$E$355</f>
        <v>0</v>
      </c>
      <c r="F392">
        <f>-133.506*$F$355</f>
        <v>0</v>
      </c>
      <c r="G392">
        <f>-5.063*$G$355</f>
        <v>0</v>
      </c>
      <c r="H392">
        <f>0*$H$355</f>
        <v>0</v>
      </c>
      <c r="I392">
        <f>-3.384*$I$355</f>
        <v>0</v>
      </c>
      <c r="J392">
        <f>-43.223*$J$355</f>
        <v>0</v>
      </c>
      <c r="K392">
        <f>57.631*$K$355</f>
        <v>0</v>
      </c>
      <c r="L392">
        <f>-0.041*$L$355</f>
        <v>0</v>
      </c>
      <c r="M392">
        <f>0+D392+E392+G392+H392+I392+J392+K392+L392</f>
        <v>0</v>
      </c>
      <c r="N392">
        <f>0+D392+F392+G392+H392+I392+J392+K392+L392</f>
        <v>0</v>
      </c>
    </row>
    <row r="393" spans="3:14">
      <c r="C393" t="s">
        <v>33</v>
      </c>
      <c r="D393">
        <f>-13.761*$D$355</f>
        <v>0</v>
      </c>
      <c r="E393">
        <f>102.228*$E$355</f>
        <v>0</v>
      </c>
      <c r="F393">
        <f>-126.03*$F$355</f>
        <v>0</v>
      </c>
      <c r="G393">
        <f>-2.272*$G$355</f>
        <v>0</v>
      </c>
      <c r="H393">
        <f>0*$H$355</f>
        <v>0</v>
      </c>
      <c r="I393">
        <f>-2.028*$I$355</f>
        <v>0</v>
      </c>
      <c r="J393">
        <f>-76.606*$J$355</f>
        <v>0</v>
      </c>
      <c r="K393">
        <f>102.141*$K$355</f>
        <v>0</v>
      </c>
      <c r="L393">
        <f>-0.049*$L$355</f>
        <v>0</v>
      </c>
      <c r="M393">
        <f>0+D393+E393+G393+H393+I393+J393+K393+L393</f>
        <v>0</v>
      </c>
      <c r="N393">
        <f>0+D393+F393+G393+H393+I393+J393+K393+L393</f>
        <v>0</v>
      </c>
    </row>
    <row r="394" spans="3:14">
      <c r="C394" t="s">
        <v>34</v>
      </c>
      <c r="D394">
        <f>0.697*$D$355</f>
        <v>0</v>
      </c>
      <c r="E394">
        <f>111.099*$E$355</f>
        <v>0</v>
      </c>
      <c r="F394">
        <f>-118.7*$F$355</f>
        <v>0</v>
      </c>
      <c r="G394">
        <f>0.911*$G$355</f>
        <v>0</v>
      </c>
      <c r="H394">
        <f>0*$H$355</f>
        <v>0</v>
      </c>
      <c r="I394">
        <f>-0.188*$I$355</f>
        <v>0</v>
      </c>
      <c r="J394">
        <f>-113.634*$J$355</f>
        <v>0</v>
      </c>
      <c r="K394">
        <f>151.512*$K$355</f>
        <v>0</v>
      </c>
      <c r="L394">
        <f>-0.062*$L$355</f>
        <v>0</v>
      </c>
      <c r="M394">
        <f>0+D394+E394+G394+H394+I394+J394+K394+L394</f>
        <v>0</v>
      </c>
      <c r="N394">
        <f>0+D394+F394+G394+H394+I394+J394+K394+L394</f>
        <v>0</v>
      </c>
    </row>
    <row r="395" spans="3:14">
      <c r="C395" t="s">
        <v>34</v>
      </c>
      <c r="D395">
        <f>21.139*$D$355</f>
        <v>0</v>
      </c>
      <c r="E395">
        <f>127.453*$E$355</f>
        <v>0</v>
      </c>
      <c r="F395">
        <f>-115.045*$F$355</f>
        <v>0</v>
      </c>
      <c r="G395">
        <f>4.132*$G$355</f>
        <v>0</v>
      </c>
      <c r="H395">
        <f>0*$H$355</f>
        <v>0</v>
      </c>
      <c r="I395">
        <f>2.478*$I$355</f>
        <v>0</v>
      </c>
      <c r="J395">
        <f>-153.814*$J$355</f>
        <v>0</v>
      </c>
      <c r="K395">
        <f>205.085*$K$355</f>
        <v>0</v>
      </c>
      <c r="L395">
        <f>-0.087*$L$355</f>
        <v>0</v>
      </c>
      <c r="M395">
        <f>0+D395+E395+G395+H395+I395+J395+K395+L395</f>
        <v>0</v>
      </c>
      <c r="N395">
        <f>0+D395+F395+G395+H395+I395+J395+K395+L395</f>
        <v>0</v>
      </c>
    </row>
    <row r="396" spans="3:14">
      <c r="C396" t="s">
        <v>35</v>
      </c>
      <c r="D396">
        <f>43.473*$D$355</f>
        <v>0</v>
      </c>
      <c r="E396">
        <f>146.137*$E$355</f>
        <v>0</v>
      </c>
      <c r="F396">
        <f>-115.986*$F$355</f>
        <v>0</v>
      </c>
      <c r="G396">
        <f>7.176*$G$355</f>
        <v>0</v>
      </c>
      <c r="H396">
        <f>0*$H$355</f>
        <v>0</v>
      </c>
      <c r="I396">
        <f>5.414*$I$355</f>
        <v>0</v>
      </c>
      <c r="J396">
        <f>-190.314*$J$355</f>
        <v>0</v>
      </c>
      <c r="K396">
        <f>253.752*$K$355</f>
        <v>0</v>
      </c>
      <c r="L396">
        <f>-0.117*$L$355</f>
        <v>0</v>
      </c>
      <c r="M396">
        <f>0+D396+E396+G396+H396+I396+J396+K396+L396</f>
        <v>0</v>
      </c>
      <c r="N396">
        <f>0+D396+F396+G396+H396+I396+J396+K396+L396</f>
        <v>0</v>
      </c>
    </row>
    <row r="397" spans="3:14">
      <c r="C397" t="s">
        <v>35</v>
      </c>
      <c r="D397">
        <f>-14.633*$D$355</f>
        <v>0</v>
      </c>
      <c r="E397">
        <f>14.418*$E$355</f>
        <v>0</v>
      </c>
      <c r="F397">
        <f>-31.336*$F$355</f>
        <v>0</v>
      </c>
      <c r="G397">
        <f>-1.267*$G$355</f>
        <v>0</v>
      </c>
      <c r="H397">
        <f>0*$H$355</f>
        <v>0</v>
      </c>
      <c r="I397">
        <f>-1.949*$I$355</f>
        <v>0</v>
      </c>
      <c r="J397">
        <f>16.833*$J$355</f>
        <v>0</v>
      </c>
      <c r="K397">
        <f>-22.444*$K$355</f>
        <v>0</v>
      </c>
      <c r="L397">
        <f>0.024*$L$355</f>
        <v>0</v>
      </c>
      <c r="M397">
        <f>0+D397+E397+G397+H397+I397+J397+K397+L397</f>
        <v>0</v>
      </c>
      <c r="N397">
        <f>0+D397+F397+G397+H397+I397+J397+K397+L397</f>
        <v>0</v>
      </c>
    </row>
    <row r="398" spans="3:14">
      <c r="C398" t="s">
        <v>36</v>
      </c>
      <c r="D398">
        <f>-14.633*$D$355</f>
        <v>0</v>
      </c>
      <c r="E398">
        <f>14.418*$E$355</f>
        <v>0</v>
      </c>
      <c r="F398">
        <f>-31.336*$F$355</f>
        <v>0</v>
      </c>
      <c r="G398">
        <f>-1.267*$G$355</f>
        <v>0</v>
      </c>
      <c r="H398">
        <f>0*$H$355</f>
        <v>0</v>
      </c>
      <c r="I398">
        <f>-1.949*$I$355</f>
        <v>0</v>
      </c>
      <c r="J398">
        <f>16.833*$J$355</f>
        <v>0</v>
      </c>
      <c r="K398">
        <f>-22.444*$K$355</f>
        <v>0</v>
      </c>
      <c r="L398">
        <f>0.024*$L$355</f>
        <v>0</v>
      </c>
      <c r="M398">
        <f>0+D398+E398+G398+H398+I398+J398+K398+L398</f>
        <v>0</v>
      </c>
      <c r="N398">
        <f>0+D398+F398+G398+H398+I398+J398+K398+L398</f>
        <v>0</v>
      </c>
    </row>
    <row r="399" spans="3:14">
      <c r="C399" t="s">
        <v>36</v>
      </c>
      <c r="D399">
        <f>14.081*$D$355</f>
        <v>0</v>
      </c>
      <c r="E399">
        <f>32.74*$E$355</f>
        <v>0</v>
      </c>
      <c r="F399">
        <f>-15.93*$F$355</f>
        <v>0</v>
      </c>
      <c r="G399">
        <f>1.287*$G$355</f>
        <v>0</v>
      </c>
      <c r="H399">
        <f>0*$H$355</f>
        <v>0</v>
      </c>
      <c r="I399">
        <f>1.869*$I$355</f>
        <v>0</v>
      </c>
      <c r="J399">
        <f>-16.428*$J$355</f>
        <v>0</v>
      </c>
      <c r="K399">
        <f>21.904*$K$355</f>
        <v>0</v>
      </c>
      <c r="L399">
        <f>0.005701*$L$355</f>
        <v>0</v>
      </c>
      <c r="M399">
        <f>0+D399+E399+G399+H399+I399+J399+K399+L399</f>
        <v>0</v>
      </c>
      <c r="N399">
        <f>0+D399+F399+G399+H399+I399+J399+K399+L399</f>
        <v>0</v>
      </c>
    </row>
    <row r="400" spans="3:14">
      <c r="C400" t="s">
        <v>37</v>
      </c>
      <c r="D400">
        <f>14.081*$D$355</f>
        <v>0</v>
      </c>
      <c r="E400">
        <f>32.74*$E$355</f>
        <v>0</v>
      </c>
      <c r="F400">
        <f>-15.93*$F$355</f>
        <v>0</v>
      </c>
      <c r="G400">
        <f>1.287*$G$355</f>
        <v>0</v>
      </c>
      <c r="H400">
        <f>0*$H$355</f>
        <v>0</v>
      </c>
      <c r="I400">
        <f>1.869*$I$355</f>
        <v>0</v>
      </c>
      <c r="J400">
        <f>-16.428*$J$355</f>
        <v>0</v>
      </c>
      <c r="K400">
        <f>21.904*$K$355</f>
        <v>0</v>
      </c>
      <c r="L400">
        <f>0.005701*$L$355</f>
        <v>0</v>
      </c>
      <c r="M400">
        <f>0+D400+E400+G400+H400+I400+J400+K400+L400</f>
        <v>0</v>
      </c>
      <c r="N400">
        <f>0+D400+F400+G400+H400+I400+J400+K400+L400</f>
        <v>0</v>
      </c>
    </row>
    <row r="401" spans="3:14">
      <c r="C401" t="s">
        <v>37</v>
      </c>
      <c r="D401">
        <f>-50.564*$D$355</f>
        <v>0</v>
      </c>
      <c r="E401">
        <f>36.013*$E$355</f>
        <v>0</v>
      </c>
      <c r="F401">
        <f>-76.956*$F$355</f>
        <v>0</v>
      </c>
      <c r="G401">
        <f>-7.471*$G$355</f>
        <v>0</v>
      </c>
      <c r="H401">
        <f>0*$H$355</f>
        <v>0</v>
      </c>
      <c r="I401">
        <f>-6.41*$I$355</f>
        <v>0</v>
      </c>
      <c r="J401">
        <f>190.022*$J$355</f>
        <v>0</v>
      </c>
      <c r="K401">
        <f>-253.362*$K$355</f>
        <v>0</v>
      </c>
      <c r="L401">
        <f>-2.016*$L$355</f>
        <v>0</v>
      </c>
      <c r="M401">
        <f>0+D401+E401+G401+H401+I401+J401+K401+L401</f>
        <v>0</v>
      </c>
      <c r="N401">
        <f>0+D401+F401+G401+H401+I401+J401+K401+L401</f>
        <v>0</v>
      </c>
    </row>
    <row r="402" spans="3:14">
      <c r="C402" t="s">
        <v>38</v>
      </c>
      <c r="D402">
        <f>-28.785*$D$355</f>
        <v>0</v>
      </c>
      <c r="E402">
        <f>23.352*$E$355</f>
        <v>0</v>
      </c>
      <c r="F402">
        <f>-46.092*$F$355</f>
        <v>0</v>
      </c>
      <c r="G402">
        <f>-4.476*$G$355</f>
        <v>0</v>
      </c>
      <c r="H402">
        <f>0*$H$355</f>
        <v>0</v>
      </c>
      <c r="I402">
        <f>-3.55*$I$355</f>
        <v>0</v>
      </c>
      <c r="J402">
        <f>153.335*$J$355</f>
        <v>0</v>
      </c>
      <c r="K402">
        <f>-204.447*$K$355</f>
        <v>0</v>
      </c>
      <c r="L402">
        <f>-1.93*$L$355</f>
        <v>0</v>
      </c>
      <c r="M402">
        <f>0+D402+E402+G402+H402+I402+J402+K402+L402</f>
        <v>0</v>
      </c>
      <c r="N402">
        <f>0+D402+F402+G402+H402+I402+J402+K402+L402</f>
        <v>0</v>
      </c>
    </row>
    <row r="403" spans="3:14">
      <c r="C403" t="s">
        <v>38</v>
      </c>
      <c r="D403">
        <f>-8.528*$D$355</f>
        <v>0</v>
      </c>
      <c r="E403">
        <f>25.787*$E$355</f>
        <v>0</v>
      </c>
      <c r="F403">
        <f>-29.362*$F$355</f>
        <v>0</v>
      </c>
      <c r="G403">
        <f>-1.33*$G$355</f>
        <v>0</v>
      </c>
      <c r="H403">
        <f>0*$H$355</f>
        <v>0</v>
      </c>
      <c r="I403">
        <f>-0.906*$I$355</f>
        <v>0</v>
      </c>
      <c r="J403">
        <f>112.608*$J$355</f>
        <v>0</v>
      </c>
      <c r="K403">
        <f>-150.144*$K$355</f>
        <v>0</v>
      </c>
      <c r="L403">
        <f>-1.822*$L$355</f>
        <v>0</v>
      </c>
      <c r="M403">
        <f>0+D403+E403+G403+H403+I403+J403+K403+L403</f>
        <v>0</v>
      </c>
      <c r="N403">
        <f>0+D403+F403+G403+H403+I403+J403+K403+L403</f>
        <v>0</v>
      </c>
    </row>
    <row r="404" spans="3:14">
      <c r="C404" t="s">
        <v>39</v>
      </c>
      <c r="D404">
        <f>5.638*$D$355</f>
        <v>0</v>
      </c>
      <c r="E404">
        <f>36.173*$E$355</f>
        <v>0</v>
      </c>
      <c r="F404">
        <f>-21.254*$F$355</f>
        <v>0</v>
      </c>
      <c r="G404">
        <f>1.781*$G$355</f>
        <v>0</v>
      </c>
      <c r="H404">
        <f>0*$H$355</f>
        <v>0</v>
      </c>
      <c r="I404">
        <f>0.897*$I$355</f>
        <v>0</v>
      </c>
      <c r="J404">
        <f>75.083*$J$355</f>
        <v>0</v>
      </c>
      <c r="K404">
        <f>-100.111*$K$355</f>
        <v>0</v>
      </c>
      <c r="L404">
        <f>-1.855*$L$355</f>
        <v>0</v>
      </c>
      <c r="M404">
        <f>0+D404+E404+G404+H404+I404+J404+K404+L404</f>
        <v>0</v>
      </c>
      <c r="N404">
        <f>0+D404+F404+G404+H404+I404+J404+K404+L404</f>
        <v>0</v>
      </c>
    </row>
    <row r="405" spans="3:14">
      <c r="C405" t="s">
        <v>39</v>
      </c>
      <c r="D405">
        <f>16.102*$D$355</f>
        <v>0</v>
      </c>
      <c r="E405">
        <f>46.543*$E$355</f>
        <v>0</v>
      </c>
      <c r="F405">
        <f>-19.71*$F$355</f>
        <v>0</v>
      </c>
      <c r="G405">
        <f>4.511*$G$355</f>
        <v>0</v>
      </c>
      <c r="H405">
        <f>0*$H$355</f>
        <v>0</v>
      </c>
      <c r="I405">
        <f>2.208*$I$355</f>
        <v>0</v>
      </c>
      <c r="J405">
        <f>41.297*$J$355</f>
        <v>0</v>
      </c>
      <c r="K405">
        <f>-55.062*$K$355</f>
        <v>0</v>
      </c>
      <c r="L405">
        <f>-1.958*$L$355</f>
        <v>0</v>
      </c>
      <c r="M405">
        <f>0+D405+E405+G405+H405+I405+J405+K405+L405</f>
        <v>0</v>
      </c>
      <c r="N405">
        <f>0+D405+F405+G405+H405+I405+J405+K405+L405</f>
        <v>0</v>
      </c>
    </row>
    <row r="406" spans="3:14">
      <c r="C406" t="s">
        <v>40</v>
      </c>
      <c r="D406">
        <f>23.466*$D$355</f>
        <v>0</v>
      </c>
      <c r="E406">
        <f>50.048*$E$355</f>
        <v>0</v>
      </c>
      <c r="F406">
        <f>-21.409*$F$355</f>
        <v>0</v>
      </c>
      <c r="G406">
        <f>7.22*$G$355</f>
        <v>0</v>
      </c>
      <c r="H406">
        <f>0*$H$355</f>
        <v>0</v>
      </c>
      <c r="I406">
        <f>3.072*$I$355</f>
        <v>0</v>
      </c>
      <c r="J406">
        <f>9.808*$J$355</f>
        <v>0</v>
      </c>
      <c r="K406">
        <f>-13.077*$K$355</f>
        <v>0</v>
      </c>
      <c r="L406">
        <f>-2.099*$L$355</f>
        <v>0</v>
      </c>
      <c r="M406">
        <f>0+D406+E406+G406+H406+I406+J406+K406+L406</f>
        <v>0</v>
      </c>
      <c r="N406">
        <f>0+D406+F406+G406+H406+I406+J406+K406+L406</f>
        <v>0</v>
      </c>
    </row>
    <row r="407" spans="3:14">
      <c r="C407" t="s">
        <v>40</v>
      </c>
      <c r="D407">
        <f>28.877*$D$355</f>
        <v>0</v>
      </c>
      <c r="E407">
        <f>53.422*$E$355</f>
        <v>0</v>
      </c>
      <c r="F407">
        <f>-24.103*$F$355</f>
        <v>0</v>
      </c>
      <c r="G407">
        <f>9.432*$G$355</f>
        <v>0</v>
      </c>
      <c r="H407">
        <f>0*$H$355</f>
        <v>0</v>
      </c>
      <c r="I407">
        <f>3.69*$I$355</f>
        <v>0</v>
      </c>
      <c r="J407">
        <f>-15.333*$J$355</f>
        <v>0</v>
      </c>
      <c r="K407">
        <f>20.444*$K$355</f>
        <v>0</v>
      </c>
      <c r="L407">
        <f>-2.268*$L$355</f>
        <v>0</v>
      </c>
      <c r="M407">
        <f>0+D407+E407+G407+H407+I407+J407+K407+L407</f>
        <v>0</v>
      </c>
      <c r="N407">
        <f>0+D407+F407+G407+H407+I407+J407+K407+L407</f>
        <v>0</v>
      </c>
    </row>
    <row r="408" spans="3:14">
      <c r="C408" t="s">
        <v>41</v>
      </c>
      <c r="D408">
        <f>32.702*$D$355</f>
        <v>0</v>
      </c>
      <c r="E408">
        <f>56.798*$E$355</f>
        <v>0</v>
      </c>
      <c r="F408">
        <f>-31.245*$F$355</f>
        <v>0</v>
      </c>
      <c r="G408">
        <f>11.576*$G$355</f>
        <v>0</v>
      </c>
      <c r="H408">
        <f>0*$H$355</f>
        <v>0</v>
      </c>
      <c r="I408">
        <f>4.072*$I$355</f>
        <v>0</v>
      </c>
      <c r="J408">
        <f>-35.341*$J$355</f>
        <v>0</v>
      </c>
      <c r="K408">
        <f>47.121*$K$355</f>
        <v>0</v>
      </c>
      <c r="L408">
        <f>-2.45*$L$355</f>
        <v>0</v>
      </c>
      <c r="M408">
        <f>0+D408+E408+G408+H408+I408+J408+K408+L408</f>
        <v>0</v>
      </c>
      <c r="N408">
        <f>0+D408+F408+G408+H408+I408+J408+K408+L408</f>
        <v>0</v>
      </c>
    </row>
    <row r="409" spans="3:14">
      <c r="C409" t="s">
        <v>41</v>
      </c>
      <c r="D409">
        <f>35.162*$D$355</f>
        <v>0</v>
      </c>
      <c r="E409">
        <f>63.967*$E$355</f>
        <v>0</v>
      </c>
      <c r="F409">
        <f>-43.697*$F$355</f>
        <v>0</v>
      </c>
      <c r="G409">
        <f>13.95*$G$355</f>
        <v>0</v>
      </c>
      <c r="H409">
        <f>0*$H$355</f>
        <v>0</v>
      </c>
      <c r="I409">
        <f>4.225*$I$355</f>
        <v>0</v>
      </c>
      <c r="J409">
        <f>-47.872*$J$355</f>
        <v>0</v>
      </c>
      <c r="K409">
        <f>63.829*$K$355</f>
        <v>0</v>
      </c>
      <c r="L409">
        <f>-2.681*$L$355</f>
        <v>0</v>
      </c>
      <c r="M409">
        <f>0+D409+E409+G409+H409+I409+J409+K409+L409</f>
        <v>0</v>
      </c>
      <c r="N409">
        <f>0+D409+F409+G409+H409+I409+J409+K409+L409</f>
        <v>0</v>
      </c>
    </row>
    <row r="410" spans="3:14">
      <c r="C410" t="s">
        <v>42</v>
      </c>
      <c r="D410">
        <f>36.689*$D$355</f>
        <v>0</v>
      </c>
      <c r="E410">
        <f>74.307*$E$355</f>
        <v>0</v>
      </c>
      <c r="F410">
        <f>-65.068*$F$355</f>
        <v>0</v>
      </c>
      <c r="G410">
        <f>16.039*$G$355</f>
        <v>0</v>
      </c>
      <c r="H410">
        <f>0*$H$355</f>
        <v>0</v>
      </c>
      <c r="I410">
        <f>4.258*$I$355</f>
        <v>0</v>
      </c>
      <c r="J410">
        <f>-55.613*$J$355</f>
        <v>0</v>
      </c>
      <c r="K410">
        <f>74.15*$K$355</f>
        <v>0</v>
      </c>
      <c r="L410">
        <f>-2.914*$L$355</f>
        <v>0</v>
      </c>
      <c r="M410">
        <f>0+D410+E410+G410+H410+I410+J410+K410+L410</f>
        <v>0</v>
      </c>
      <c r="N410">
        <f>0+D410+F410+G410+H410+I410+J410+K410+L410</f>
        <v>0</v>
      </c>
    </row>
    <row r="411" spans="3:14">
      <c r="C411" t="s">
        <v>42</v>
      </c>
      <c r="D411">
        <f>26.992*$D$355</f>
        <v>0</v>
      </c>
      <c r="E411">
        <f>97.901*$E$355</f>
        <v>0</v>
      </c>
      <c r="F411">
        <f>-40.709*$F$355</f>
        <v>0</v>
      </c>
      <c r="G411">
        <f>-5.354*$G$355</f>
        <v>0</v>
      </c>
      <c r="H411">
        <f>0*$H$355</f>
        <v>0</v>
      </c>
      <c r="I411">
        <f>4.555*$I$355</f>
        <v>0</v>
      </c>
      <c r="J411">
        <f>41.865*$J$355</f>
        <v>0</v>
      </c>
      <c r="K411">
        <f>-55.82*$K$355</f>
        <v>0</v>
      </c>
      <c r="L411">
        <f>-2.438*$L$355</f>
        <v>0</v>
      </c>
      <c r="M411">
        <f>0+D411+E411+G411+H411+I411+J411+K411+L411</f>
        <v>0</v>
      </c>
      <c r="N411">
        <f>0+D411+F411+G411+H411+I411+J411+K411+L411</f>
        <v>0</v>
      </c>
    </row>
    <row r="412" spans="3:14">
      <c r="C412" t="s">
        <v>43</v>
      </c>
      <c r="D412">
        <f>26.454*$D$355</f>
        <v>0</v>
      </c>
      <c r="E412">
        <f>75.53*$E$355</f>
        <v>0</v>
      </c>
      <c r="F412">
        <f>-25.451*$F$355</f>
        <v>0</v>
      </c>
      <c r="G412">
        <f>-3.195*$G$355</f>
        <v>0</v>
      </c>
      <c r="H412">
        <f>0*$H$355</f>
        <v>0</v>
      </c>
      <c r="I412">
        <f>4.276*$I$355</f>
        <v>0</v>
      </c>
      <c r="J412">
        <f>36.666*$J$355</f>
        <v>0</v>
      </c>
      <c r="K412">
        <f>-48.888*$K$355</f>
        <v>0</v>
      </c>
      <c r="L412">
        <f>-2.704*$L$355</f>
        <v>0</v>
      </c>
      <c r="M412">
        <f>0+D412+E412+G412+H412+I412+J412+K412+L412</f>
        <v>0</v>
      </c>
      <c r="N412">
        <f>0+D412+F412+G412+H412+I412+J412+K412+L412</f>
        <v>0</v>
      </c>
    </row>
    <row r="413" spans="3:14">
      <c r="C413" t="s">
        <v>43</v>
      </c>
      <c r="D413">
        <f>24.754*$D$355</f>
        <v>0</v>
      </c>
      <c r="E413">
        <f>54.592*$E$355</f>
        <v>0</v>
      </c>
      <c r="F413">
        <f>-17.354*$F$355</f>
        <v>0</v>
      </c>
      <c r="G413">
        <f>-1.041*$G$355</f>
        <v>0</v>
      </c>
      <c r="H413">
        <f>0*$H$355</f>
        <v>0</v>
      </c>
      <c r="I413">
        <f>3.833*$I$355</f>
        <v>0</v>
      </c>
      <c r="J413">
        <f>29.349*$J$355</f>
        <v>0</v>
      </c>
      <c r="K413">
        <f>-39.132*$K$355</f>
        <v>0</v>
      </c>
      <c r="L413">
        <f>-2.962*$L$355</f>
        <v>0</v>
      </c>
      <c r="M413">
        <f>0+D413+E413+G413+H413+I413+J413+K413+L413</f>
        <v>0</v>
      </c>
      <c r="N413">
        <f>0+D413+F413+G413+H413+I413+J413+K413+L413</f>
        <v>0</v>
      </c>
    </row>
    <row r="414" spans="3:14">
      <c r="C414" t="s">
        <v>44</v>
      </c>
      <c r="D414">
        <f>21.853*$D$355</f>
        <v>0</v>
      </c>
      <c r="E414">
        <f>45.389*$E$355</f>
        <v>0</v>
      </c>
      <c r="F414">
        <f>-14.038*$F$355</f>
        <v>0</v>
      </c>
      <c r="G414">
        <f>0.747*$G$355</f>
        <v>0</v>
      </c>
      <c r="H414">
        <f>0*$H$355</f>
        <v>0</v>
      </c>
      <c r="I414">
        <f>3.258*$I$355</f>
        <v>0</v>
      </c>
      <c r="J414">
        <f>18.294*$J$355</f>
        <v>0</v>
      </c>
      <c r="K414">
        <f>-24.392*$K$355</f>
        <v>0</v>
      </c>
      <c r="L414">
        <f>-3.218*$L$355</f>
        <v>0</v>
      </c>
      <c r="M414">
        <f>0+D414+E414+G414+H414+I414+J414+K414+L414</f>
        <v>0</v>
      </c>
      <c r="N414">
        <f>0+D414+F414+G414+H414+I414+J414+K414+L414</f>
        <v>0</v>
      </c>
    </row>
    <row r="415" spans="3:14">
      <c r="C415" t="s">
        <v>44</v>
      </c>
      <c r="D415">
        <f>18.115*$D$355</f>
        <v>0</v>
      </c>
      <c r="E415">
        <f>39.806*$E$355</f>
        <v>0</v>
      </c>
      <c r="F415">
        <f>-12.43*$F$355</f>
        <v>0</v>
      </c>
      <c r="G415">
        <f>2.498*$G$355</f>
        <v>0</v>
      </c>
      <c r="H415">
        <f>0*$H$355</f>
        <v>0</v>
      </c>
      <c r="I415">
        <f>2.57*$I$355</f>
        <v>0</v>
      </c>
      <c r="J415">
        <f>5.403*$J$355</f>
        <v>0</v>
      </c>
      <c r="K415">
        <f>-7.204*$K$355</f>
        <v>0</v>
      </c>
      <c r="L415">
        <f>-3.476*$L$355</f>
        <v>0</v>
      </c>
      <c r="M415">
        <f>0+D415+E415+G415+H415+I415+J415+K415+L415</f>
        <v>0</v>
      </c>
      <c r="N415">
        <f>0+D415+F415+G415+H415+I415+J415+K415+L415</f>
        <v>0</v>
      </c>
    </row>
    <row r="416" spans="3:14">
      <c r="C416" t="s">
        <v>45</v>
      </c>
      <c r="D416">
        <f>14.105*$D$355</f>
        <v>0</v>
      </c>
      <c r="E416">
        <f>35.825*$E$355</f>
        <v>0</v>
      </c>
      <c r="F416">
        <f>-17.469*$F$355</f>
        <v>0</v>
      </c>
      <c r="G416">
        <f>4.456*$G$355</f>
        <v>0</v>
      </c>
      <c r="H416">
        <f>0*$H$355</f>
        <v>0</v>
      </c>
      <c r="I416">
        <f>1.826*$I$355</f>
        <v>0</v>
      </c>
      <c r="J416">
        <f>-9.387*$J$355</f>
        <v>0</v>
      </c>
      <c r="K416">
        <f>12.516*$K$355</f>
        <v>0</v>
      </c>
      <c r="L416">
        <f>-3.734*$L$355</f>
        <v>0</v>
      </c>
      <c r="M416">
        <f>0+D416+E416+G416+H416+I416+J416+K416+L416</f>
        <v>0</v>
      </c>
      <c r="N416">
        <f>0+D416+F416+G416+H416+I416+J416+K416+L416</f>
        <v>0</v>
      </c>
    </row>
    <row r="417" spans="3:14">
      <c r="C417" t="s">
        <v>45</v>
      </c>
      <c r="D417">
        <f>9.326*$D$355</f>
        <v>0</v>
      </c>
      <c r="E417">
        <f>36.155*$E$355</f>
        <v>0</v>
      </c>
      <c r="F417">
        <f>-28.856*$F$355</f>
        <v>0</v>
      </c>
      <c r="G417">
        <f>6.236*$G$355</f>
        <v>0</v>
      </c>
      <c r="H417">
        <f>0*$H$355</f>
        <v>0</v>
      </c>
      <c r="I417">
        <f>0.986*$I$355</f>
        <v>0</v>
      </c>
      <c r="J417">
        <f>-20.714*$J$355</f>
        <v>0</v>
      </c>
      <c r="K417">
        <f>27.618*$K$355</f>
        <v>0</v>
      </c>
      <c r="L417">
        <f>-4.013*$L$355</f>
        <v>0</v>
      </c>
      <c r="M417">
        <f>0+D417+E417+G417+H417+I417+J417+K417+L417</f>
        <v>0</v>
      </c>
      <c r="N417">
        <f>0+D417+F417+G417+H417+I417+J417+K417+L417</f>
        <v>0</v>
      </c>
    </row>
    <row r="418" spans="3:14">
      <c r="C418" t="s">
        <v>46</v>
      </c>
      <c r="D418">
        <f>4.118*$D$355</f>
        <v>0</v>
      </c>
      <c r="E418">
        <f>39.229*$E$355</f>
        <v>0</v>
      </c>
      <c r="F418">
        <f>-42.892*$F$355</f>
        <v>0</v>
      </c>
      <c r="G418">
        <f>8.084*$G$355</f>
        <v>0</v>
      </c>
      <c r="H418">
        <f>0*$H$355</f>
        <v>0</v>
      </c>
      <c r="I418">
        <f>0.075*$I$355</f>
        <v>0</v>
      </c>
      <c r="J418">
        <f>-28.301*$J$355</f>
        <v>0</v>
      </c>
      <c r="K418">
        <f>37.735*$K$355</f>
        <v>0</v>
      </c>
      <c r="L418">
        <f>-4.289*$L$355</f>
        <v>0</v>
      </c>
      <c r="M418">
        <f>0+D418+E418+G418+H418+I418+J418+K418+L418</f>
        <v>0</v>
      </c>
      <c r="N418">
        <f>0+D418+F418+G418+H418+I418+J418+K418+L418</f>
        <v>0</v>
      </c>
    </row>
    <row r="419" spans="3:14">
      <c r="C419" t="s">
        <v>46</v>
      </c>
      <c r="D419">
        <f>-1.972*$D$355</f>
        <v>0</v>
      </c>
      <c r="E419">
        <f>48.152*$E$355</f>
        <v>0</v>
      </c>
      <c r="F419">
        <f>-64.91*$F$355</f>
        <v>0</v>
      </c>
      <c r="G419">
        <f>10.408*$G$355</f>
        <v>0</v>
      </c>
      <c r="H419">
        <f>0*$H$355</f>
        <v>0</v>
      </c>
      <c r="I419">
        <f>-1.01*$I$355</f>
        <v>0</v>
      </c>
      <c r="J419">
        <f>-28.838*$J$355</f>
        <v>0</v>
      </c>
      <c r="K419">
        <f>38.451*$K$355</f>
        <v>0</v>
      </c>
      <c r="L419">
        <f>-4.575*$L$355</f>
        <v>0</v>
      </c>
      <c r="M419">
        <f>0+D419+E419+G419+H419+I419+J419+K419+L419</f>
        <v>0</v>
      </c>
      <c r="N419">
        <f>0+D419+F419+G419+H419+I419+J419+K419+L419</f>
        <v>0</v>
      </c>
    </row>
    <row r="420" spans="3:14">
      <c r="C420" t="s">
        <v>47</v>
      </c>
      <c r="D420">
        <f>-8.608*$D$355</f>
        <v>0</v>
      </c>
      <c r="E420">
        <f>59.753*$E$355</f>
        <v>0</v>
      </c>
      <c r="F420">
        <f>-91.107*$F$355</f>
        <v>0</v>
      </c>
      <c r="G420">
        <f>12.768*$G$355</f>
        <v>0</v>
      </c>
      <c r="H420">
        <f>0*$H$355</f>
        <v>0</v>
      </c>
      <c r="I420">
        <f>-2.181*$I$355</f>
        <v>0</v>
      </c>
      <c r="J420">
        <f>-24.691*$J$355</f>
        <v>0</v>
      </c>
      <c r="K420">
        <f>32.921*$K$355</f>
        <v>0</v>
      </c>
      <c r="L420">
        <f>-4.82*$L$355</f>
        <v>0</v>
      </c>
      <c r="M420">
        <f>0+D420+E420+G420+H420+I420+J420+K420+L420</f>
        <v>0</v>
      </c>
      <c r="N420">
        <f>0+D420+F420+G420+H420+I420+J420+K420+L420</f>
        <v>0</v>
      </c>
    </row>
    <row r="421" spans="3:14">
      <c r="C421" t="s">
        <v>47</v>
      </c>
      <c r="D421">
        <f>9.201*$D$355</f>
        <v>0</v>
      </c>
      <c r="E421">
        <f>83.102*$E$355</f>
        <v>0</v>
      </c>
      <c r="F421">
        <f>-53.877*$F$355</f>
        <v>0</v>
      </c>
      <c r="G421">
        <f>-12.144*$G$355</f>
        <v>0</v>
      </c>
      <c r="H421">
        <f>0*$H$355</f>
        <v>0</v>
      </c>
      <c r="I421">
        <f>2.243*$I$355</f>
        <v>0</v>
      </c>
      <c r="J421">
        <f>28.557*$J$355</f>
        <v>0</v>
      </c>
      <c r="K421">
        <f>-38.076*$K$355</f>
        <v>0</v>
      </c>
      <c r="L421">
        <f>-4.951*$L$355</f>
        <v>0</v>
      </c>
      <c r="M421">
        <f>0+D421+E421+G421+H421+I421+J421+K421+L421</f>
        <v>0</v>
      </c>
      <c r="N421">
        <f>0+D421+F421+G421+H421+I421+J421+K421+L421</f>
        <v>0</v>
      </c>
    </row>
    <row r="422" spans="3:14">
      <c r="C422" t="s">
        <v>48</v>
      </c>
      <c r="D422">
        <f>2.447*$D$355</f>
        <v>0</v>
      </c>
      <c r="E422">
        <f>57.557*$E$355</f>
        <v>0</v>
      </c>
      <c r="F422">
        <f>-43.402*$F$355</f>
        <v>0</v>
      </c>
      <c r="G422">
        <f>-9.781*$G$355</f>
        <v>0</v>
      </c>
      <c r="H422">
        <f>0*$H$355</f>
        <v>0</v>
      </c>
      <c r="I422">
        <f>1.055*$I$355</f>
        <v>0</v>
      </c>
      <c r="J422">
        <f>32.805*$J$355</f>
        <v>0</v>
      </c>
      <c r="K422">
        <f>-43.74*$K$355</f>
        <v>0</v>
      </c>
      <c r="L422">
        <f>-5.062*$L$355</f>
        <v>0</v>
      </c>
      <c r="M422">
        <f>0+D422+E422+G422+H422+I422+J422+K422+L422</f>
        <v>0</v>
      </c>
      <c r="N422">
        <f>0+D422+F422+G422+H422+I422+J422+K422+L422</f>
        <v>0</v>
      </c>
    </row>
    <row r="423" spans="3:14">
      <c r="C423" t="s">
        <v>48</v>
      </c>
      <c r="D423">
        <f>-3.871*$D$355</f>
        <v>0</v>
      </c>
      <c r="E423">
        <f>36.459*$E$355</f>
        <v>0</v>
      </c>
      <c r="F423">
        <f>-37.731*$F$355</f>
        <v>0</v>
      </c>
      <c r="G423">
        <f>-7.451*$G$355</f>
        <v>0</v>
      </c>
      <c r="H423">
        <f>0*$H$355</f>
        <v>0</v>
      </c>
      <c r="I423">
        <f>-0.064*$I$355</f>
        <v>0</v>
      </c>
      <c r="J423">
        <f>32.467*$J$355</f>
        <v>0</v>
      </c>
      <c r="K423">
        <f>-43.29*$K$355</f>
        <v>0</v>
      </c>
      <c r="L423">
        <f>-5.084*$L$355</f>
        <v>0</v>
      </c>
      <c r="M423">
        <f>0+D423+E423+G423+H423+I423+J423+K423+L423</f>
        <v>0</v>
      </c>
      <c r="N423">
        <f>0+D423+F423+G423+H423+I423+J423+K423+L423</f>
        <v>0</v>
      </c>
    </row>
    <row r="424" spans="3:14">
      <c r="C424" t="s">
        <v>49</v>
      </c>
      <c r="D424">
        <f>-9.459*$D$355</f>
        <v>0</v>
      </c>
      <c r="E424">
        <f>23.753*$E$355</f>
        <v>0</v>
      </c>
      <c r="F424">
        <f>-38.335*$F$355</f>
        <v>0</v>
      </c>
      <c r="G424">
        <f>-5.596*$G$355</f>
        <v>0</v>
      </c>
      <c r="H424">
        <f>0*$H$355</f>
        <v>0</v>
      </c>
      <c r="I424">
        <f>-1.031*$I$355</f>
        <v>0</v>
      </c>
      <c r="J424">
        <f>25.195*$J$355</f>
        <v>0</v>
      </c>
      <c r="K424">
        <f>-33.593*$K$355</f>
        <v>0</v>
      </c>
      <c r="L424">
        <f>-4.934*$L$355</f>
        <v>0</v>
      </c>
      <c r="M424">
        <f>0+D424+E424+G424+H424+I424+J424+K424+L424</f>
        <v>0</v>
      </c>
      <c r="N424">
        <f>0+D424+F424+G424+H424+I424+J424+K424+L424</f>
        <v>0</v>
      </c>
    </row>
    <row r="425" spans="3:14">
      <c r="C425" t="s">
        <v>49</v>
      </c>
      <c r="D425">
        <f>-14.722*$D$355</f>
        <v>0</v>
      </c>
      <c r="E425">
        <f>20.299*$E$355</f>
        <v>0</v>
      </c>
      <c r="F425">
        <f>-42.62*$F$355</f>
        <v>0</v>
      </c>
      <c r="G425">
        <f>-3.806*$G$355</f>
        <v>0</v>
      </c>
      <c r="H425">
        <f>0*$H$355</f>
        <v>0</v>
      </c>
      <c r="I425">
        <f>-1.943*$I$355</f>
        <v>0</v>
      </c>
      <c r="J425">
        <f>14.273*$J$355</f>
        <v>0</v>
      </c>
      <c r="K425">
        <f>-19.031*$K$355</f>
        <v>0</v>
      </c>
      <c r="L425">
        <f>-4.644*$L$355</f>
        <v>0</v>
      </c>
      <c r="M425">
        <f>0+D425+E425+G425+H425+I425+J425+K425+L425</f>
        <v>0</v>
      </c>
      <c r="N425">
        <f>0+D425+F425+G425+H425+I425+J425+K425+L425</f>
        <v>0</v>
      </c>
    </row>
    <row r="426" spans="3:14">
      <c r="C426" t="s">
        <v>50</v>
      </c>
      <c r="D426">
        <f>-19.333*$D$355</f>
        <v>0</v>
      </c>
      <c r="E426">
        <f>19.815*$E$355</f>
        <v>0</v>
      </c>
      <c r="F426">
        <f>-50.826*$F$355</f>
        <v>0</v>
      </c>
      <c r="G426">
        <f>-1.839*$G$355</f>
        <v>0</v>
      </c>
      <c r="H426">
        <f>0*$H$355</f>
        <v>0</v>
      </c>
      <c r="I426">
        <f>-2.775*$I$355</f>
        <v>0</v>
      </c>
      <c r="J426">
        <f>-0.034*$J$355</f>
        <v>0</v>
      </c>
      <c r="K426">
        <f>0.045*$K$355</f>
        <v>0</v>
      </c>
      <c r="L426">
        <f>-4.124*$L$355</f>
        <v>0</v>
      </c>
      <c r="M426">
        <f>0+D426+E426+G426+H426+I426+J426+K426+L426</f>
        <v>0</v>
      </c>
      <c r="N426">
        <f>0+D426+F426+G426+H426+I426+J426+K426+L426</f>
        <v>0</v>
      </c>
    </row>
    <row r="427" spans="3:14">
      <c r="C427" t="s">
        <v>50</v>
      </c>
      <c r="D427">
        <f>-23.814*$D$355</f>
        <v>0</v>
      </c>
      <c r="E427">
        <f>23.197*$E$355</f>
        <v>0</v>
      </c>
      <c r="F427">
        <f>-60.279*$F$355</f>
        <v>0</v>
      </c>
      <c r="G427">
        <f>-0.08*$G$355</f>
        <v>0</v>
      </c>
      <c r="H427">
        <f>0*$H$355</f>
        <v>0</v>
      </c>
      <c r="I427">
        <f>-3.573*$I$355</f>
        <v>0</v>
      </c>
      <c r="J427">
        <f>-12.346*$J$355</f>
        <v>0</v>
      </c>
      <c r="K427">
        <f>16.461*$K$355</f>
        <v>0</v>
      </c>
      <c r="L427">
        <f>-3.343*$L$355</f>
        <v>0</v>
      </c>
      <c r="M427">
        <f>0+D427+E427+G427+H427+I427+J427+K427+L427</f>
        <v>0</v>
      </c>
      <c r="N427">
        <f>0+D427+F427+G427+H427+I427+J427+K427+L427</f>
        <v>0</v>
      </c>
    </row>
    <row r="428" spans="3:14">
      <c r="C428" t="s">
        <v>51</v>
      </c>
      <c r="D428">
        <f>-27.666*$D$355</f>
        <v>0</v>
      </c>
      <c r="E428">
        <f>28.037*$E$355</f>
        <v>0</v>
      </c>
      <c r="F428">
        <f>-71.966*$F$355</f>
        <v>0</v>
      </c>
      <c r="G428">
        <f>1.713*$G$355</f>
        <v>0</v>
      </c>
      <c r="H428">
        <f>0*$H$355</f>
        <v>0</v>
      </c>
      <c r="I428">
        <f>-4.287*$I$355</f>
        <v>0</v>
      </c>
      <c r="J428">
        <f>-22.697*$J$355</f>
        <v>0</v>
      </c>
      <c r="K428">
        <f>30.262*$K$355</f>
        <v>0</v>
      </c>
      <c r="L428">
        <f>-2.051*$L$355</f>
        <v>0</v>
      </c>
      <c r="M428">
        <f>0+D428+E428+G428+H428+I428+J428+K428+L428</f>
        <v>0</v>
      </c>
      <c r="N428">
        <f>0+D428+F428+G428+H428+I428+J428+K428+L428</f>
        <v>0</v>
      </c>
    </row>
    <row r="429" spans="3:14">
      <c r="C429" t="s">
        <v>51</v>
      </c>
      <c r="D429">
        <f>-30.737*$D$355</f>
        <v>0</v>
      </c>
      <c r="E429">
        <f>37.901*$E$355</f>
        <v>0</v>
      </c>
      <c r="F429">
        <f>-86.963*$F$355</f>
        <v>0</v>
      </c>
      <c r="G429">
        <f>3.863*$G$355</f>
        <v>0</v>
      </c>
      <c r="H429">
        <f>0*$H$355</f>
        <v>0</v>
      </c>
      <c r="I429">
        <f>-4.931*$I$355</f>
        <v>0</v>
      </c>
      <c r="J429">
        <f>-29.084*$J$355</f>
        <v>0</v>
      </c>
      <c r="K429">
        <f>38.778*$K$355</f>
        <v>0</v>
      </c>
      <c r="L429">
        <f>0.03*$L$355</f>
        <v>0</v>
      </c>
      <c r="M429">
        <f>0+D429+E429+G429+H429+I429+J429+K429+L429</f>
        <v>0</v>
      </c>
      <c r="N429">
        <f>0+D429+F429+G429+H429+I429+J429+K429+L429</f>
        <v>0</v>
      </c>
    </row>
    <row r="430" spans="3:14">
      <c r="C430" t="s">
        <v>52</v>
      </c>
      <c r="D430">
        <f>-32.92*$D$355</f>
        <v>0</v>
      </c>
      <c r="E430">
        <f>49.207*$E$355</f>
        <v>0</v>
      </c>
      <c r="F430">
        <f>-108.689*$F$355</f>
        <v>0</v>
      </c>
      <c r="G430">
        <f>6.004*$G$355</f>
        <v>0</v>
      </c>
      <c r="H430">
        <f>0*$H$355</f>
        <v>0</v>
      </c>
      <c r="I430">
        <f>-5.451*$I$355</f>
        <v>0</v>
      </c>
      <c r="J430">
        <f>-33.243*$J$355</f>
        <v>0</v>
      </c>
      <c r="K430">
        <f>44.324*$K$355</f>
        <v>0</v>
      </c>
      <c r="L430">
        <f>2.823*$L$355</f>
        <v>0</v>
      </c>
      <c r="M430">
        <f>0+D430+E430+G430+H430+I430+J430+K430+L430</f>
        <v>0</v>
      </c>
      <c r="N430">
        <f>0+D430+F430+G430+H430+I430+J430+K430+L430</f>
        <v>0</v>
      </c>
    </row>
    <row r="431" spans="3:14">
      <c r="C431" t="s">
        <v>52</v>
      </c>
      <c r="D431">
        <f>-33.419*$D$355</f>
        <v>0</v>
      </c>
      <c r="E431">
        <f>67.116*$E$355</f>
        <v>0</v>
      </c>
      <c r="F431">
        <f>-84.611*$F$355</f>
        <v>0</v>
      </c>
      <c r="G431">
        <f>-15.329*$G$355</f>
        <v>0</v>
      </c>
      <c r="H431">
        <f>0*$H$355</f>
        <v>0</v>
      </c>
      <c r="I431">
        <f>-3.806*$I$355</f>
        <v>0</v>
      </c>
      <c r="J431">
        <f>58.194*$J$355</f>
        <v>0</v>
      </c>
      <c r="K431">
        <f>-77.593*$K$355</f>
        <v>0</v>
      </c>
      <c r="L431">
        <f>-13.299*$L$355</f>
        <v>0</v>
      </c>
      <c r="M431">
        <f>0+D431+E431+G431+H431+I431+J431+K431+L431</f>
        <v>0</v>
      </c>
      <c r="N431">
        <f>0+D431+F431+G431+H431+I431+J431+K431+L431</f>
        <v>0</v>
      </c>
    </row>
    <row r="432" spans="3:14">
      <c r="C432" t="s">
        <v>53</v>
      </c>
      <c r="D432">
        <f>-33.599*$D$355</f>
        <v>0</v>
      </c>
      <c r="E432">
        <f>41.916*$E$355</f>
        <v>0</v>
      </c>
      <c r="F432">
        <f>-72.393*$F$355</f>
        <v>0</v>
      </c>
      <c r="G432">
        <f>-13.285*$G$355</f>
        <v>0</v>
      </c>
      <c r="H432">
        <f>0*$H$355</f>
        <v>0</v>
      </c>
      <c r="I432">
        <f>-4.022*$I$355</f>
        <v>0</v>
      </c>
      <c r="J432">
        <f>51.338*$J$355</f>
        <v>0</v>
      </c>
      <c r="K432">
        <f>-68.451*$K$355</f>
        <v>0</v>
      </c>
      <c r="L432">
        <f>-10.194*$L$355</f>
        <v>0</v>
      </c>
      <c r="M432">
        <f>0+D432+E432+G432+H432+I432+J432+K432+L432</f>
        <v>0</v>
      </c>
      <c r="N432">
        <f>0+D432+F432+G432+H432+I432+J432+K432+L432</f>
        <v>0</v>
      </c>
    </row>
    <row r="433" spans="3:14">
      <c r="C433" t="s">
        <v>53</v>
      </c>
      <c r="D433">
        <f>-32.804*$D$355</f>
        <v>0</v>
      </c>
      <c r="E433">
        <f>30.164*$E$355</f>
        <v>0</v>
      </c>
      <c r="F433">
        <f>-66.526*$F$355</f>
        <v>0</v>
      </c>
      <c r="G433">
        <f>-10.97*$G$355</f>
        <v>0</v>
      </c>
      <c r="H433">
        <f>0*$H$355</f>
        <v>0</v>
      </c>
      <c r="I433">
        <f>-4.111*$I$355</f>
        <v>0</v>
      </c>
      <c r="J433">
        <f>39.57*$J$355</f>
        <v>0</v>
      </c>
      <c r="K433">
        <f>-52.76*$K$355</f>
        <v>0</v>
      </c>
      <c r="L433">
        <f>-7.193*$L$355</f>
        <v>0</v>
      </c>
      <c r="M433">
        <f>0+D433+E433+G433+H433+I433+J433+K433+L433</f>
        <v>0</v>
      </c>
      <c r="N433">
        <f>0+D433+F433+G433+H433+I433+J433+K433+L433</f>
        <v>0</v>
      </c>
    </row>
    <row r="434" spans="3:14">
      <c r="C434" t="s">
        <v>54</v>
      </c>
      <c r="D434">
        <f>-30.547*$D$355</f>
        <v>0</v>
      </c>
      <c r="E434">
        <f>25.968*$E$355</f>
        <v>0</v>
      </c>
      <c r="F434">
        <f>-65.523*$F$355</f>
        <v>0</v>
      </c>
      <c r="G434">
        <f>-8.915*$G$355</f>
        <v>0</v>
      </c>
      <c r="H434">
        <f>0*$H$355</f>
        <v>0</v>
      </c>
      <c r="I434">
        <f>-3.955*$I$355</f>
        <v>0</v>
      </c>
      <c r="J434">
        <f>20.049*$J$355</f>
        <v>0</v>
      </c>
      <c r="K434">
        <f>-26.732*$K$355</f>
        <v>0</v>
      </c>
      <c r="L434">
        <f>-4.141*$L$355</f>
        <v>0</v>
      </c>
      <c r="M434">
        <f>0+D434+E434+G434+H434+I434+J434+K434+L434</f>
        <v>0</v>
      </c>
      <c r="N434">
        <f>0+D434+F434+G434+H434+I434+J434+K434+L434</f>
        <v>0</v>
      </c>
    </row>
    <row r="435" spans="3:14">
      <c r="C435" t="s">
        <v>54</v>
      </c>
      <c r="D435">
        <f>-26.755*$D$355</f>
        <v>0</v>
      </c>
      <c r="E435">
        <f>24.252*$E$355</f>
        <v>0</v>
      </c>
      <c r="F435">
        <f>-63.652*$F$355</f>
        <v>0</v>
      </c>
      <c r="G435">
        <f>-6.813*$G$355</f>
        <v>0</v>
      </c>
      <c r="H435">
        <f>0*$H$355</f>
        <v>0</v>
      </c>
      <c r="I435">
        <f>-3.571*$I$355</f>
        <v>0</v>
      </c>
      <c r="J435">
        <f>-4.726*$J$355</f>
        <v>0</v>
      </c>
      <c r="K435">
        <f>6.302*$K$355</f>
        <v>0</v>
      </c>
      <c r="L435">
        <f>-0.69*$L$355</f>
        <v>0</v>
      </c>
      <c r="M435">
        <f>0+D435+E435+G435+H435+I435+J435+K435+L435</f>
        <v>0</v>
      </c>
      <c r="N435">
        <f>0+D435+F435+G435+H435+I435+J435+K435+L435</f>
        <v>0</v>
      </c>
    </row>
    <row r="436" spans="3:14">
      <c r="C436" t="s">
        <v>55</v>
      </c>
      <c r="D436">
        <f>-21.086*$D$355</f>
        <v>0</v>
      </c>
      <c r="E436">
        <f>27.224*$E$355</f>
        <v>0</v>
      </c>
      <c r="F436">
        <f>-59.99*$F$355</f>
        <v>0</v>
      </c>
      <c r="G436">
        <f>-4.247*$G$355</f>
        <v>0</v>
      </c>
      <c r="H436">
        <f>0*$H$355</f>
        <v>0</v>
      </c>
      <c r="I436">
        <f>-2.95*$I$355</f>
        <v>0</v>
      </c>
      <c r="J436">
        <f>-36.011*$J$355</f>
        <v>0</v>
      </c>
      <c r="K436">
        <f>48.015*$K$355</f>
        <v>0</v>
      </c>
      <c r="L436">
        <f>3.325*$L$355</f>
        <v>0</v>
      </c>
      <c r="M436">
        <f>0+D436+E436+G436+H436+I436+J436+K436+L436</f>
        <v>0</v>
      </c>
      <c r="N436">
        <f>0+D436+F436+G436+H436+I436+J436+K436+L436</f>
        <v>0</v>
      </c>
    </row>
    <row r="437" spans="3:14">
      <c r="C437" t="s">
        <v>55</v>
      </c>
      <c r="D437">
        <f>-12.724*$D$355</f>
        <v>0</v>
      </c>
      <c r="E437">
        <f>31.413*$E$355</f>
        <v>0</v>
      </c>
      <c r="F437">
        <f>-52.115*$F$355</f>
        <v>0</v>
      </c>
      <c r="G437">
        <f>-1.697*$G$355</f>
        <v>0</v>
      </c>
      <c r="H437">
        <f>0*$H$355</f>
        <v>0</v>
      </c>
      <c r="I437">
        <f>-1.94*$I$355</f>
        <v>0</v>
      </c>
      <c r="J437">
        <f>-69.557*$J$355</f>
        <v>0</v>
      </c>
      <c r="K437">
        <f>92.742*$K$355</f>
        <v>0</v>
      </c>
      <c r="L437">
        <f>9.203*$L$355</f>
        <v>0</v>
      </c>
      <c r="M437">
        <f>0+D437+E437+G437+H437+I437+J437+K437+L437</f>
        <v>0</v>
      </c>
      <c r="N437">
        <f>0+D437+F437+G437+H437+I437+J437+K437+L437</f>
        <v>0</v>
      </c>
    </row>
    <row r="438" spans="3:14">
      <c r="C438" t="s">
        <v>56</v>
      </c>
      <c r="D438">
        <f>-1.209*$D$355</f>
        <v>0</v>
      </c>
      <c r="E438">
        <f>39.136*$E$355</f>
        <v>0</v>
      </c>
      <c r="F438">
        <f>-43.233*$F$355</f>
        <v>0</v>
      </c>
      <c r="G438">
        <f>1.194*$G$355</f>
        <v>0</v>
      </c>
      <c r="H438">
        <f>0*$H$355</f>
        <v>0</v>
      </c>
      <c r="I438">
        <f>-0.518*$I$355</f>
        <v>0</v>
      </c>
      <c r="J438">
        <f>-106.713*$J$355</f>
        <v>0</v>
      </c>
      <c r="K438">
        <f>142.284*$K$355</f>
        <v>0</v>
      </c>
      <c r="L438">
        <f>17.521*$L$355</f>
        <v>0</v>
      </c>
      <c r="M438">
        <f>0+D438+E438+G438+H438+I438+J438+K438+L438</f>
        <v>0</v>
      </c>
      <c r="N438">
        <f>0+D438+F438+G438+H438+I438+J438+K438+L438</f>
        <v>0</v>
      </c>
    </row>
    <row r="439" spans="3:14">
      <c r="C439" t="s">
        <v>56</v>
      </c>
      <c r="D439">
        <f>15.286*$D$355</f>
        <v>0</v>
      </c>
      <c r="E439">
        <f>53.355*$E$355</f>
        <v>0</v>
      </c>
      <c r="F439">
        <f>-36.876*$F$355</f>
        <v>0</v>
      </c>
      <c r="G439">
        <f>4.031*$G$355</f>
        <v>0</v>
      </c>
      <c r="H439">
        <f>0*$H$355</f>
        <v>0</v>
      </c>
      <c r="I439">
        <f>1.585*$I$355</f>
        <v>0</v>
      </c>
      <c r="J439">
        <f>-146.887*$J$355</f>
        <v>0</v>
      </c>
      <c r="K439">
        <f>195.849*$K$355</f>
        <v>0</v>
      </c>
      <c r="L439">
        <f>30.91*$L$355</f>
        <v>0</v>
      </c>
      <c r="M439">
        <f>0+D439+E439+G439+H439+I439+J439+K439+L439</f>
        <v>0</v>
      </c>
      <c r="N439">
        <f>0+D439+F439+G439+H439+I439+J439+K439+L439</f>
        <v>0</v>
      </c>
    </row>
    <row r="440" spans="3:14">
      <c r="C440" t="s">
        <v>57</v>
      </c>
      <c r="D440">
        <f>33.337*$D$355</f>
        <v>0</v>
      </c>
      <c r="E440">
        <f>75.964*$E$355</f>
        <v>0</v>
      </c>
      <c r="F440">
        <f>-35.2*$F$355</f>
        <v>0</v>
      </c>
      <c r="G440">
        <f>6.65*$G$355</f>
        <v>0</v>
      </c>
      <c r="H440">
        <f>0*$H$355</f>
        <v>0</v>
      </c>
      <c r="I440">
        <f>3.912*$I$355</f>
        <v>0</v>
      </c>
      <c r="J440">
        <f>-183.481*$J$355</f>
        <v>0</v>
      </c>
      <c r="K440">
        <f>244.641*$K$355</f>
        <v>0</v>
      </c>
      <c r="L440">
        <f>46.702*$L$355</f>
        <v>0</v>
      </c>
      <c r="M440">
        <f>0+D440+E440+G440+H440+I440+J440+K440+L440</f>
        <v>0</v>
      </c>
      <c r="N440">
        <f>0+D440+F440+G440+H440+I440+J440+K440+L440</f>
        <v>0</v>
      </c>
    </row>
    <row r="441" spans="3:14">
      <c r="C441" t="s">
        <v>57</v>
      </c>
      <c r="D441">
        <f>-11.756*$D$355</f>
        <v>0</v>
      </c>
      <c r="E441">
        <f>17.905*$E$355</f>
        <v>0</v>
      </c>
      <c r="F441">
        <f>-34.189*$F$355</f>
        <v>0</v>
      </c>
      <c r="G441">
        <f>-0.989*$G$355</f>
        <v>0</v>
      </c>
      <c r="H441">
        <f>0*$H$355</f>
        <v>0</v>
      </c>
      <c r="I441">
        <f>-1.539*$I$355</f>
        <v>0</v>
      </c>
      <c r="J441">
        <f>16.781*$J$355</f>
        <v>0</v>
      </c>
      <c r="K441">
        <f>-22.374*$K$355</f>
        <v>0</v>
      </c>
      <c r="L441">
        <f>-12.252*$L$355</f>
        <v>0</v>
      </c>
      <c r="M441">
        <f>0+D441+E441+G441+H441+I441+J441+K441+L441</f>
        <v>0</v>
      </c>
      <c r="N441">
        <f>0+D441+F441+G441+H441+I441+J441+K441+L441</f>
        <v>0</v>
      </c>
    </row>
    <row r="442" spans="3:14">
      <c r="C442" t="s">
        <v>58</v>
      </c>
      <c r="D442">
        <f>-11.756*$D$355</f>
        <v>0</v>
      </c>
      <c r="E442">
        <f>17.893*$E$355</f>
        <v>0</v>
      </c>
      <c r="F442">
        <f>-34.188*$F$355</f>
        <v>0</v>
      </c>
      <c r="G442">
        <f>-0.989*$G$355</f>
        <v>0</v>
      </c>
      <c r="H442">
        <f>0*$H$355</f>
        <v>0</v>
      </c>
      <c r="I442">
        <f>-1.539*$I$355</f>
        <v>0</v>
      </c>
      <c r="J442">
        <f>16.781*$J$355</f>
        <v>0</v>
      </c>
      <c r="K442">
        <f>-22.374*$K$355</f>
        <v>0</v>
      </c>
      <c r="L442">
        <f>-12.252*$L$355</f>
        <v>0</v>
      </c>
      <c r="M442">
        <f>0+D442+E442+G442+H442+I442+J442+K442+L442</f>
        <v>0</v>
      </c>
      <c r="N442">
        <f>0+D442+F442+G442+H442+I442+J442+K442+L442</f>
        <v>0</v>
      </c>
    </row>
    <row r="443" spans="3:14">
      <c r="C443" t="s">
        <v>58</v>
      </c>
      <c r="D443">
        <f>9.417*$D$355</f>
        <v>0</v>
      </c>
      <c r="E443">
        <f>25.627*$E$355</f>
        <v>0</v>
      </c>
      <c r="F443">
        <f>-13.335*$F$355</f>
        <v>0</v>
      </c>
      <c r="G443">
        <f>0.965*$G$355</f>
        <v>0</v>
      </c>
      <c r="H443">
        <f>0*$H$355</f>
        <v>0</v>
      </c>
      <c r="I443">
        <f>1.186*$I$355</f>
        <v>0</v>
      </c>
      <c r="J443">
        <f>-11.689*$J$355</f>
        <v>0</v>
      </c>
      <c r="K443">
        <f>15.585*$K$355</f>
        <v>0</v>
      </c>
      <c r="L443">
        <f>28.14*$L$355</f>
        <v>0</v>
      </c>
      <c r="M443">
        <f>0+D443+E443+G443+H443+I443+J443+K443+L443</f>
        <v>0</v>
      </c>
      <c r="N443">
        <f>0+D443+F443+G443+H443+I443+J443+K443+L443</f>
        <v>0</v>
      </c>
    </row>
    <row r="444" spans="3:14">
      <c r="C444" t="s">
        <v>59</v>
      </c>
      <c r="D444">
        <f>9.417*$D$355</f>
        <v>0</v>
      </c>
      <c r="E444">
        <f>25.627*$E$355</f>
        <v>0</v>
      </c>
      <c r="F444">
        <f>-13.334*$F$355</f>
        <v>0</v>
      </c>
      <c r="G444">
        <f>0.965*$G$355</f>
        <v>0</v>
      </c>
      <c r="H444">
        <f>0*$H$355</f>
        <v>0</v>
      </c>
      <c r="I444">
        <f>1.186*$I$355</f>
        <v>0</v>
      </c>
      <c r="J444">
        <f>-11.689*$J$355</f>
        <v>0</v>
      </c>
      <c r="K444">
        <f>15.585*$K$355</f>
        <v>0</v>
      </c>
      <c r="L444">
        <f>28.14*$L$355</f>
        <v>0</v>
      </c>
      <c r="M444">
        <f>0+D444+E444+G444+H444+I444+J444+K444+L444</f>
        <v>0</v>
      </c>
      <c r="N444">
        <f>0+D444+F444+G444+H444+I444+J444+K444+L444</f>
        <v>0</v>
      </c>
    </row>
    <row r="445" spans="3:14">
      <c r="C445" t="s">
        <v>59</v>
      </c>
      <c r="D445">
        <f>-43.656*$D$355</f>
        <v>0</v>
      </c>
      <c r="E445">
        <f>27.274*$E$355</f>
        <v>0</v>
      </c>
      <c r="F445">
        <f>-72.03*$F$355</f>
        <v>0</v>
      </c>
      <c r="G445">
        <f>-6.222*$G$355</f>
        <v>0</v>
      </c>
      <c r="H445">
        <f>0*$H$355</f>
        <v>0</v>
      </c>
      <c r="I445">
        <f>-5.496*$I$355</f>
        <v>0</v>
      </c>
      <c r="J445">
        <f>208.149*$J$355</f>
        <v>0</v>
      </c>
      <c r="K445">
        <f>-277.532*$K$355</f>
        <v>0</v>
      </c>
      <c r="L445">
        <f>-27.639*$L$355</f>
        <v>0</v>
      </c>
      <c r="M445">
        <f>0+D445+E445+G445+H445+I445+J445+K445+L445</f>
        <v>0</v>
      </c>
      <c r="N445">
        <f>0+D445+F445+G445+H445+I445+J445+K445+L445</f>
        <v>0</v>
      </c>
    </row>
    <row r="446" spans="3:14">
      <c r="C446" t="s">
        <v>60</v>
      </c>
      <c r="D446">
        <f>-30.197*$D$355</f>
        <v>0</v>
      </c>
      <c r="E446">
        <f>19.17*$E$355</f>
        <v>0</v>
      </c>
      <c r="F446">
        <f>-45.502*$F$355</f>
        <v>0</v>
      </c>
      <c r="G446">
        <f>-3.782*$G$355</f>
        <v>0</v>
      </c>
      <c r="H446">
        <f>0*$H$355</f>
        <v>0</v>
      </c>
      <c r="I446">
        <f>-3.852*$I$355</f>
        <v>0</v>
      </c>
      <c r="J446">
        <f>178.451*$J$355</f>
        <v>0</v>
      </c>
      <c r="K446">
        <f>-237.934*$K$355</f>
        <v>0</v>
      </c>
      <c r="L446">
        <f>2.832*$L$355</f>
        <v>0</v>
      </c>
      <c r="M446">
        <f>0+D446+E446+G446+H446+I446+J446+K446+L446</f>
        <v>0</v>
      </c>
      <c r="N446">
        <f>0+D446+F446+G446+H446+I446+J446+K446+L446</f>
        <v>0</v>
      </c>
    </row>
    <row r="447" spans="3:14">
      <c r="C447" t="s">
        <v>60</v>
      </c>
      <c r="D447">
        <f>-17.731*$D$355</f>
        <v>0</v>
      </c>
      <c r="E447">
        <f>15.79*$E$355</f>
        <v>0</v>
      </c>
      <c r="F447">
        <f>-32.18*$F$355</f>
        <v>0</v>
      </c>
      <c r="G447">
        <f>-1.293*$G$355</f>
        <v>0</v>
      </c>
      <c r="H447">
        <f>0*$H$355</f>
        <v>0</v>
      </c>
      <c r="I447">
        <f>-2.337*$I$355</f>
        <v>0</v>
      </c>
      <c r="J447">
        <f>142.525*$J$355</f>
        <v>0</v>
      </c>
      <c r="K447">
        <f>-190.033*$K$355</f>
        <v>0</v>
      </c>
      <c r="L447">
        <f>26.209*$L$355</f>
        <v>0</v>
      </c>
      <c r="M447">
        <f>0+D447+E447+G447+H447+I447+J447+K447+L447</f>
        <v>0</v>
      </c>
      <c r="N447">
        <f>0+D447+F447+G447+H447+I447+J447+K447+L447</f>
        <v>0</v>
      </c>
    </row>
    <row r="448" spans="3:14">
      <c r="C448" t="s">
        <v>61</v>
      </c>
      <c r="D448">
        <f>-9.626*$D$355</f>
        <v>0</v>
      </c>
      <c r="E448">
        <f>18.898*$E$355</f>
        <v>0</v>
      </c>
      <c r="F448">
        <f>-26.307*$F$355</f>
        <v>0</v>
      </c>
      <c r="G448">
        <f>1.08*$G$355</f>
        <v>0</v>
      </c>
      <c r="H448">
        <f>0*$H$355</f>
        <v>0</v>
      </c>
      <c r="I448">
        <f>-1.398*$I$355</f>
        <v>0</v>
      </c>
      <c r="J448">
        <f>106.983*$J$355</f>
        <v>0</v>
      </c>
      <c r="K448">
        <f>-142.644*$K$355</f>
        <v>0</v>
      </c>
      <c r="L448">
        <f>40.626*$L$355</f>
        <v>0</v>
      </c>
      <c r="M448">
        <f>0+D448+E448+G448+H448+I448+J448+K448+L448</f>
        <v>0</v>
      </c>
      <c r="N448">
        <f>0+D448+F448+G448+H448+I448+J448+K448+L448</f>
        <v>0</v>
      </c>
    </row>
    <row r="449" spans="3:14">
      <c r="C449" t="s">
        <v>61</v>
      </c>
      <c r="D449">
        <f>-3.789*$D$355</f>
        <v>0</v>
      </c>
      <c r="E449">
        <f>24.796*$E$355</f>
        <v>0</v>
      </c>
      <c r="F449">
        <f>-28.148*$F$355</f>
        <v>0</v>
      </c>
      <c r="G449">
        <f>3.049*$G$355</f>
        <v>0</v>
      </c>
      <c r="H449">
        <f>0*$H$355</f>
        <v>0</v>
      </c>
      <c r="I449">
        <f>-0.735*$I$355</f>
        <v>0</v>
      </c>
      <c r="J449">
        <f>73.426*$J$355</f>
        <v>0</v>
      </c>
      <c r="K449">
        <f>-97.901*$K$355</f>
        <v>0</v>
      </c>
      <c r="L449">
        <f>50.02*$L$355</f>
        <v>0</v>
      </c>
      <c r="M449">
        <f>0+D449+E449+G449+H449+I449+J449+K449+L449</f>
        <v>0</v>
      </c>
      <c r="N449">
        <f>0+D449+F449+G449+H449+I449+J449+K449+L449</f>
        <v>0</v>
      </c>
    </row>
    <row r="450" spans="3:14">
      <c r="C450" t="s">
        <v>62</v>
      </c>
      <c r="D450">
        <f>0.143*$D$355</f>
        <v>0</v>
      </c>
      <c r="E450">
        <f>24.795*$E$355</f>
        <v>0</v>
      </c>
      <c r="F450">
        <f>-29.974*$F$355</f>
        <v>0</v>
      </c>
      <c r="G450">
        <f>4.947*$G$355</f>
        <v>0</v>
      </c>
      <c r="H450">
        <f>0*$H$355</f>
        <v>0</v>
      </c>
      <c r="I450">
        <f>-0.337*$I$355</f>
        <v>0</v>
      </c>
      <c r="J450">
        <f>40.338*$J$355</f>
        <v>0</v>
      </c>
      <c r="K450">
        <f>-53.784*$K$355</f>
        <v>0</v>
      </c>
      <c r="L450">
        <f>54.793*$L$355</f>
        <v>0</v>
      </c>
      <c r="M450">
        <f>0+D450+E450+G450+H450+I450+J450+K450+L450</f>
        <v>0</v>
      </c>
      <c r="N450">
        <f>0+D450+F450+G450+H450+I450+J450+K450+L450</f>
        <v>0</v>
      </c>
    </row>
    <row r="451" spans="3:14">
      <c r="C451" t="s">
        <v>62</v>
      </c>
      <c r="D451">
        <f>3.269*$D$355</f>
        <v>0</v>
      </c>
      <c r="E451">
        <f>27.323*$E$355</f>
        <v>0</v>
      </c>
      <c r="F451">
        <f>-33.803*$F$355</f>
        <v>0</v>
      </c>
      <c r="G451">
        <f>6.296*$G$355</f>
        <v>0</v>
      </c>
      <c r="H451">
        <f>0*$H$355</f>
        <v>0</v>
      </c>
      <c r="I451">
        <f>-0.012*$I$355</f>
        <v>0</v>
      </c>
      <c r="J451">
        <f>11.711*$J$355</f>
        <v>0</v>
      </c>
      <c r="K451">
        <f>-15.615*$K$355</f>
        <v>0</v>
      </c>
      <c r="L451">
        <f>58.843*$L$355</f>
        <v>0</v>
      </c>
      <c r="M451">
        <f>0+D451+E451+G451+H451+I451+J451+K451+L451</f>
        <v>0</v>
      </c>
      <c r="N451">
        <f>0+D451+F451+G451+H451+I451+J451+K451+L451</f>
        <v>0</v>
      </c>
    </row>
    <row r="452" spans="3:14">
      <c r="C452" t="s">
        <v>63</v>
      </c>
      <c r="D452">
        <f>5.728*$D$355</f>
        <v>0</v>
      </c>
      <c r="E452">
        <f>30.487*$E$355</f>
        <v>0</v>
      </c>
      <c r="F452">
        <f>-40.472*$F$355</f>
        <v>0</v>
      </c>
      <c r="G452">
        <f>7.458*$G$355</f>
        <v>0</v>
      </c>
      <c r="H452">
        <f>0*$H$355</f>
        <v>0</v>
      </c>
      <c r="I452">
        <f>0.223*$I$355</f>
        <v>0</v>
      </c>
      <c r="J452">
        <f>-14.203*$J$355</f>
        <v>0</v>
      </c>
      <c r="K452">
        <f>18.937*$K$355</f>
        <v>0</v>
      </c>
      <c r="L452">
        <f>62.734*$L$355</f>
        <v>0</v>
      </c>
      <c r="M452">
        <f>0+D452+E452+G452+H452+I452+J452+K452+L452</f>
        <v>0</v>
      </c>
      <c r="N452">
        <f>0+D452+F452+G452+H452+I452+J452+K452+L452</f>
        <v>0</v>
      </c>
    </row>
    <row r="453" spans="3:14">
      <c r="C453" t="s">
        <v>63</v>
      </c>
      <c r="D453">
        <f>7.713*$D$355</f>
        <v>0</v>
      </c>
      <c r="E453">
        <f>39.939*$E$355</f>
        <v>0</v>
      </c>
      <c r="F453">
        <f>-53.208*$F$355</f>
        <v>0</v>
      </c>
      <c r="G453">
        <f>8.597*$G$355</f>
        <v>0</v>
      </c>
      <c r="H453">
        <f>0*$H$355</f>
        <v>0</v>
      </c>
      <c r="I453">
        <f>0.378*$I$355</f>
        <v>0</v>
      </c>
      <c r="J453">
        <f>-36.776*$J$355</f>
        <v>0</v>
      </c>
      <c r="K453">
        <f>49.035*$K$355</f>
        <v>0</v>
      </c>
      <c r="L453">
        <f>69.819*$L$355</f>
        <v>0</v>
      </c>
      <c r="M453">
        <f>0+D453+E453+G453+H453+I453+J453+K453+L453</f>
        <v>0</v>
      </c>
      <c r="N453">
        <f>0+D453+F453+G453+H453+I453+J453+K453+L453</f>
        <v>0</v>
      </c>
    </row>
    <row r="454" spans="3:14">
      <c r="C454" t="s">
        <v>64</v>
      </c>
      <c r="D454">
        <f>9.601*$D$355</f>
        <v>0</v>
      </c>
      <c r="E454">
        <f>51.065*$E$355</f>
        <v>0</v>
      </c>
      <c r="F454">
        <f>-69.34*$F$355</f>
        <v>0</v>
      </c>
      <c r="G454">
        <f>9.346*$G$355</f>
        <v>0</v>
      </c>
      <c r="H454">
        <f>0*$H$355</f>
        <v>0</v>
      </c>
      <c r="I454">
        <f>0.545*$I$355</f>
        <v>0</v>
      </c>
      <c r="J454">
        <f>-57.229*$J$355</f>
        <v>0</v>
      </c>
      <c r="K454">
        <f>76.305*$K$355</f>
        <v>0</v>
      </c>
      <c r="L454">
        <f>77.945*$L$355</f>
        <v>0</v>
      </c>
      <c r="M454">
        <f>0+D454+E454+G454+H454+I454+J454+K454+L454</f>
        <v>0</v>
      </c>
      <c r="N454">
        <f>0+D454+F454+G454+H454+I454+J454+K454+L454</f>
        <v>0</v>
      </c>
    </row>
    <row r="455" spans="3:14">
      <c r="C455" t="s">
        <v>64</v>
      </c>
      <c r="D455">
        <f>0.366*$D$355</f>
        <v>0</v>
      </c>
      <c r="E455">
        <f>68.054*$E$355</f>
        <v>0</v>
      </c>
      <c r="F455">
        <f>-45.95*$F$355</f>
        <v>0</v>
      </c>
      <c r="G455">
        <f>-5.294*$G$355</f>
        <v>0</v>
      </c>
      <c r="H455">
        <f>0*$H$355</f>
        <v>0</v>
      </c>
      <c r="I455">
        <f>0.508*$I$355</f>
        <v>0</v>
      </c>
      <c r="J455">
        <f>111.243*$J$355</f>
        <v>0</v>
      </c>
      <c r="K455">
        <f>-148.324*$K$355</f>
        <v>0</v>
      </c>
      <c r="L455">
        <f>-63.619*$L$355</f>
        <v>0</v>
      </c>
      <c r="M455">
        <f>0+D455+E455+G455+H455+I455+J455+K455+L455</f>
        <v>0</v>
      </c>
      <c r="N455">
        <f>0+D455+F455+G455+H455+I455+J455+K455+L455</f>
        <v>0</v>
      </c>
    </row>
    <row r="456" spans="3:14">
      <c r="C456" t="s">
        <v>65</v>
      </c>
      <c r="D456">
        <f>1.6*$D$355</f>
        <v>0</v>
      </c>
      <c r="E456">
        <f>49.855*$E$355</f>
        <v>0</v>
      </c>
      <c r="F456">
        <f>-32.666*$F$355</f>
        <v>0</v>
      </c>
      <c r="G456">
        <f>-4.632*$G$355</f>
        <v>0</v>
      </c>
      <c r="H456">
        <f>0*$H$355</f>
        <v>0</v>
      </c>
      <c r="I456">
        <f>0.589*$I$355</f>
        <v>0</v>
      </c>
      <c r="J456">
        <f>86.788*$J$355</f>
        <v>0</v>
      </c>
      <c r="K456">
        <f>-115.718*$K$355</f>
        <v>0</v>
      </c>
      <c r="L456">
        <f>-55.976*$L$355</f>
        <v>0</v>
      </c>
      <c r="M456">
        <f>0+D456+E456+G456+H456+I456+J456+K456+L456</f>
        <v>0</v>
      </c>
      <c r="N456">
        <f>0+D456+F456+G456+H456+I456+J456+K456+L456</f>
        <v>0</v>
      </c>
    </row>
    <row r="457" spans="3:14">
      <c r="C457" t="s">
        <v>65</v>
      </c>
      <c r="D457">
        <f>2.224*$D$355</f>
        <v>0</v>
      </c>
      <c r="E457">
        <f>34.584*$E$355</f>
        <v>0</v>
      </c>
      <c r="F457">
        <f>-25.618*$F$355</f>
        <v>0</v>
      </c>
      <c r="G457">
        <f>-3.814*$G$355</f>
        <v>0</v>
      </c>
      <c r="H457">
        <f>0*$H$355</f>
        <v>0</v>
      </c>
      <c r="I457">
        <f>0.582*$I$355</f>
        <v>0</v>
      </c>
      <c r="J457">
        <f>57.952*$J$355</f>
        <v>0</v>
      </c>
      <c r="K457">
        <f>-77.27*$K$355</f>
        <v>0</v>
      </c>
      <c r="L457">
        <f>-51.118*$L$355</f>
        <v>0</v>
      </c>
      <c r="M457">
        <f>0+D457+E457+G457+H457+I457+J457+K457+L457</f>
        <v>0</v>
      </c>
      <c r="N457">
        <f>0+D457+F457+G457+H457+I457+J457+K457+L457</f>
        <v>0</v>
      </c>
    </row>
    <row r="458" spans="3:14">
      <c r="C458" t="s">
        <v>66</v>
      </c>
      <c r="D458">
        <f>2.223*$D$355</f>
        <v>0</v>
      </c>
      <c r="E458">
        <f>30.58*$E$355</f>
        <v>0</v>
      </c>
      <c r="F458">
        <f>-27.373*$F$355</f>
        <v>0</v>
      </c>
      <c r="G458">
        <f>-3.202*$G$355</f>
        <v>0</v>
      </c>
      <c r="H458">
        <f>0*$H$355</f>
        <v>0</v>
      </c>
      <c r="I458">
        <f>0.526*$I$355</f>
        <v>0</v>
      </c>
      <c r="J458">
        <f>22.476*$J$355</f>
        <v>0</v>
      </c>
      <c r="K458">
        <f>-29.969*$K$355</f>
        <v>0</v>
      </c>
      <c r="L458">
        <f>-50.692*$L$355</f>
        <v>0</v>
      </c>
      <c r="M458">
        <f>0+D458+E458+G458+H458+I458+J458+K458+L458</f>
        <v>0</v>
      </c>
      <c r="N458">
        <f>0+D458+F458+G458+H458+I458+J458+K458+L458</f>
        <v>0</v>
      </c>
    </row>
    <row r="459" spans="3:14">
      <c r="C459" t="s">
        <v>66</v>
      </c>
      <c r="D459">
        <f>1.99*$D$355</f>
        <v>0</v>
      </c>
      <c r="E459">
        <f>29.527*$E$355</f>
        <v>0</v>
      </c>
      <c r="F459">
        <f>-29.097*$F$355</f>
        <v>0</v>
      </c>
      <c r="G459">
        <f>-2.454*$G$355</f>
        <v>0</v>
      </c>
      <c r="H459">
        <f>0*$H$355</f>
        <v>0</v>
      </c>
      <c r="I459">
        <f>0.44*$I$355</f>
        <v>0</v>
      </c>
      <c r="J459">
        <f>-18.885*$J$355</f>
        <v>0</v>
      </c>
      <c r="K459">
        <f>25.18*$K$355</f>
        <v>0</v>
      </c>
      <c r="L459">
        <f>-51.167*$L$355</f>
        <v>0</v>
      </c>
      <c r="M459">
        <f>0+D459+E459+G459+H459+I459+J459+K459+L459</f>
        <v>0</v>
      </c>
      <c r="N459">
        <f>0+D459+F459+G459+H459+I459+J459+K459+L459</f>
        <v>0</v>
      </c>
    </row>
    <row r="460" spans="3:14">
      <c r="C460" t="s">
        <v>67</v>
      </c>
      <c r="D460">
        <f>1.66*$D$355</f>
        <v>0</v>
      </c>
      <c r="E460">
        <f>29.535*$E$355</f>
        <v>0</v>
      </c>
      <c r="F460">
        <f>-30.825*$F$355</f>
        <v>0</v>
      </c>
      <c r="G460">
        <f>-1.382*$G$355</f>
        <v>0</v>
      </c>
      <c r="H460">
        <f>0*$H$355</f>
        <v>0</v>
      </c>
      <c r="I460">
        <f>0.32*$I$355</f>
        <v>0</v>
      </c>
      <c r="J460">
        <f>-66.73*$J$355</f>
        <v>0</v>
      </c>
      <c r="K460">
        <f>88.973*$K$355</f>
        <v>0</v>
      </c>
      <c r="L460">
        <f>-51.325*$L$355</f>
        <v>0</v>
      </c>
      <c r="M460">
        <f>0+D460+E460+G460+H460+I460+J460+K460+L460</f>
        <v>0</v>
      </c>
      <c r="N460">
        <f>0+D460+F460+G460+H460+I460+J460+K460+L460</f>
        <v>0</v>
      </c>
    </row>
    <row r="461" spans="3:14">
      <c r="C461" t="s">
        <v>67</v>
      </c>
      <c r="D461">
        <f>1.419*$D$355</f>
        <v>0</v>
      </c>
      <c r="E461">
        <f>29.078*$E$355</f>
        <v>0</v>
      </c>
      <c r="F461">
        <f>-30.37*$F$355</f>
        <v>0</v>
      </c>
      <c r="G461">
        <f>-0.506*$G$355</f>
        <v>0</v>
      </c>
      <c r="H461">
        <f>0*$H$355</f>
        <v>0</v>
      </c>
      <c r="I461">
        <f>0.233*$I$355</f>
        <v>0</v>
      </c>
      <c r="J461">
        <f>-116.237*$J$355</f>
        <v>0</v>
      </c>
      <c r="K461">
        <f>154.983*$K$355</f>
        <v>0</v>
      </c>
      <c r="L461">
        <f>-48.951*$L$355</f>
        <v>0</v>
      </c>
      <c r="M461">
        <f>0+D461+E461+G461+H461+I461+J461+K461+L461</f>
        <v>0</v>
      </c>
      <c r="N461">
        <f>0+D461+F461+G461+H461+I461+J461+K461+L461</f>
        <v>0</v>
      </c>
    </row>
    <row r="462" spans="3:14">
      <c r="C462" t="s">
        <v>68</v>
      </c>
      <c r="D462">
        <f>1.314*$D$355</f>
        <v>0</v>
      </c>
      <c r="E462">
        <f>30.247*$E$355</f>
        <v>0</v>
      </c>
      <c r="F462">
        <f>-30.691*$F$355</f>
        <v>0</v>
      </c>
      <c r="G462">
        <f>0.294*$G$355</f>
        <v>0</v>
      </c>
      <c r="H462">
        <f>0*$H$355</f>
        <v>0</v>
      </c>
      <c r="I462">
        <f>0.147*$I$355</f>
        <v>0</v>
      </c>
      <c r="J462">
        <f>-168.907*$J$355</f>
        <v>0</v>
      </c>
      <c r="K462">
        <f>225.21*$K$355</f>
        <v>0</v>
      </c>
      <c r="L462">
        <f>-44.18*$L$355</f>
        <v>0</v>
      </c>
      <c r="M462">
        <f>0+D462+E462+G462+H462+I462+J462+K462+L462</f>
        <v>0</v>
      </c>
      <c r="N462">
        <f>0+D462+F462+G462+H462+I462+J462+K462+L462</f>
        <v>0</v>
      </c>
    </row>
    <row r="463" spans="3:14">
      <c r="C463" t="s">
        <v>68</v>
      </c>
      <c r="D463">
        <f>1.428*$D$355</f>
        <v>0</v>
      </c>
      <c r="E463">
        <f>35.126*$E$355</f>
        <v>0</v>
      </c>
      <c r="F463">
        <f>-38.921*$F$355</f>
        <v>0</v>
      </c>
      <c r="G463">
        <f>0.02*$G$355</f>
        <v>0</v>
      </c>
      <c r="H463">
        <f>0*$H$355</f>
        <v>0</v>
      </c>
      <c r="I463">
        <f>0.136*$I$355</f>
        <v>0</v>
      </c>
      <c r="J463">
        <f>-228.043*$J$355</f>
        <v>0</v>
      </c>
      <c r="K463">
        <f>304.057*$K$355</f>
        <v>0</v>
      </c>
      <c r="L463">
        <f>-35.358*$L$355</f>
        <v>0</v>
      </c>
      <c r="M463">
        <f>0+D463+E463+G463+H463+I463+J463+K463+L463</f>
        <v>0</v>
      </c>
      <c r="N463">
        <f>0+D463+F463+G463+H463+I463+J463+K463+L463</f>
        <v>0</v>
      </c>
    </row>
    <row r="464" spans="3:14">
      <c r="C464" t="s">
        <v>69</v>
      </c>
      <c r="D464">
        <f>2.135*$D$355</f>
        <v>0</v>
      </c>
      <c r="E464">
        <f>48.635*$E$355</f>
        <v>0</v>
      </c>
      <c r="F464">
        <f>-40.917*$F$355</f>
        <v>0</v>
      </c>
      <c r="G464">
        <f>-1.408*$G$355</f>
        <v>0</v>
      </c>
      <c r="H464">
        <f>0*$H$355</f>
        <v>0</v>
      </c>
      <c r="I464">
        <f>0.234*$I$355</f>
        <v>0</v>
      </c>
      <c r="J464">
        <f>-290.103*$J$355</f>
        <v>0</v>
      </c>
      <c r="K464">
        <f>386.804*$K$355</f>
        <v>0</v>
      </c>
      <c r="L464">
        <f>-16.436*$L$355</f>
        <v>0</v>
      </c>
      <c r="M464">
        <f>0+D464+E464+G464+H464+I464+J464+K464+L464</f>
        <v>0</v>
      </c>
      <c r="N464">
        <f>0+D464+F464+G464+H464+I464+J464+K464+L464</f>
        <v>0</v>
      </c>
    </row>
    <row r="469" spans="3:14">
      <c r="C469" t="s">
        <v>73</v>
      </c>
    </row>
    <row r="471" spans="3:14">
      <c r="C471" t="s">
        <v>2</v>
      </c>
    </row>
    <row r="472" spans="3:14">
      <c r="C472" t="s">
        <v>3</v>
      </c>
      <c r="D472" t="s">
        <v>4</v>
      </c>
      <c r="E472" t="s">
        <v>5</v>
      </c>
      <c r="F472" t="s">
        <v>6</v>
      </c>
      <c r="G472" t="s">
        <v>7</v>
      </c>
      <c r="H472" t="s">
        <v>8</v>
      </c>
      <c r="I472" t="s">
        <v>9</v>
      </c>
      <c r="J472" t="s">
        <v>10</v>
      </c>
      <c r="K472" t="s">
        <v>11</v>
      </c>
      <c r="L472" t="s">
        <v>12</v>
      </c>
      <c r="M472" t="s">
        <v>13</v>
      </c>
      <c r="N472" t="s">
        <v>14</v>
      </c>
    </row>
    <row r="473" spans="3:14">
      <c r="C473" t="s">
        <v>78</v>
      </c>
      <c r="D473">
        <f>-48.223*$D$471</f>
        <v>0</v>
      </c>
      <c r="E473">
        <f>164.467*$E$471</f>
        <v>0</v>
      </c>
      <c r="F473">
        <f>-252.771*$F$471</f>
        <v>0</v>
      </c>
      <c r="G473">
        <f>22.498*$G$471</f>
        <v>0</v>
      </c>
      <c r="H473">
        <f>0*$H$471</f>
        <v>0</v>
      </c>
      <c r="I473">
        <f>-8.831*$I$471</f>
        <v>0</v>
      </c>
      <c r="J473">
        <f>91.81*$J$471</f>
        <v>0</v>
      </c>
      <c r="K473">
        <f>-122.413*$K$471</f>
        <v>0</v>
      </c>
      <c r="L473">
        <f>0.06*$L$471</f>
        <v>0</v>
      </c>
      <c r="M473">
        <f>0+D473+E473+G473+H473+I473+J473+K473+L473</f>
        <v>0</v>
      </c>
      <c r="N473">
        <f>0+D473+F473+G473+H473+I473+J473+K473+L473</f>
        <v>0</v>
      </c>
    </row>
    <row r="474" spans="3:14">
      <c r="C474" t="s">
        <v>16</v>
      </c>
      <c r="D474">
        <f>-50.455*$D$471</f>
        <v>0</v>
      </c>
      <c r="E474">
        <f>160.907*$E$471</f>
        <v>0</v>
      </c>
      <c r="F474">
        <f>-251.649*$F$471</f>
        <v>0</v>
      </c>
      <c r="G474">
        <f>21.354*$G$471</f>
        <v>0</v>
      </c>
      <c r="H474">
        <f>0*$H$471</f>
        <v>0</v>
      </c>
      <c r="I474">
        <f>-9.078*$I$471</f>
        <v>0</v>
      </c>
      <c r="J474">
        <f>38.733*$J$471</f>
        <v>0</v>
      </c>
      <c r="K474">
        <f>-51.644*$K$471</f>
        <v>0</v>
      </c>
      <c r="L474">
        <f>0.058*$L$471</f>
        <v>0</v>
      </c>
      <c r="M474">
        <f>0+D474+E474+G474+H474+I474+J474+K474+L474</f>
        <v>0</v>
      </c>
      <c r="N474">
        <f>0+D474+F474+G474+H474+I474+J474+K474+L474</f>
        <v>0</v>
      </c>
    </row>
    <row r="475" spans="3:14">
      <c r="C475" t="s">
        <v>16</v>
      </c>
      <c r="D475">
        <f>-86.424*$D$471</f>
        <v>0</v>
      </c>
      <c r="E475">
        <f>135.686*$E$471</f>
        <v>0</v>
      </c>
      <c r="F475">
        <f>-282.871*$F$471</f>
        <v>0</v>
      </c>
      <c r="G475">
        <f>16.16*$G$471</f>
        <v>0</v>
      </c>
      <c r="H475">
        <f>0*$H$471</f>
        <v>0</v>
      </c>
      <c r="I475">
        <f>-14.117*$I$471</f>
        <v>0</v>
      </c>
      <c r="J475">
        <f>-39.059*$J$471</f>
        <v>0</v>
      </c>
      <c r="K475">
        <f>52.079*$K$471</f>
        <v>0</v>
      </c>
      <c r="L475">
        <f>0.056*$L$471</f>
        <v>0</v>
      </c>
      <c r="M475">
        <f>0+D475+E475+G475+H475+I475+J475+K475+L475</f>
        <v>0</v>
      </c>
      <c r="N475">
        <f>0+D475+F475+G475+H475+I475+J475+K475+L475</f>
        <v>0</v>
      </c>
    </row>
    <row r="476" spans="3:14">
      <c r="C476" t="s">
        <v>17</v>
      </c>
      <c r="D476">
        <f>-94.166*$D$471</f>
        <v>0</v>
      </c>
      <c r="E476">
        <f>127.509*$E$471</f>
        <v>0</v>
      </c>
      <c r="F476">
        <f>-283.877*$F$471</f>
        <v>0</v>
      </c>
      <c r="G476">
        <f>13.798*$G$471</f>
        <v>0</v>
      </c>
      <c r="H476">
        <f>0*$H$471</f>
        <v>0</v>
      </c>
      <c r="I476">
        <f>-15.108*$I$471</f>
        <v>0</v>
      </c>
      <c r="J476">
        <f>-108.361*$J$471</f>
        <v>0</v>
      </c>
      <c r="K476">
        <f>144.481*$K$471</f>
        <v>0</v>
      </c>
      <c r="L476">
        <f>0.054*$L$471</f>
        <v>0</v>
      </c>
      <c r="M476">
        <f>0+D476+E476+G476+H476+I476+J476+K476+L476</f>
        <v>0</v>
      </c>
      <c r="N476">
        <f>0+D476+F476+G476+H476+I476+J476+K476+L476</f>
        <v>0</v>
      </c>
    </row>
    <row r="477" spans="3:14">
      <c r="C477" t="s">
        <v>17</v>
      </c>
      <c r="D477">
        <f>-134.822*$D$471</f>
        <v>0</v>
      </c>
      <c r="E477">
        <f>107.959*$E$471</f>
        <v>0</v>
      </c>
      <c r="F477">
        <f>-323.472*$F$471</f>
        <v>0</v>
      </c>
      <c r="G477">
        <f>7.364*$G$471</f>
        <v>0</v>
      </c>
      <c r="H477">
        <f>0*$H$471</f>
        <v>0</v>
      </c>
      <c r="I477">
        <f>-20.766*$I$471</f>
        <v>0</v>
      </c>
      <c r="J477">
        <f>-149.413*$J$471</f>
        <v>0</v>
      </c>
      <c r="K477">
        <f>199.217*$K$471</f>
        <v>0</v>
      </c>
      <c r="L477">
        <f>0.052*$L$471</f>
        <v>0</v>
      </c>
      <c r="M477">
        <f>0+D477+E477+G477+H477+I477+J477+K477+L477</f>
        <v>0</v>
      </c>
      <c r="N477">
        <f>0+D477+F477+G477+H477+I477+J477+K477+L477</f>
        <v>0</v>
      </c>
    </row>
    <row r="478" spans="3:14">
      <c r="C478" t="s">
        <v>18</v>
      </c>
      <c r="D478">
        <f>-143.742*$D$471</f>
        <v>0</v>
      </c>
      <c r="E478">
        <f>99.435*$E$471</f>
        <v>0</v>
      </c>
      <c r="F478">
        <f>-323.073*$F$471</f>
        <v>0</v>
      </c>
      <c r="G478">
        <f>3.5*$G$471</f>
        <v>0</v>
      </c>
      <c r="H478">
        <f>0*$H$471</f>
        <v>0</v>
      </c>
      <c r="I478">
        <f>-21.839*$I$471</f>
        <v>0</v>
      </c>
      <c r="J478">
        <f>-175.19*$J$471</f>
        <v>0</v>
      </c>
      <c r="K478">
        <f>233.587*$K$471</f>
        <v>0</v>
      </c>
      <c r="L478">
        <f>0.05*$L$471</f>
        <v>0</v>
      </c>
      <c r="M478">
        <f>0+D478+E478+G478+H478+I478+J478+K478+L478</f>
        <v>0</v>
      </c>
      <c r="N478">
        <f>0+D478+F478+G478+H478+I478+J478+K478+L478</f>
        <v>0</v>
      </c>
    </row>
    <row r="479" spans="3:14">
      <c r="C479" t="s">
        <v>18</v>
      </c>
      <c r="D479">
        <f>-193.016*$D$471</f>
        <v>0</v>
      </c>
      <c r="E479">
        <f>81.181*$E$471</f>
        <v>0</v>
      </c>
      <c r="F479">
        <f>-371.391*$F$471</f>
        <v>0</v>
      </c>
      <c r="G479">
        <f>-4.572*$G$471</f>
        <v>0</v>
      </c>
      <c r="H479">
        <f>0*$H$471</f>
        <v>0</v>
      </c>
      <c r="I479">
        <f>-28.633*$I$471</f>
        <v>0</v>
      </c>
      <c r="J479">
        <f>-178.344*$J$471</f>
        <v>0</v>
      </c>
      <c r="K479">
        <f>237.792*$K$471</f>
        <v>0</v>
      </c>
      <c r="L479">
        <f>0.05*$L$471</f>
        <v>0</v>
      </c>
      <c r="M479">
        <f>0+D479+E479+G479+H479+I479+J479+K479+L479</f>
        <v>0</v>
      </c>
      <c r="N479">
        <f>0+D479+F479+G479+H479+I479+J479+K479+L479</f>
        <v>0</v>
      </c>
    </row>
    <row r="480" spans="3:14">
      <c r="C480" t="s">
        <v>19</v>
      </c>
      <c r="D480">
        <f>-201.493*$D$471</f>
        <v>0</v>
      </c>
      <c r="E480">
        <f>71.873*$E$471</f>
        <v>0</v>
      </c>
      <c r="F480">
        <f>-368.06*$F$471</f>
        <v>0</v>
      </c>
      <c r="G480">
        <f>-9.596*$G$471</f>
        <v>0</v>
      </c>
      <c r="H480">
        <f>0*$H$471</f>
        <v>0</v>
      </c>
      <c r="I480">
        <f>-29.564*$I$471</f>
        <v>0</v>
      </c>
      <c r="J480">
        <f>-171.893*$J$471</f>
        <v>0</v>
      </c>
      <c r="K480">
        <f>229.191*$K$471</f>
        <v>0</v>
      </c>
      <c r="L480">
        <f>0.048*$L$471</f>
        <v>0</v>
      </c>
      <c r="M480">
        <f>0+D480+E480+G480+H480+I480+J480+K480+L480</f>
        <v>0</v>
      </c>
      <c r="N480">
        <f>0+D480+F480+G480+H480+I480+J480+K480+L480</f>
        <v>0</v>
      </c>
    </row>
    <row r="481" spans="3:14">
      <c r="C481" t="s">
        <v>19</v>
      </c>
      <c r="D481">
        <f>-249.51*$D$471</f>
        <v>0</v>
      </c>
      <c r="E481">
        <f>55.071*$E$471</f>
        <v>0</v>
      </c>
      <c r="F481">
        <f>-410.22*$F$471</f>
        <v>0</v>
      </c>
      <c r="G481">
        <f>-18.219*$G$471</f>
        <v>0</v>
      </c>
      <c r="H481">
        <f>0*$H$471</f>
        <v>0</v>
      </c>
      <c r="I481">
        <f>-36.089*$I$471</f>
        <v>0</v>
      </c>
      <c r="J481">
        <f>-159.081*$J$471</f>
        <v>0</v>
      </c>
      <c r="K481">
        <f>212.108*$K$471</f>
        <v>0</v>
      </c>
      <c r="L481">
        <f>0.047*$L$471</f>
        <v>0</v>
      </c>
      <c r="M481">
        <f>0+D481+E481+G481+H481+I481+J481+K481+L481</f>
        <v>0</v>
      </c>
      <c r="N481">
        <f>0+D481+F481+G481+H481+I481+J481+K481+L481</f>
        <v>0</v>
      </c>
    </row>
    <row r="482" spans="3:14">
      <c r="C482" t="s">
        <v>20</v>
      </c>
      <c r="D482">
        <f>-257.842*$D$471</f>
        <v>0</v>
      </c>
      <c r="E482">
        <f>48.794*$E$471</f>
        <v>0</v>
      </c>
      <c r="F482">
        <f>-411.083*$F$471</f>
        <v>0</v>
      </c>
      <c r="G482">
        <f>-22.214*$G$471</f>
        <v>0</v>
      </c>
      <c r="H482">
        <f>0*$H$471</f>
        <v>0</v>
      </c>
      <c r="I482">
        <f>-37.069*$I$471</f>
        <v>0</v>
      </c>
      <c r="J482">
        <f>-156.885*$J$471</f>
        <v>0</v>
      </c>
      <c r="K482">
        <f>209.18*$K$471</f>
        <v>0</v>
      </c>
      <c r="L482">
        <f>0.045*$L$471</f>
        <v>0</v>
      </c>
      <c r="M482">
        <f>0+D482+E482+G482+H482+I482+J482+K482+L482</f>
        <v>0</v>
      </c>
      <c r="N482">
        <f>0+D482+F482+G482+H482+I482+J482+K482+L482</f>
        <v>0</v>
      </c>
    </row>
    <row r="483" spans="3:14">
      <c r="C483" t="s">
        <v>20</v>
      </c>
      <c r="D483">
        <f>-283.84*$D$471</f>
        <v>0</v>
      </c>
      <c r="E483">
        <f>42.587*$E$471</f>
        <v>0</v>
      </c>
      <c r="F483">
        <f>-437.149*$F$471</f>
        <v>0</v>
      </c>
      <c r="G483">
        <f>-26.109*$G$471</f>
        <v>0</v>
      </c>
      <c r="H483">
        <f>0*$H$471</f>
        <v>0</v>
      </c>
      <c r="I483">
        <f>-40.717*$I$471</f>
        <v>0</v>
      </c>
      <c r="J483">
        <f>-158.125*$J$471</f>
        <v>0</v>
      </c>
      <c r="K483">
        <f>210.833*$K$471</f>
        <v>0</v>
      </c>
      <c r="L483">
        <f>0.044*$L$471</f>
        <v>0</v>
      </c>
      <c r="M483">
        <f>0+D483+E483+G483+H483+I483+J483+K483+L483</f>
        <v>0</v>
      </c>
      <c r="N483">
        <f>0+D483+F483+G483+H483+I483+J483+K483+L483</f>
        <v>0</v>
      </c>
    </row>
    <row r="484" spans="3:14">
      <c r="C484" t="s">
        <v>21</v>
      </c>
      <c r="D484">
        <f>-291.858*$D$471</f>
        <v>0</v>
      </c>
      <c r="E484">
        <f>38.884*$E$471</f>
        <v>0</v>
      </c>
      <c r="F484">
        <f>-443.915*$F$471</f>
        <v>0</v>
      </c>
      <c r="G484">
        <f>-27.69*$G$471</f>
        <v>0</v>
      </c>
      <c r="H484">
        <f>0*$H$471</f>
        <v>0</v>
      </c>
      <c r="I484">
        <f>-41.829*$I$471</f>
        <v>0</v>
      </c>
      <c r="J484">
        <f>-174.943*$J$471</f>
        <v>0</v>
      </c>
      <c r="K484">
        <f>233.257*$K$471</f>
        <v>0</v>
      </c>
      <c r="L484">
        <f>0.042*$L$471</f>
        <v>0</v>
      </c>
      <c r="M484">
        <f>0+D484+E484+G484+H484+I484+J484+K484+L484</f>
        <v>0</v>
      </c>
      <c r="N484">
        <f>0+D484+F484+G484+H484+I484+J484+K484+L484</f>
        <v>0</v>
      </c>
    </row>
    <row r="485" spans="3:14">
      <c r="C485" t="s">
        <v>21</v>
      </c>
      <c r="D485">
        <f>-317.721*$D$471</f>
        <v>0</v>
      </c>
      <c r="E485">
        <f>34.571*$E$471</f>
        <v>0</v>
      </c>
      <c r="F485">
        <f>-477.163*$F$471</f>
        <v>0</v>
      </c>
      <c r="G485">
        <f>-30.228*$G$471</f>
        <v>0</v>
      </c>
      <c r="H485">
        <f>0*$H$471</f>
        <v>0</v>
      </c>
      <c r="I485">
        <f>-45.573*$I$471</f>
        <v>0</v>
      </c>
      <c r="J485">
        <f>-200.181*$J$471</f>
        <v>0</v>
      </c>
      <c r="K485">
        <f>266.908*$K$471</f>
        <v>0</v>
      </c>
      <c r="L485">
        <f>0.041*$L$471</f>
        <v>0</v>
      </c>
      <c r="M485">
        <f>0+D485+E485+G485+H485+I485+J485+K485+L485</f>
        <v>0</v>
      </c>
      <c r="N485">
        <f>0+D485+F485+G485+H485+I485+J485+K485+L485</f>
        <v>0</v>
      </c>
    </row>
    <row r="486" spans="3:14">
      <c r="C486" t="s">
        <v>22</v>
      </c>
      <c r="D486">
        <f>-324.389*$D$471</f>
        <v>0</v>
      </c>
      <c r="E486">
        <f>32.842*$E$471</f>
        <v>0</v>
      </c>
      <c r="F486">
        <f>-483.886*$F$471</f>
        <v>0</v>
      </c>
      <c r="G486">
        <f>-30.53*$G$471</f>
        <v>0</v>
      </c>
      <c r="H486">
        <f>0*$H$471</f>
        <v>0</v>
      </c>
      <c r="I486">
        <f>-46.567*$I$471</f>
        <v>0</v>
      </c>
      <c r="J486">
        <f>-223.567*$J$471</f>
        <v>0</v>
      </c>
      <c r="K486">
        <f>298.089*$K$471</f>
        <v>0</v>
      </c>
      <c r="L486">
        <f>0.04*$L$471</f>
        <v>0</v>
      </c>
      <c r="M486">
        <f>0+D486+E486+G486+H486+I486+J486+K486+L486</f>
        <v>0</v>
      </c>
      <c r="N486">
        <f>0+D486+F486+G486+H486+I486+J486+K486+L486</f>
        <v>0</v>
      </c>
    </row>
    <row r="487" spans="3:14">
      <c r="C487" t="s">
        <v>22</v>
      </c>
      <c r="D487">
        <f>-348.512*$D$471</f>
        <v>0</v>
      </c>
      <c r="E487">
        <f>31.128*$E$471</f>
        <v>0</v>
      </c>
      <c r="F487">
        <f>-512.067*$F$471</f>
        <v>0</v>
      </c>
      <c r="G487">
        <f>-33.383*$G$471</f>
        <v>0</v>
      </c>
      <c r="H487">
        <f>0*$H$471</f>
        <v>0</v>
      </c>
      <c r="I487">
        <f>-50.034*$I$471</f>
        <v>0</v>
      </c>
      <c r="J487">
        <f>-237.596*$J$471</f>
        <v>0</v>
      </c>
      <c r="K487">
        <f>316.795*$K$471</f>
        <v>0</v>
      </c>
      <c r="L487">
        <f>0.04*$L$471</f>
        <v>0</v>
      </c>
      <c r="M487">
        <f>0+D487+E487+G487+H487+I487+J487+K487+L487</f>
        <v>0</v>
      </c>
      <c r="N487">
        <f>0+D487+F487+G487+H487+I487+J487+K487+L487</f>
        <v>0</v>
      </c>
    </row>
    <row r="488" spans="3:14">
      <c r="C488" t="s">
        <v>23</v>
      </c>
      <c r="D488">
        <f>-351.676*$D$471</f>
        <v>0</v>
      </c>
      <c r="E488">
        <f>30.319*$E$471</f>
        <v>0</v>
      </c>
      <c r="F488">
        <f>-513.108*$F$471</f>
        <v>0</v>
      </c>
      <c r="G488">
        <f>-34.972*$G$471</f>
        <v>0</v>
      </c>
      <c r="H488">
        <f>0*$H$471</f>
        <v>0</v>
      </c>
      <c r="I488">
        <f>-50.414*$I$471</f>
        <v>0</v>
      </c>
      <c r="J488">
        <f>-243.458*$J$471</f>
        <v>0</v>
      </c>
      <c r="K488">
        <f>324.611*$K$471</f>
        <v>0</v>
      </c>
      <c r="L488">
        <f>0.038*$L$471</f>
        <v>0</v>
      </c>
      <c r="M488">
        <f>0+D488+E488+G488+H488+I488+J488+K488+L488</f>
        <v>0</v>
      </c>
      <c r="N488">
        <f>0+D488+F488+G488+H488+I488+J488+K488+L488</f>
        <v>0</v>
      </c>
    </row>
    <row r="489" spans="3:14">
      <c r="C489" t="s">
        <v>23</v>
      </c>
      <c r="D489">
        <f>-358.92*$D$471</f>
        <v>0</v>
      </c>
      <c r="E489">
        <f>28.527*$E$471</f>
        <v>0</v>
      </c>
      <c r="F489">
        <f>-516.322*$F$471</f>
        <v>0</v>
      </c>
      <c r="G489">
        <f>-37.838*$G$471</f>
        <v>0</v>
      </c>
      <c r="H489">
        <f>0*$H$471</f>
        <v>0</v>
      </c>
      <c r="I489">
        <f>-51.271*$I$471</f>
        <v>0</v>
      </c>
      <c r="J489">
        <f>-241.91*$J$471</f>
        <v>0</v>
      </c>
      <c r="K489">
        <f>322.547*$K$471</f>
        <v>0</v>
      </c>
      <c r="L489">
        <f>0.038*$L$471</f>
        <v>0</v>
      </c>
      <c r="M489">
        <f>0+D489+E489+G489+H489+I489+J489+K489+L489</f>
        <v>0</v>
      </c>
      <c r="N489">
        <f>0+D489+F489+G489+H489+I489+J489+K489+L489</f>
        <v>0</v>
      </c>
    </row>
    <row r="490" spans="3:14">
      <c r="C490" t="s">
        <v>24</v>
      </c>
      <c r="D490">
        <f>-358.413*$D$471</f>
        <v>0</v>
      </c>
      <c r="E490">
        <f>24.882*$E$471</f>
        <v>0</v>
      </c>
      <c r="F490">
        <f>-510.491*$F$471</f>
        <v>0</v>
      </c>
      <c r="G490">
        <f>-40.916*$G$471</f>
        <v>0</v>
      </c>
      <c r="H490">
        <f>0*$H$471</f>
        <v>0</v>
      </c>
      <c r="I490">
        <f>-50.998*$I$471</f>
        <v>0</v>
      </c>
      <c r="J490">
        <f>-232.309*$J$471</f>
        <v>0</v>
      </c>
      <c r="K490">
        <f>309.745*$K$471</f>
        <v>0</v>
      </c>
      <c r="L490">
        <f>0.037*$L$471</f>
        <v>0</v>
      </c>
      <c r="M490">
        <f>0+D490+E490+G490+H490+I490+J490+K490+L490</f>
        <v>0</v>
      </c>
      <c r="N490">
        <f>0+D490+F490+G490+H490+I490+J490+K490+L490</f>
        <v>0</v>
      </c>
    </row>
    <row r="491" spans="3:14">
      <c r="C491" t="s">
        <v>24</v>
      </c>
      <c r="D491">
        <f>-361.326*$D$471</f>
        <v>0</v>
      </c>
      <c r="E491">
        <f>24.55*$E$471</f>
        <v>0</v>
      </c>
      <c r="F491">
        <f>-511.079*$F$471</f>
        <v>0</v>
      </c>
      <c r="G491">
        <f>-44.123*$G$471</f>
        <v>0</v>
      </c>
      <c r="H491">
        <f>0*$H$471</f>
        <v>0</v>
      </c>
      <c r="I491">
        <f>-51.186*$I$471</f>
        <v>0</v>
      </c>
      <c r="J491">
        <f>-221.68*$J$471</f>
        <v>0</v>
      </c>
      <c r="K491">
        <f>295.574*$K$471</f>
        <v>0</v>
      </c>
      <c r="L491">
        <f>0.037*$L$471</f>
        <v>0</v>
      </c>
      <c r="M491">
        <f>0+D491+E491+G491+H491+I491+J491+K491+L491</f>
        <v>0</v>
      </c>
      <c r="N491">
        <f>0+D491+F491+G491+H491+I491+J491+K491+L491</f>
        <v>0</v>
      </c>
    </row>
    <row r="492" spans="3:14">
      <c r="C492" t="s">
        <v>25</v>
      </c>
      <c r="D492">
        <f>-359.359*$D$471</f>
        <v>0</v>
      </c>
      <c r="E492">
        <f>23.946*$E$471</f>
        <v>0</v>
      </c>
      <c r="F492">
        <f>-505.942*$F$471</f>
        <v>0</v>
      </c>
      <c r="G492">
        <f>-45.753*$G$471</f>
        <v>0</v>
      </c>
      <c r="H492">
        <f>0*$H$471</f>
        <v>0</v>
      </c>
      <c r="I492">
        <f>-50.789*$I$471</f>
        <v>0</v>
      </c>
      <c r="J492">
        <f>-216.958*$J$471</f>
        <v>0</v>
      </c>
      <c r="K492">
        <f>289.277*$K$471</f>
        <v>0</v>
      </c>
      <c r="L492">
        <f>0.036*$L$471</f>
        <v>0</v>
      </c>
      <c r="M492">
        <f>0+D492+E492+G492+H492+I492+J492+K492+L492</f>
        <v>0</v>
      </c>
      <c r="N492">
        <f>0+D492+F492+G492+H492+I492+J492+K492+L492</f>
        <v>0</v>
      </c>
    </row>
    <row r="493" spans="3:14">
      <c r="C493" t="s">
        <v>25</v>
      </c>
      <c r="D493">
        <f>-355.328*$D$471</f>
        <v>0</v>
      </c>
      <c r="E493">
        <f>25.795*$E$471</f>
        <v>0</v>
      </c>
      <c r="F493">
        <f>-498.817*$F$471</f>
        <v>0</v>
      </c>
      <c r="G493">
        <f>-45.598*$G$471</f>
        <v>0</v>
      </c>
      <c r="H493">
        <f>0*$H$471</f>
        <v>0</v>
      </c>
      <c r="I493">
        <f>-50.211*$I$471</f>
        <v>0</v>
      </c>
      <c r="J493">
        <f>-218.295*$J$471</f>
        <v>0</v>
      </c>
      <c r="K493">
        <f>291.06*$K$471</f>
        <v>0</v>
      </c>
      <c r="L493">
        <f>0.035*$L$471</f>
        <v>0</v>
      </c>
      <c r="M493">
        <f>0+D493+E493+G493+H493+I493+J493+K493+L493</f>
        <v>0</v>
      </c>
      <c r="N493">
        <f>0+D493+F493+G493+H493+I493+J493+K493+L493</f>
        <v>0</v>
      </c>
    </row>
    <row r="494" spans="3:14">
      <c r="C494" t="s">
        <v>26</v>
      </c>
      <c r="D494">
        <f>-352.592*$D$471</f>
        <v>0</v>
      </c>
      <c r="E494">
        <f>26.406*$E$471</f>
        <v>0</v>
      </c>
      <c r="F494">
        <f>-497.406*$F$471</f>
        <v>0</v>
      </c>
      <c r="G494">
        <f>-44.199*$G$471</f>
        <v>0</v>
      </c>
      <c r="H494">
        <f>0*$H$471</f>
        <v>0</v>
      </c>
      <c r="I494">
        <f>-49.918*$I$471</f>
        <v>0</v>
      </c>
      <c r="J494">
        <f>-227.559*$J$471</f>
        <v>0</v>
      </c>
      <c r="K494">
        <f>303.412*$K$471</f>
        <v>0</v>
      </c>
      <c r="L494">
        <f>0.035*$L$471</f>
        <v>0</v>
      </c>
      <c r="M494">
        <f>0+D494+E494+G494+H494+I494+J494+K494+L494</f>
        <v>0</v>
      </c>
      <c r="N494">
        <f>0+D494+F494+G494+H494+I494+J494+K494+L494</f>
        <v>0</v>
      </c>
    </row>
    <row r="495" spans="3:14">
      <c r="C495" t="s">
        <v>26</v>
      </c>
      <c r="D495">
        <f>-343.341*$D$471</f>
        <v>0</v>
      </c>
      <c r="E495">
        <f>27.826*$E$471</f>
        <v>0</v>
      </c>
      <c r="F495">
        <f>-487.061*$F$471</f>
        <v>0</v>
      </c>
      <c r="G495">
        <f>-41.082*$G$471</f>
        <v>0</v>
      </c>
      <c r="H495">
        <f>0*$H$471</f>
        <v>0</v>
      </c>
      <c r="I495">
        <f>-48.804*$I$471</f>
        <v>0</v>
      </c>
      <c r="J495">
        <f>-242.96*$J$471</f>
        <v>0</v>
      </c>
      <c r="K495">
        <f>323.947*$K$471</f>
        <v>0</v>
      </c>
      <c r="L495">
        <f>0.034*$L$471</f>
        <v>0</v>
      </c>
      <c r="M495">
        <f>0+D495+E495+G495+H495+I495+J495+K495+L495</f>
        <v>0</v>
      </c>
      <c r="N495">
        <f>0+D495+F495+G495+H495+I495+J495+K495+L495</f>
        <v>0</v>
      </c>
    </row>
    <row r="496" spans="3:14">
      <c r="C496" t="s">
        <v>27</v>
      </c>
      <c r="D496">
        <f>-339.241*$D$471</f>
        <v>0</v>
      </c>
      <c r="E496">
        <f>28.779*$E$471</f>
        <v>0</v>
      </c>
      <c r="F496">
        <f>-485.781*$F$471</f>
        <v>0</v>
      </c>
      <c r="G496">
        <f>-38.315*$G$471</f>
        <v>0</v>
      </c>
      <c r="H496">
        <f>0*$H$471</f>
        <v>0</v>
      </c>
      <c r="I496">
        <f>-48.396*$I$471</f>
        <v>0</v>
      </c>
      <c r="J496">
        <f>-257.694*$J$471</f>
        <v>0</v>
      </c>
      <c r="K496">
        <f>343.592*$K$471</f>
        <v>0</v>
      </c>
      <c r="L496">
        <f>0.034*$L$471</f>
        <v>0</v>
      </c>
      <c r="M496">
        <f>0+D496+E496+G496+H496+I496+J496+K496+L496</f>
        <v>0</v>
      </c>
      <c r="N496">
        <f>0+D496+F496+G496+H496+I496+J496+K496+L496</f>
        <v>0</v>
      </c>
    </row>
    <row r="497" spans="3:14">
      <c r="C497" t="s">
        <v>27</v>
      </c>
      <c r="D497">
        <f>-326.058*$D$471</f>
        <v>0</v>
      </c>
      <c r="E497">
        <f>31.639*$E$471</f>
        <v>0</v>
      </c>
      <c r="F497">
        <f>-473.396*$F$471</f>
        <v>0</v>
      </c>
      <c r="G497">
        <f>-35.749*$G$471</f>
        <v>0</v>
      </c>
      <c r="H497">
        <f>0*$H$471</f>
        <v>0</v>
      </c>
      <c r="I497">
        <f>-46.656*$I$471</f>
        <v>0</v>
      </c>
      <c r="J497">
        <f>-265.671*$J$471</f>
        <v>0</v>
      </c>
      <c r="K497">
        <f>354.228*$K$471</f>
        <v>0</v>
      </c>
      <c r="L497">
        <f>0.034*$L$471</f>
        <v>0</v>
      </c>
      <c r="M497">
        <f>0+D497+E497+G497+H497+I497+J497+K497+L497</f>
        <v>0</v>
      </c>
      <c r="N497">
        <f>0+D497+F497+G497+H497+I497+J497+K497+L497</f>
        <v>0</v>
      </c>
    </row>
    <row r="498" spans="3:14">
      <c r="C498" t="s">
        <v>28</v>
      </c>
      <c r="D498">
        <f>-319.006*$D$471</f>
        <v>0</v>
      </c>
      <c r="E498">
        <f>32.579*$E$471</f>
        <v>0</v>
      </c>
      <c r="F498">
        <f>-464.515*$F$471</f>
        <v>0</v>
      </c>
      <c r="G498">
        <f>-34.798*$G$471</f>
        <v>0</v>
      </c>
      <c r="H498">
        <f>0*$H$471</f>
        <v>0</v>
      </c>
      <c r="I498">
        <f>-45.674*$I$471</f>
        <v>0</v>
      </c>
      <c r="J498">
        <f>-267.517*$J$471</f>
        <v>0</v>
      </c>
      <c r="K498">
        <f>356.689*$K$471</f>
        <v>0</v>
      </c>
      <c r="L498">
        <f>0.034*$L$471</f>
        <v>0</v>
      </c>
      <c r="M498">
        <f>0+D498+E498+G498+H498+I498+J498+K498+L498</f>
        <v>0</v>
      </c>
      <c r="N498">
        <f>0+D498+F498+G498+H498+I498+J498+K498+L498</f>
        <v>0</v>
      </c>
    </row>
    <row r="499" spans="3:14">
      <c r="C499" t="s">
        <v>28</v>
      </c>
      <c r="D499">
        <f>-289.143*$D$471</f>
        <v>0</v>
      </c>
      <c r="E499">
        <f>33.873*$E$471</f>
        <v>0</v>
      </c>
      <c r="F499">
        <f>-424.081*$F$471</f>
        <v>0</v>
      </c>
      <c r="G499">
        <f>-32.491*$G$471</f>
        <v>0</v>
      </c>
      <c r="H499">
        <f>0*$H$471</f>
        <v>0</v>
      </c>
      <c r="I499">
        <f>-41.319*$I$471</f>
        <v>0</v>
      </c>
      <c r="J499">
        <f>-262.648*$J$471</f>
        <v>0</v>
      </c>
      <c r="K499">
        <f>350.197*$K$471</f>
        <v>0</v>
      </c>
      <c r="L499">
        <f>0.035*$L$471</f>
        <v>0</v>
      </c>
      <c r="M499">
        <f>0+D499+E499+G499+H499+I499+J499+K499+L499</f>
        <v>0</v>
      </c>
      <c r="N499">
        <f>0+D499+F499+G499+H499+I499+J499+K499+L499</f>
        <v>0</v>
      </c>
    </row>
    <row r="500" spans="3:14">
      <c r="C500" t="s">
        <v>29</v>
      </c>
      <c r="D500">
        <f>-279.865*$D$471</f>
        <v>0</v>
      </c>
      <c r="E500">
        <f>34.026*$E$471</f>
        <v>0</v>
      </c>
      <c r="F500">
        <f>-408.485*$F$471</f>
        <v>0</v>
      </c>
      <c r="G500">
        <f>-33.351*$G$471</f>
        <v>0</v>
      </c>
      <c r="H500">
        <f>0*$H$471</f>
        <v>0</v>
      </c>
      <c r="I500">
        <f>-39.868*$I$471</f>
        <v>0</v>
      </c>
      <c r="J500">
        <f>-250.953*$J$471</f>
        <v>0</v>
      </c>
      <c r="K500">
        <f>334.604*$K$471</f>
        <v>0</v>
      </c>
      <c r="L500">
        <f>0.035*$L$471</f>
        <v>0</v>
      </c>
      <c r="M500">
        <f>0+D500+E500+G500+H500+I500+J500+K500+L500</f>
        <v>0</v>
      </c>
      <c r="N500">
        <f>0+D500+F500+G500+H500+I500+J500+K500+L500</f>
        <v>0</v>
      </c>
    </row>
    <row r="501" spans="3:14">
      <c r="C501" t="s">
        <v>29</v>
      </c>
      <c r="D501">
        <f>-250.132*$D$471</f>
        <v>0</v>
      </c>
      <c r="E501">
        <f>34.585*$E$471</f>
        <v>0</v>
      </c>
      <c r="F501">
        <f>-362.36*$F$471</f>
        <v>0</v>
      </c>
      <c r="G501">
        <f>-31.916*$G$471</f>
        <v>0</v>
      </c>
      <c r="H501">
        <f>0*$H$471</f>
        <v>0</v>
      </c>
      <c r="I501">
        <f>-35.473*$I$471</f>
        <v>0</v>
      </c>
      <c r="J501">
        <f>-237.934*$J$471</f>
        <v>0</v>
      </c>
      <c r="K501">
        <f>317.246*$K$471</f>
        <v>0</v>
      </c>
      <c r="L501">
        <f>0.035*$L$471</f>
        <v>0</v>
      </c>
      <c r="M501">
        <f>0+D501+E501+G501+H501+I501+J501+K501+L501</f>
        <v>0</v>
      </c>
      <c r="N501">
        <f>0+D501+F501+G501+H501+I501+J501+K501+L501</f>
        <v>0</v>
      </c>
    </row>
    <row r="502" spans="3:14">
      <c r="C502" t="s">
        <v>30</v>
      </c>
      <c r="D502">
        <f>-239.583*$D$471</f>
        <v>0</v>
      </c>
      <c r="E502">
        <f>34.821*$E$471</f>
        <v>0</v>
      </c>
      <c r="F502">
        <f>-345.85*$F$471</f>
        <v>0</v>
      </c>
      <c r="G502">
        <f>-31.57*$G$471</f>
        <v>0</v>
      </c>
      <c r="H502">
        <f>0*$H$471</f>
        <v>0</v>
      </c>
      <c r="I502">
        <f>-33.91*$I$471</f>
        <v>0</v>
      </c>
      <c r="J502">
        <f>-232.258*$J$471</f>
        <v>0</v>
      </c>
      <c r="K502">
        <f>309.677*$K$471</f>
        <v>0</v>
      </c>
      <c r="L502">
        <f>0.034*$L$471</f>
        <v>0</v>
      </c>
      <c r="M502">
        <f>0+D502+E502+G502+H502+I502+J502+K502+L502</f>
        <v>0</v>
      </c>
      <c r="N502">
        <f>0+D502+F502+G502+H502+I502+J502+K502+L502</f>
        <v>0</v>
      </c>
    </row>
    <row r="503" spans="3:14">
      <c r="C503" t="s">
        <v>30</v>
      </c>
      <c r="D503">
        <f>-208.692*$D$471</f>
        <v>0</v>
      </c>
      <c r="E503">
        <f>37.107*$E$471</f>
        <v>0</v>
      </c>
      <c r="F503">
        <f>-305.063*$F$471</f>
        <v>0</v>
      </c>
      <c r="G503">
        <f>-28.57*$G$471</f>
        <v>0</v>
      </c>
      <c r="H503">
        <f>0*$H$471</f>
        <v>0</v>
      </c>
      <c r="I503">
        <f>-29.498*$I$471</f>
        <v>0</v>
      </c>
      <c r="J503">
        <f>-237.355*$J$471</f>
        <v>0</v>
      </c>
      <c r="K503">
        <f>316.474*$K$471</f>
        <v>0</v>
      </c>
      <c r="L503">
        <f>0.034*$L$471</f>
        <v>0</v>
      </c>
      <c r="M503">
        <f>0+D503+E503+G503+H503+I503+J503+K503+L503</f>
        <v>0</v>
      </c>
      <c r="N503">
        <f>0+D503+F503+G503+H503+I503+J503+K503+L503</f>
        <v>0</v>
      </c>
    </row>
    <row r="504" spans="3:14">
      <c r="C504" t="s">
        <v>31</v>
      </c>
      <c r="D504">
        <f>-198.081*$D$471</f>
        <v>0</v>
      </c>
      <c r="E504">
        <f>37.729*$E$471</f>
        <v>0</v>
      </c>
      <c r="F504">
        <f>-289.88*$F$471</f>
        <v>0</v>
      </c>
      <c r="G504">
        <f>-26.023*$G$471</f>
        <v>0</v>
      </c>
      <c r="H504">
        <f>0*$H$471</f>
        <v>0</v>
      </c>
      <c r="I504">
        <f>-28.101*$I$471</f>
        <v>0</v>
      </c>
      <c r="J504">
        <f>-245.01*$J$471</f>
        <v>0</v>
      </c>
      <c r="K504">
        <f>326.68*$K$471</f>
        <v>0</v>
      </c>
      <c r="L504">
        <f>0.033*$L$471</f>
        <v>0</v>
      </c>
      <c r="M504">
        <f>0+D504+E504+G504+H504+I504+J504+K504+L504</f>
        <v>0</v>
      </c>
      <c r="N504">
        <f>0+D504+F504+G504+H504+I504+J504+K504+L504</f>
        <v>0</v>
      </c>
    </row>
    <row r="505" spans="3:14">
      <c r="C505" t="s">
        <v>31</v>
      </c>
      <c r="D505">
        <f>-146.977*$D$471</f>
        <v>0</v>
      </c>
      <c r="E505">
        <f>39.161*$E$471</f>
        <v>0</v>
      </c>
      <c r="F505">
        <f>-226.019*$F$471</f>
        <v>0</v>
      </c>
      <c r="G505">
        <f>-18.528*$G$471</f>
        <v>0</v>
      </c>
      <c r="H505">
        <f>0*$H$471</f>
        <v>0</v>
      </c>
      <c r="I505">
        <f>-21.065*$I$471</f>
        <v>0</v>
      </c>
      <c r="J505">
        <f>-260.922*$J$471</f>
        <v>0</v>
      </c>
      <c r="K505">
        <f>347.896*$K$471</f>
        <v>0</v>
      </c>
      <c r="L505">
        <f>0.032*$L$471</f>
        <v>0</v>
      </c>
      <c r="M505">
        <f>0+D505+E505+G505+H505+I505+J505+K505+L505</f>
        <v>0</v>
      </c>
      <c r="N505">
        <f>0+D505+F505+G505+H505+I505+J505+K505+L505</f>
        <v>0</v>
      </c>
    </row>
    <row r="506" spans="3:14">
      <c r="C506" t="s">
        <v>32</v>
      </c>
      <c r="D506">
        <f>-136.52*$D$471</f>
        <v>0</v>
      </c>
      <c r="E506">
        <f>39.434*$E$471</f>
        <v>0</v>
      </c>
      <c r="F506">
        <f>-213.471*$F$471</f>
        <v>0</v>
      </c>
      <c r="G506">
        <f>-14.866*$G$471</f>
        <v>0</v>
      </c>
      <c r="H506">
        <f>0*$H$471</f>
        <v>0</v>
      </c>
      <c r="I506">
        <f>-19.765*$I$471</f>
        <v>0</v>
      </c>
      <c r="J506">
        <f>-274.603*$J$471</f>
        <v>0</v>
      </c>
      <c r="K506">
        <f>366.138*$K$471</f>
        <v>0</v>
      </c>
      <c r="L506">
        <f>0.03*$L$471</f>
        <v>0</v>
      </c>
      <c r="M506">
        <f>0+D506+E506+G506+H506+I506+J506+K506+L506</f>
        <v>0</v>
      </c>
      <c r="N506">
        <f>0+D506+F506+G506+H506+I506+J506+K506+L506</f>
        <v>0</v>
      </c>
    </row>
    <row r="507" spans="3:14">
      <c r="C507" t="s">
        <v>32</v>
      </c>
      <c r="D507">
        <f>-96.311*$D$471</f>
        <v>0</v>
      </c>
      <c r="E507">
        <f>38.54*$E$471</f>
        <v>0</v>
      </c>
      <c r="F507">
        <f>-159.829*$F$471</f>
        <v>0</v>
      </c>
      <c r="G507">
        <f>-9.139*$G$471</f>
        <v>0</v>
      </c>
      <c r="H507">
        <f>0*$H$471</f>
        <v>0</v>
      </c>
      <c r="I507">
        <f>-14.165*$I$471</f>
        <v>0</v>
      </c>
      <c r="J507">
        <f>-280.961*$J$471</f>
        <v>0</v>
      </c>
      <c r="K507">
        <f>374.614*$K$471</f>
        <v>0</v>
      </c>
      <c r="L507">
        <f>0.028*$L$471</f>
        <v>0</v>
      </c>
      <c r="M507">
        <f>0+D507+E507+G507+H507+I507+J507+K507+L507</f>
        <v>0</v>
      </c>
      <c r="N507">
        <f>0+D507+F507+G507+H507+I507+J507+K507+L507</f>
        <v>0</v>
      </c>
    </row>
    <row r="508" spans="3:14">
      <c r="C508" t="s">
        <v>33</v>
      </c>
      <c r="D508">
        <f>-89.168*$D$471</f>
        <v>0</v>
      </c>
      <c r="E508">
        <f>35.741*$E$471</f>
        <v>0</v>
      </c>
      <c r="F508">
        <f>-148.083*$F$471</f>
        <v>0</v>
      </c>
      <c r="G508">
        <f>-7.232*$G$471</f>
        <v>0</v>
      </c>
      <c r="H508">
        <f>0*$H$471</f>
        <v>0</v>
      </c>
      <c r="I508">
        <f>-13.207*$I$471</f>
        <v>0</v>
      </c>
      <c r="J508">
        <f>-275.888*$J$471</f>
        <v>0</v>
      </c>
      <c r="K508">
        <f>367.851*$K$471</f>
        <v>0</v>
      </c>
      <c r="L508">
        <f>0.025*$L$471</f>
        <v>0</v>
      </c>
      <c r="M508">
        <f>0+D508+E508+G508+H508+I508+J508+K508+L508</f>
        <v>0</v>
      </c>
      <c r="N508">
        <f>0+D508+F508+G508+H508+I508+J508+K508+L508</f>
        <v>0</v>
      </c>
    </row>
    <row r="509" spans="3:14">
      <c r="C509" t="s">
        <v>33</v>
      </c>
      <c r="D509">
        <f>-58.02*$D$471</f>
        <v>0</v>
      </c>
      <c r="E509">
        <f>30.852*$E$471</f>
        <v>0</v>
      </c>
      <c r="F509">
        <f>-105.51*$F$471</f>
        <v>0</v>
      </c>
      <c r="G509">
        <f>-3.419*$G$471</f>
        <v>0</v>
      </c>
      <c r="H509">
        <f>0*$H$471</f>
        <v>0</v>
      </c>
      <c r="I509">
        <f>-8.785*$I$471</f>
        <v>0</v>
      </c>
      <c r="J509">
        <f>-261.972*$J$471</f>
        <v>0</v>
      </c>
      <c r="K509">
        <f>349.296*$K$471</f>
        <v>0</v>
      </c>
      <c r="L509">
        <f>0.02*$L$471</f>
        <v>0</v>
      </c>
      <c r="M509">
        <f>0+D509+E509+G509+H509+I509+J509+K509+L509</f>
        <v>0</v>
      </c>
      <c r="N509">
        <f>0+D509+F509+G509+H509+I509+J509+K509+L509</f>
        <v>0</v>
      </c>
    </row>
    <row r="510" spans="3:14">
      <c r="C510" t="s">
        <v>34</v>
      </c>
      <c r="D510">
        <f>-57*$D$471</f>
        <v>0</v>
      </c>
      <c r="E510">
        <f>24.121*$E$471</f>
        <v>0</v>
      </c>
      <c r="F510">
        <f>-97.983*$F$471</f>
        <v>0</v>
      </c>
      <c r="G510">
        <f>-3.534*$G$471</f>
        <v>0</v>
      </c>
      <c r="H510">
        <f>0*$H$471</f>
        <v>0</v>
      </c>
      <c r="I510">
        <f>-8.561*$I$471</f>
        <v>0</v>
      </c>
      <c r="J510">
        <f>-233.431*$J$471</f>
        <v>0</v>
      </c>
      <c r="K510">
        <f>311.242*$K$471</f>
        <v>0</v>
      </c>
      <c r="L510">
        <f>0.015*$L$471</f>
        <v>0</v>
      </c>
      <c r="M510">
        <f>0+D510+E510+G510+H510+I510+J510+K510+L510</f>
        <v>0</v>
      </c>
      <c r="N510">
        <f>0+D510+F510+G510+H510+I510+J510+K510+L510</f>
        <v>0</v>
      </c>
    </row>
    <row r="511" spans="3:14">
      <c r="C511" t="s">
        <v>34</v>
      </c>
      <c r="D511">
        <f>-10.678*$D$471</f>
        <v>0</v>
      </c>
      <c r="E511">
        <f>17.263*$E$471</f>
        <v>0</v>
      </c>
      <c r="F511">
        <f>-32.531*$F$471</f>
        <v>0</v>
      </c>
      <c r="G511">
        <f>0.661*$G$471</f>
        <v>0</v>
      </c>
      <c r="H511">
        <f>0*$H$471</f>
        <v>0</v>
      </c>
      <c r="I511">
        <f>-1.798*$I$471</f>
        <v>0</v>
      </c>
      <c r="J511">
        <f>-202.831*$J$471</f>
        <v>0</v>
      </c>
      <c r="K511">
        <f>270.441*$K$471</f>
        <v>0</v>
      </c>
      <c r="L511">
        <f>0.009037*$L$471</f>
        <v>0</v>
      </c>
      <c r="M511">
        <f>0+D511+E511+G511+H511+I511+J511+K511+L511</f>
        <v>0</v>
      </c>
      <c r="N511">
        <f>0+D511+F511+G511+H511+I511+J511+K511+L511</f>
        <v>0</v>
      </c>
    </row>
    <row r="512" spans="3:14">
      <c r="C512" t="s">
        <v>35</v>
      </c>
      <c r="D512">
        <f>-13.325*$D$471</f>
        <v>0</v>
      </c>
      <c r="E512">
        <f>12.929*$E$471</f>
        <v>0</v>
      </c>
      <c r="F512">
        <f>-28.233*$F$471</f>
        <v>0</v>
      </c>
      <c r="G512">
        <f>-0.072*$G$471</f>
        <v>0</v>
      </c>
      <c r="H512">
        <f>0*$H$471</f>
        <v>0</v>
      </c>
      <c r="I512">
        <f>-2.084*$I$471</f>
        <v>0</v>
      </c>
      <c r="J512">
        <f>-175.718*$J$471</f>
        <v>0</v>
      </c>
      <c r="K512">
        <f>234.291*$K$471</f>
        <v>0</v>
      </c>
      <c r="L512">
        <f>0.003657*$L$471</f>
        <v>0</v>
      </c>
      <c r="M512">
        <f>0+D512+E512+G512+H512+I512+J512+K512+L512</f>
        <v>0</v>
      </c>
      <c r="N512">
        <f>0+D512+F512+G512+H512+I512+J512+K512+L512</f>
        <v>0</v>
      </c>
    </row>
    <row r="513" spans="3:14">
      <c r="C513" t="s">
        <v>35</v>
      </c>
      <c r="D513">
        <f>-14.273*$D$471</f>
        <v>0</v>
      </c>
      <c r="E513">
        <f>8.909*$E$471</f>
        <v>0</v>
      </c>
      <c r="F513">
        <f>-24.055*$F$471</f>
        <v>0</v>
      </c>
      <c r="G513">
        <f>-1.182*$G$471</f>
        <v>0</v>
      </c>
      <c r="H513">
        <f>0*$H$471</f>
        <v>0</v>
      </c>
      <c r="I513">
        <f>-2.11*$I$471</f>
        <v>0</v>
      </c>
      <c r="J513">
        <f>-153.088*$J$471</f>
        <v>0</v>
      </c>
      <c r="K513">
        <f>204.117*$K$471</f>
        <v>0</v>
      </c>
      <c r="L513">
        <f>0.0006652*$L$471</f>
        <v>0</v>
      </c>
      <c r="M513">
        <f>0+D513+E513+G513+H513+I513+J513+K513+L513</f>
        <v>0</v>
      </c>
      <c r="N513">
        <f>0+D513+F513+G513+H513+I513+J513+K513+L513</f>
        <v>0</v>
      </c>
    </row>
    <row r="514" spans="3:14">
      <c r="C514" t="s">
        <v>36</v>
      </c>
      <c r="D514">
        <f>-14.273*$D$471</f>
        <v>0</v>
      </c>
      <c r="E514">
        <f>8.909*$E$471</f>
        <v>0</v>
      </c>
      <c r="F514">
        <f>-24.055*$F$471</f>
        <v>0</v>
      </c>
      <c r="G514">
        <f>-1.182*$G$471</f>
        <v>0</v>
      </c>
      <c r="H514">
        <f>0*$H$471</f>
        <v>0</v>
      </c>
      <c r="I514">
        <f>-2.11*$I$471</f>
        <v>0</v>
      </c>
      <c r="J514">
        <f>-153.088*$J$471</f>
        <v>0</v>
      </c>
      <c r="K514">
        <f>204.117*$K$471</f>
        <v>0</v>
      </c>
      <c r="L514">
        <f>0.0006652*$L$471</f>
        <v>0</v>
      </c>
      <c r="M514">
        <f>0+D514+E514+G514+H514+I514+J514+K514+L514</f>
        <v>0</v>
      </c>
      <c r="N514">
        <f>0+D514+F514+G514+H514+I514+J514+K514+L514</f>
        <v>0</v>
      </c>
    </row>
    <row r="515" spans="3:14">
      <c r="C515" t="s">
        <v>36</v>
      </c>
      <c r="D515">
        <f>-11.755*$D$471</f>
        <v>0</v>
      </c>
      <c r="E515">
        <f>4.595*$E$471</f>
        <v>0</v>
      </c>
      <c r="F515">
        <f>-23.872*$F$471</f>
        <v>0</v>
      </c>
      <c r="G515">
        <f>-1.388*$G$471</f>
        <v>0</v>
      </c>
      <c r="H515">
        <f>0*$H$471</f>
        <v>0</v>
      </c>
      <c r="I515">
        <f>-1.733*$I$471</f>
        <v>0</v>
      </c>
      <c r="J515">
        <f>-156.198*$J$471</f>
        <v>0</v>
      </c>
      <c r="K515">
        <f>208.264*$K$471</f>
        <v>0</v>
      </c>
      <c r="L515">
        <f>-0.222*$L$471</f>
        <v>0</v>
      </c>
      <c r="M515">
        <f>0+D515+E515+G515+H515+I515+J515+K515+L515</f>
        <v>0</v>
      </c>
      <c r="N515">
        <f>0+D515+F515+G515+H515+I515+J515+K515+L515</f>
        <v>0</v>
      </c>
    </row>
    <row r="516" spans="3:14">
      <c r="C516" t="s">
        <v>37</v>
      </c>
      <c r="D516">
        <f>-11.755*$D$471</f>
        <v>0</v>
      </c>
      <c r="E516">
        <f>4.595*$E$471</f>
        <v>0</v>
      </c>
      <c r="F516">
        <f>-23.872*$F$471</f>
        <v>0</v>
      </c>
      <c r="G516">
        <f>-1.388*$G$471</f>
        <v>0</v>
      </c>
      <c r="H516">
        <f>0*$H$471</f>
        <v>0</v>
      </c>
      <c r="I516">
        <f>-1.733*$I$471</f>
        <v>0</v>
      </c>
      <c r="J516">
        <f>-156.198*$J$471</f>
        <v>0</v>
      </c>
      <c r="K516">
        <f>208.264*$K$471</f>
        <v>0</v>
      </c>
      <c r="L516">
        <f>-0.222*$L$471</f>
        <v>0</v>
      </c>
      <c r="M516">
        <f>0+D516+E516+G516+H516+I516+J516+K516+L516</f>
        <v>0</v>
      </c>
      <c r="N516">
        <f>0+D516+F516+G516+H516+I516+J516+K516+L516</f>
        <v>0</v>
      </c>
    </row>
    <row r="517" spans="3:14">
      <c r="C517" t="s">
        <v>37</v>
      </c>
      <c r="D517">
        <f>-30.834*$D$471</f>
        <v>0</v>
      </c>
      <c r="E517">
        <f>57.033*$E$471</f>
        <v>0</v>
      </c>
      <c r="F517">
        <f>-98.561*$F$471</f>
        <v>0</v>
      </c>
      <c r="G517">
        <f>2.195*$G$471</f>
        <v>0</v>
      </c>
      <c r="H517">
        <f>0*$H$471</f>
        <v>0</v>
      </c>
      <c r="I517">
        <f>-4.741*$I$471</f>
        <v>0</v>
      </c>
      <c r="J517">
        <f>-148.148*$J$471</f>
        <v>0</v>
      </c>
      <c r="K517">
        <f>197.531*$K$471</f>
        <v>0</v>
      </c>
      <c r="L517">
        <f>1.882*$L$471</f>
        <v>0</v>
      </c>
      <c r="M517">
        <f>0+D517+E517+G517+H517+I517+J517+K517+L517</f>
        <v>0</v>
      </c>
      <c r="N517">
        <f>0+D517+F517+G517+H517+I517+J517+K517+L517</f>
        <v>0</v>
      </c>
    </row>
    <row r="518" spans="3:14">
      <c r="C518" t="s">
        <v>38</v>
      </c>
      <c r="D518">
        <f>-27.197*$D$471</f>
        <v>0</v>
      </c>
      <c r="E518">
        <f>53.123*$E$471</f>
        <v>0</v>
      </c>
      <c r="F518">
        <f>-92.942*$F$471</f>
        <v>0</v>
      </c>
      <c r="G518">
        <f>2.892*$G$471</f>
        <v>0</v>
      </c>
      <c r="H518">
        <f>0*$H$471</f>
        <v>0</v>
      </c>
      <c r="I518">
        <f>-4.312*$I$471</f>
        <v>0</v>
      </c>
      <c r="J518">
        <f>-176.001*$J$471</f>
        <v>0</v>
      </c>
      <c r="K518">
        <f>234.668*$K$471</f>
        <v>0</v>
      </c>
      <c r="L518">
        <f>1.864*$L$471</f>
        <v>0</v>
      </c>
      <c r="M518">
        <f>0+D518+E518+G518+H518+I518+J518+K518+L518</f>
        <v>0</v>
      </c>
      <c r="N518">
        <f>0+D518+F518+G518+H518+I518+J518+K518+L518</f>
        <v>0</v>
      </c>
    </row>
    <row r="519" spans="3:14">
      <c r="C519" t="s">
        <v>38</v>
      </c>
      <c r="D519">
        <f>-70.525*$D$471</f>
        <v>0</v>
      </c>
      <c r="E519">
        <f>33.314*$E$471</f>
        <v>0</v>
      </c>
      <c r="F519">
        <f>-136.043*$F$471</f>
        <v>0</v>
      </c>
      <c r="G519">
        <f>-1.259*$G$471</f>
        <v>0</v>
      </c>
      <c r="H519">
        <f>0*$H$471</f>
        <v>0</v>
      </c>
      <c r="I519">
        <f>-10.64*$I$471</f>
        <v>0</v>
      </c>
      <c r="J519">
        <f>-208.092*$J$471</f>
        <v>0</v>
      </c>
      <c r="K519">
        <f>277.456*$K$471</f>
        <v>0</v>
      </c>
      <c r="L519">
        <f>1.774*$L$471</f>
        <v>0</v>
      </c>
      <c r="M519">
        <f>0+D519+E519+G519+H519+I519+J519+K519+L519</f>
        <v>0</v>
      </c>
      <c r="N519">
        <f>0+D519+F519+G519+H519+I519+J519+K519+L519</f>
        <v>0</v>
      </c>
    </row>
    <row r="520" spans="3:14">
      <c r="C520" t="s">
        <v>39</v>
      </c>
      <c r="D520">
        <f>-70.24*$D$471</f>
        <v>0</v>
      </c>
      <c r="E520">
        <f>32.21*$E$471</f>
        <v>0</v>
      </c>
      <c r="F520">
        <f>-134.914*$F$471</f>
        <v>0</v>
      </c>
      <c r="G520">
        <f>-1.152*$G$471</f>
        <v>0</v>
      </c>
      <c r="H520">
        <f>0*$H$471</f>
        <v>0</v>
      </c>
      <c r="I520">
        <f>-10.676*$I$471</f>
        <v>0</v>
      </c>
      <c r="J520">
        <f>-237.27*$J$471</f>
        <v>0</v>
      </c>
      <c r="K520">
        <f>316.36*$K$471</f>
        <v>0</v>
      </c>
      <c r="L520">
        <f>1.835*$L$471</f>
        <v>0</v>
      </c>
      <c r="M520">
        <f>0+D520+E520+G520+H520+I520+J520+K520+L520</f>
        <v>0</v>
      </c>
      <c r="N520">
        <f>0+D520+F520+G520+H520+I520+J520+K520+L520</f>
        <v>0</v>
      </c>
    </row>
    <row r="521" spans="3:14">
      <c r="C521" t="s">
        <v>39</v>
      </c>
      <c r="D521">
        <f>-98.957*$D$471</f>
        <v>0</v>
      </c>
      <c r="E521">
        <f>30.631*$E$471</f>
        <v>0</v>
      </c>
      <c r="F521">
        <f>-166.311*$F$471</f>
        <v>0</v>
      </c>
      <c r="G521">
        <f>-4.899*$G$471</f>
        <v>0</v>
      </c>
      <c r="H521">
        <f>0*$H$471</f>
        <v>0</v>
      </c>
      <c r="I521">
        <f>-14.749*$I$471</f>
        <v>0</v>
      </c>
      <c r="J521">
        <f>-252.028*$J$471</f>
        <v>0</v>
      </c>
      <c r="K521">
        <f>336.038*$K$471</f>
        <v>0</v>
      </c>
      <c r="L521">
        <f>1.944*$L$471</f>
        <v>0</v>
      </c>
      <c r="M521">
        <f>0+D521+E521+G521+H521+I521+J521+K521+L521</f>
        <v>0</v>
      </c>
      <c r="N521">
        <f>0+D521+F521+G521+H521+I521+J521+K521+L521</f>
        <v>0</v>
      </c>
    </row>
    <row r="522" spans="3:14">
      <c r="C522" t="s">
        <v>40</v>
      </c>
      <c r="D522">
        <f>-104.474*$D$471</f>
        <v>0</v>
      </c>
      <c r="E522">
        <f>29.678*$E$471</f>
        <v>0</v>
      </c>
      <c r="F522">
        <f>-171.208*$F$471</f>
        <v>0</v>
      </c>
      <c r="G522">
        <f>-6.803*$G$471</f>
        <v>0</v>
      </c>
      <c r="H522">
        <f>0*$H$471</f>
        <v>0</v>
      </c>
      <c r="I522">
        <f>-15.475*$I$471</f>
        <v>0</v>
      </c>
      <c r="J522">
        <f>-257.779*$J$471</f>
        <v>0</v>
      </c>
      <c r="K522">
        <f>343.705*$K$471</f>
        <v>0</v>
      </c>
      <c r="L522">
        <f>2.115*$L$471</f>
        <v>0</v>
      </c>
      <c r="M522">
        <f>0+D522+E522+G522+H522+I522+J522+K522+L522</f>
        <v>0</v>
      </c>
      <c r="N522">
        <f>0+D522+F522+G522+H522+I522+J522+K522+L522</f>
        <v>0</v>
      </c>
    </row>
    <row r="523" spans="3:14">
      <c r="C523" t="s">
        <v>40</v>
      </c>
      <c r="D523">
        <f>-142.073*$D$471</f>
        <v>0</v>
      </c>
      <c r="E523">
        <f>27.459*$E$471</f>
        <v>0</v>
      </c>
      <c r="F523">
        <f>-219.852*$F$471</f>
        <v>0</v>
      </c>
      <c r="G523">
        <f>-12.414*$G$471</f>
        <v>0</v>
      </c>
      <c r="H523">
        <f>0*$H$471</f>
        <v>0</v>
      </c>
      <c r="I523">
        <f>-20.702*$I$471</f>
        <v>0</v>
      </c>
      <c r="J523">
        <f>-251.961*$J$471</f>
        <v>0</v>
      </c>
      <c r="K523">
        <f>335.948*$K$471</f>
        <v>0</v>
      </c>
      <c r="L523">
        <f>2.341*$L$471</f>
        <v>0</v>
      </c>
      <c r="M523">
        <f>0+D523+E523+G523+H523+I523+J523+K523+L523</f>
        <v>0</v>
      </c>
      <c r="N523">
        <f>0+D523+F523+G523+H523+I523+J523+K523+L523</f>
        <v>0</v>
      </c>
    </row>
    <row r="524" spans="3:14">
      <c r="C524" t="s">
        <v>41</v>
      </c>
      <c r="D524">
        <f>-150.812*$D$471</f>
        <v>0</v>
      </c>
      <c r="E524">
        <f>25.551*$E$471</f>
        <v>0</v>
      </c>
      <c r="F524">
        <f>-225.937*$F$471</f>
        <v>0</v>
      </c>
      <c r="G524">
        <f>-16.045*$G$471</f>
        <v>0</v>
      </c>
      <c r="H524">
        <f>0*$H$471</f>
        <v>0</v>
      </c>
      <c r="I524">
        <f>-21.759*$I$471</f>
        <v>0</v>
      </c>
      <c r="J524">
        <f>-238.745*$J$471</f>
        <v>0</v>
      </c>
      <c r="K524">
        <f>318.326*$K$471</f>
        <v>0</v>
      </c>
      <c r="L524">
        <f>2.61*$L$471</f>
        <v>0</v>
      </c>
      <c r="M524">
        <f>0+D524+E524+G524+H524+I524+J524+K524+L524</f>
        <v>0</v>
      </c>
      <c r="N524">
        <f>0+D524+F524+G524+H524+I524+J524+K524+L524</f>
        <v>0</v>
      </c>
    </row>
    <row r="525" spans="3:14">
      <c r="C525" t="s">
        <v>41</v>
      </c>
      <c r="D525">
        <f>-198.895*$D$471</f>
        <v>0</v>
      </c>
      <c r="E525">
        <f>23.615*$E$471</f>
        <v>0</v>
      </c>
      <c r="F525">
        <f>-283.687*$F$471</f>
        <v>0</v>
      </c>
      <c r="G525">
        <f>-23.359*$G$471</f>
        <v>0</v>
      </c>
      <c r="H525">
        <f>0*$H$471</f>
        <v>0</v>
      </c>
      <c r="I525">
        <f>-28.363*$I$471</f>
        <v>0</v>
      </c>
      <c r="J525">
        <f>-223.208*$J$471</f>
        <v>0</v>
      </c>
      <c r="K525">
        <f>297.61*$K$471</f>
        <v>0</v>
      </c>
      <c r="L525">
        <f>2.876*$L$471</f>
        <v>0</v>
      </c>
      <c r="M525">
        <f>0+D525+E525+G525+H525+I525+J525+K525+L525</f>
        <v>0</v>
      </c>
      <c r="N525">
        <f>0+D525+F525+G525+H525+I525+J525+K525+L525</f>
        <v>0</v>
      </c>
    </row>
    <row r="526" spans="3:14">
      <c r="C526" t="s">
        <v>42</v>
      </c>
      <c r="D526">
        <f>-207.593*$D$471</f>
        <v>0</v>
      </c>
      <c r="E526">
        <f>22.394*$E$471</f>
        <v>0</v>
      </c>
      <c r="F526">
        <f>-293.208*$F$471</f>
        <v>0</v>
      </c>
      <c r="G526">
        <f>-25.892*$G$471</f>
        <v>0</v>
      </c>
      <c r="H526">
        <f>0*$H$471</f>
        <v>0</v>
      </c>
      <c r="I526">
        <f>-29.488*$I$471</f>
        <v>0</v>
      </c>
      <c r="J526">
        <f>-216.263*$J$471</f>
        <v>0</v>
      </c>
      <c r="K526">
        <f>288.351*$K$471</f>
        <v>0</v>
      </c>
      <c r="L526">
        <f>3.157*$L$471</f>
        <v>0</v>
      </c>
      <c r="M526">
        <f>0+D526+E526+G526+H526+I526+J526+K526+L526</f>
        <v>0</v>
      </c>
      <c r="N526">
        <f>0+D526+F526+G526+H526+I526+J526+K526+L526</f>
        <v>0</v>
      </c>
    </row>
    <row r="527" spans="3:14">
      <c r="C527" t="s">
        <v>42</v>
      </c>
      <c r="D527">
        <f>-235.588*$D$471</f>
        <v>0</v>
      </c>
      <c r="E527">
        <f>20.421*$E$471</f>
        <v>0</v>
      </c>
      <c r="F527">
        <f>-329.33*$F$471</f>
        <v>0</v>
      </c>
      <c r="G527">
        <f>-28.78*$G$471</f>
        <v>0</v>
      </c>
      <c r="H527">
        <f>0*$H$471</f>
        <v>0</v>
      </c>
      <c r="I527">
        <f>-33.488*$I$471</f>
        <v>0</v>
      </c>
      <c r="J527">
        <f>-211.772*$J$471</f>
        <v>0</v>
      </c>
      <c r="K527">
        <f>282.362*$K$471</f>
        <v>0</v>
      </c>
      <c r="L527">
        <f>3.482*$L$471</f>
        <v>0</v>
      </c>
      <c r="M527">
        <f>0+D527+E527+G527+H527+I527+J527+K527+L527</f>
        <v>0</v>
      </c>
      <c r="N527">
        <f>0+D527+F527+G527+H527+I527+J527+K527+L527</f>
        <v>0</v>
      </c>
    </row>
    <row r="528" spans="3:14">
      <c r="C528" t="s">
        <v>43</v>
      </c>
      <c r="D528">
        <f>-243.808*$D$471</f>
        <v>0</v>
      </c>
      <c r="E528">
        <f>20.2*$E$471</f>
        <v>0</v>
      </c>
      <c r="F528">
        <f>-342.43*$F$471</f>
        <v>0</v>
      </c>
      <c r="G528">
        <f>-29.139*$G$471</f>
        <v>0</v>
      </c>
      <c r="H528">
        <f>0*$H$471</f>
        <v>0</v>
      </c>
      <c r="I528">
        <f>-34.717*$I$471</f>
        <v>0</v>
      </c>
      <c r="J528">
        <f>-218.581*$J$471</f>
        <v>0</v>
      </c>
      <c r="K528">
        <f>291.442*$K$471</f>
        <v>0</v>
      </c>
      <c r="L528">
        <f>3.79*$L$471</f>
        <v>0</v>
      </c>
      <c r="M528">
        <f>0+D528+E528+G528+H528+I528+J528+K528+L528</f>
        <v>0</v>
      </c>
      <c r="N528">
        <f>0+D528+F528+G528+H528+I528+J528+K528+L528</f>
        <v>0</v>
      </c>
    </row>
    <row r="529" spans="3:14">
      <c r="C529" t="s">
        <v>43</v>
      </c>
      <c r="D529">
        <f>-270.168*$D$471</f>
        <v>0</v>
      </c>
      <c r="E529">
        <f>20.714*$E$471</f>
        <v>0</v>
      </c>
      <c r="F529">
        <f>-383.382*$F$471</f>
        <v>0</v>
      </c>
      <c r="G529">
        <f>-30.503*$G$471</f>
        <v>0</v>
      </c>
      <c r="H529">
        <f>0*$H$471</f>
        <v>0</v>
      </c>
      <c r="I529">
        <f>-38.627*$I$471</f>
        <v>0</v>
      </c>
      <c r="J529">
        <f>-232.916*$J$471</f>
        <v>0</v>
      </c>
      <c r="K529">
        <f>310.554*$K$471</f>
        <v>0</v>
      </c>
      <c r="L529">
        <f>4.082*$L$471</f>
        <v>0</v>
      </c>
      <c r="M529">
        <f>0+D529+E529+G529+H529+I529+J529+K529+L529</f>
        <v>0</v>
      </c>
      <c r="N529">
        <f>0+D529+F529+G529+H529+I529+J529+K529+L529</f>
        <v>0</v>
      </c>
    </row>
    <row r="530" spans="3:14">
      <c r="C530" t="s">
        <v>44</v>
      </c>
      <c r="D530">
        <f>-277.025*$D$471</f>
        <v>0</v>
      </c>
      <c r="E530">
        <f>20.898*$E$471</f>
        <v>0</v>
      </c>
      <c r="F530">
        <f>-395.656*$F$471</f>
        <v>0</v>
      </c>
      <c r="G530">
        <f>-29.68*$G$471</f>
        <v>0</v>
      </c>
      <c r="H530">
        <f>0*$H$471</f>
        <v>0</v>
      </c>
      <c r="I530">
        <f>-39.731*$I$471</f>
        <v>0</v>
      </c>
      <c r="J530">
        <f>-245.993*$J$471</f>
        <v>0</v>
      </c>
      <c r="K530">
        <f>327.991*$K$471</f>
        <v>0</v>
      </c>
      <c r="L530">
        <f>4.398*$L$471</f>
        <v>0</v>
      </c>
      <c r="M530">
        <f>0+D530+E530+G530+H530+I530+J530+K530+L530</f>
        <v>0</v>
      </c>
      <c r="N530">
        <f>0+D530+F530+G530+H530+I530+J530+K530+L530</f>
        <v>0</v>
      </c>
    </row>
    <row r="531" spans="3:14">
      <c r="C531" t="s">
        <v>44</v>
      </c>
      <c r="D531">
        <f>-303.155*$D$471</f>
        <v>0</v>
      </c>
      <c r="E531">
        <f>21.035*$E$471</f>
        <v>0</v>
      </c>
      <c r="F531">
        <f>-429.496*$F$471</f>
        <v>0</v>
      </c>
      <c r="G531">
        <f>-31.882*$G$471</f>
        <v>0</v>
      </c>
      <c r="H531">
        <f>0*$H$471</f>
        <v>0</v>
      </c>
      <c r="I531">
        <f>-43.547*$I$471</f>
        <v>0</v>
      </c>
      <c r="J531">
        <f>-252.379*$J$471</f>
        <v>0</v>
      </c>
      <c r="K531">
        <f>336.505*$K$471</f>
        <v>0</v>
      </c>
      <c r="L531">
        <f>4.662*$L$471</f>
        <v>0</v>
      </c>
      <c r="M531">
        <f>0+D531+E531+G531+H531+I531+J531+K531+L531</f>
        <v>0</v>
      </c>
      <c r="N531">
        <f>0+D531+F531+G531+H531+I531+J531+K531+L531</f>
        <v>0</v>
      </c>
    </row>
    <row r="532" spans="3:14">
      <c r="C532" t="s">
        <v>45</v>
      </c>
      <c r="D532">
        <f>-307.879*$D$471</f>
        <v>0</v>
      </c>
      <c r="E532">
        <f>20.501*$E$471</f>
        <v>0</v>
      </c>
      <c r="F532">
        <f>-435.105*$F$471</f>
        <v>0</v>
      </c>
      <c r="G532">
        <f>-32.892*$G$471</f>
        <v>0</v>
      </c>
      <c r="H532">
        <f>0*$H$471</f>
        <v>0</v>
      </c>
      <c r="I532">
        <f>-44.193*$I$471</f>
        <v>0</v>
      </c>
      <c r="J532">
        <f>-252.117*$J$471</f>
        <v>0</v>
      </c>
      <c r="K532">
        <f>336.156*$K$471</f>
        <v>0</v>
      </c>
      <c r="L532">
        <f>4.985*$L$471</f>
        <v>0</v>
      </c>
      <c r="M532">
        <f>0+D532+E532+G532+H532+I532+J532+K532+L532</f>
        <v>0</v>
      </c>
      <c r="N532">
        <f>0+D532+F532+G532+H532+I532+J532+K532+L532</f>
        <v>0</v>
      </c>
    </row>
    <row r="533" spans="3:14">
      <c r="C533" t="s">
        <v>45</v>
      </c>
      <c r="D533">
        <f>-317.897*$D$471</f>
        <v>0</v>
      </c>
      <c r="E533">
        <f>20.167*$E$471</f>
        <v>0</v>
      </c>
      <c r="F533">
        <f>-442.953*$F$471</f>
        <v>0</v>
      </c>
      <c r="G533">
        <f>-35.466*$G$471</f>
        <v>0</v>
      </c>
      <c r="H533">
        <f>0*$H$471</f>
        <v>0</v>
      </c>
      <c r="I533">
        <f>-45.475*$I$471</f>
        <v>0</v>
      </c>
      <c r="J533">
        <f>-246.066*$J$471</f>
        <v>0</v>
      </c>
      <c r="K533">
        <f>328.088*$K$471</f>
        <v>0</v>
      </c>
      <c r="L533">
        <f>5.266*$L$471</f>
        <v>0</v>
      </c>
      <c r="M533">
        <f>0+D533+E533+G533+H533+I533+J533+K533+L533</f>
        <v>0</v>
      </c>
      <c r="N533">
        <f>0+D533+F533+G533+H533+I533+J533+K533+L533</f>
        <v>0</v>
      </c>
    </row>
    <row r="534" spans="3:14">
      <c r="C534" t="s">
        <v>46</v>
      </c>
      <c r="D534">
        <f>-319.717*$D$471</f>
        <v>0</v>
      </c>
      <c r="E534">
        <f>19.493*$E$471</f>
        <v>0</v>
      </c>
      <c r="F534">
        <f>-440.077*$F$471</f>
        <v>0</v>
      </c>
      <c r="G534">
        <f>-38.369*$G$471</f>
        <v>0</v>
      </c>
      <c r="H534">
        <f>0*$H$471</f>
        <v>0</v>
      </c>
      <c r="I534">
        <f>-45.549*$I$471</f>
        <v>0</v>
      </c>
      <c r="J534">
        <f>-233.641*$J$471</f>
        <v>0</v>
      </c>
      <c r="K534">
        <f>311.522*$K$471</f>
        <v>0</v>
      </c>
      <c r="L534">
        <f>5.526*$L$471</f>
        <v>0</v>
      </c>
      <c r="M534">
        <f>0+D534+E534+G534+H534+I534+J534+K534+L534</f>
        <v>0</v>
      </c>
      <c r="N534">
        <f>0+D534+F534+G534+H534+I534+J534+K534+L534</f>
        <v>0</v>
      </c>
    </row>
    <row r="535" spans="3:14">
      <c r="C535" t="s">
        <v>46</v>
      </c>
      <c r="D535">
        <f>-325.846*$D$471</f>
        <v>0</v>
      </c>
      <c r="E535">
        <f>20.318*$E$471</f>
        <v>0</v>
      </c>
      <c r="F535">
        <f>-444.672*$F$471</f>
        <v>0</v>
      </c>
      <c r="G535">
        <f>-41.585*$G$471</f>
        <v>0</v>
      </c>
      <c r="H535">
        <f>0*$H$471</f>
        <v>0</v>
      </c>
      <c r="I535">
        <f>-46.205*$I$471</f>
        <v>0</v>
      </c>
      <c r="J535">
        <f>-221.02*$J$471</f>
        <v>0</v>
      </c>
      <c r="K535">
        <f>294.693*$K$471</f>
        <v>0</v>
      </c>
      <c r="L535">
        <f>5.687*$L$471</f>
        <v>0</v>
      </c>
      <c r="M535">
        <f>0+D535+E535+G535+H535+I535+J535+K535+L535</f>
        <v>0</v>
      </c>
      <c r="N535">
        <f>0+D535+F535+G535+H535+I535+J535+K535+L535</f>
        <v>0</v>
      </c>
    </row>
    <row r="536" spans="3:14">
      <c r="C536" t="s">
        <v>47</v>
      </c>
      <c r="D536">
        <f>-326.322*$D$471</f>
        <v>0</v>
      </c>
      <c r="E536">
        <f>21.083*$E$471</f>
        <v>0</v>
      </c>
      <c r="F536">
        <f>-442.941*$F$471</f>
        <v>0</v>
      </c>
      <c r="G536">
        <f>-43.174*$G$471</f>
        <v>0</v>
      </c>
      <c r="H536">
        <f>0*$H$471</f>
        <v>0</v>
      </c>
      <c r="I536">
        <f>-46.163*$I$471</f>
        <v>0</v>
      </c>
      <c r="J536">
        <f>-214.517*$J$471</f>
        <v>0</v>
      </c>
      <c r="K536">
        <f>286.022*$K$471</f>
        <v>0</v>
      </c>
      <c r="L536">
        <f>5.87*$L$471</f>
        <v>0</v>
      </c>
      <c r="M536">
        <f>0+D536+E536+G536+H536+I536+J536+K536+L536</f>
        <v>0</v>
      </c>
      <c r="N536">
        <f>0+D536+F536+G536+H536+I536+J536+K536+L536</f>
        <v>0</v>
      </c>
    </row>
    <row r="537" spans="3:14">
      <c r="C537" t="s">
        <v>47</v>
      </c>
      <c r="D537">
        <f>-326.474*$D$471</f>
        <v>0</v>
      </c>
      <c r="E537">
        <f>22.51*$E$471</f>
        <v>0</v>
      </c>
      <c r="F537">
        <f>-442.075*$F$471</f>
        <v>0</v>
      </c>
      <c r="G537">
        <f>-43.249*$G$471</f>
        <v>0</v>
      </c>
      <c r="H537">
        <f>0*$H$471</f>
        <v>0</v>
      </c>
      <c r="I537">
        <f>-46.182*$I$471</f>
        <v>0</v>
      </c>
      <c r="J537">
        <f>-214.933*$J$471</f>
        <v>0</v>
      </c>
      <c r="K537">
        <f>286.578*$K$471</f>
        <v>0</v>
      </c>
      <c r="L537">
        <f>6.127*$L$471</f>
        <v>0</v>
      </c>
      <c r="M537">
        <f>0+D537+E537+G537+H537+I537+J537+K537+L537</f>
        <v>0</v>
      </c>
      <c r="N537">
        <f>0+D537+F537+G537+H537+I537+J537+K537+L537</f>
        <v>0</v>
      </c>
    </row>
    <row r="538" spans="3:14">
      <c r="C538" t="s">
        <v>48</v>
      </c>
      <c r="D538">
        <f>-326.144*$D$471</f>
        <v>0</v>
      </c>
      <c r="E538">
        <f>23.35*$E$471</f>
        <v>0</v>
      </c>
      <c r="F538">
        <f>-443.815*$F$471</f>
        <v>0</v>
      </c>
      <c r="G538">
        <f>-41.837*$G$471</f>
        <v>0</v>
      </c>
      <c r="H538">
        <f>0*$H$471</f>
        <v>0</v>
      </c>
      <c r="I538">
        <f>-46.238*$I$471</f>
        <v>0</v>
      </c>
      <c r="J538">
        <f>-222.565*$J$471</f>
        <v>0</v>
      </c>
      <c r="K538">
        <f>296.753*$K$471</f>
        <v>0</v>
      </c>
      <c r="L538">
        <f>6.302*$L$471</f>
        <v>0</v>
      </c>
      <c r="M538">
        <f>0+D538+E538+G538+H538+I538+J538+K538+L538</f>
        <v>0</v>
      </c>
      <c r="N538">
        <f>0+D538+F538+G538+H538+I538+J538+K538+L538</f>
        <v>0</v>
      </c>
    </row>
    <row r="539" spans="3:14">
      <c r="C539" t="s">
        <v>48</v>
      </c>
      <c r="D539">
        <f>-320.107*$D$471</f>
        <v>0</v>
      </c>
      <c r="E539">
        <f>24.495*$E$471</f>
        <v>0</v>
      </c>
      <c r="F539">
        <f>-438.155*$F$471</f>
        <v>0</v>
      </c>
      <c r="G539">
        <f>-38.795*$G$471</f>
        <v>0</v>
      </c>
      <c r="H539">
        <f>0*$H$471</f>
        <v>0</v>
      </c>
      <c r="I539">
        <f>-45.59*$I$471</f>
        <v>0</v>
      </c>
      <c r="J539">
        <f>-236.342*$J$471</f>
        <v>0</v>
      </c>
      <c r="K539">
        <f>315.122*$K$471</f>
        <v>0</v>
      </c>
      <c r="L539">
        <f>6.393*$L$471</f>
        <v>0</v>
      </c>
      <c r="M539">
        <f>0+D539+E539+G539+H539+I539+J539+K539+L539</f>
        <v>0</v>
      </c>
      <c r="N539">
        <f>0+D539+F539+G539+H539+I539+J539+K539+L539</f>
        <v>0</v>
      </c>
    </row>
    <row r="540" spans="3:14">
      <c r="C540" t="s">
        <v>49</v>
      </c>
      <c r="D540">
        <f>-318.361*$D$471</f>
        <v>0</v>
      </c>
      <c r="E540">
        <f>25.335*$E$471</f>
        <v>0</v>
      </c>
      <c r="F540">
        <f>-440.197*$F$471</f>
        <v>0</v>
      </c>
      <c r="G540">
        <f>-36.072*$G$471</f>
        <v>0</v>
      </c>
      <c r="H540">
        <f>0*$H$471</f>
        <v>0</v>
      </c>
      <c r="I540">
        <f>-45.519*$I$471</f>
        <v>0</v>
      </c>
      <c r="J540">
        <f>-249.969*$J$471</f>
        <v>0</v>
      </c>
      <c r="K540">
        <f>333.292*$K$471</f>
        <v>0</v>
      </c>
      <c r="L540">
        <f>6.498*$L$471</f>
        <v>0</v>
      </c>
      <c r="M540">
        <f>0+D540+E540+G540+H540+I540+J540+K540+L540</f>
        <v>0</v>
      </c>
      <c r="N540">
        <f>0+D540+F540+G540+H540+I540+J540+K540+L540</f>
        <v>0</v>
      </c>
    </row>
    <row r="541" spans="3:14">
      <c r="C541" t="s">
        <v>49</v>
      </c>
      <c r="D541">
        <f>-308.203*$D$471</f>
        <v>0</v>
      </c>
      <c r="E541">
        <f>26.399*$E$471</f>
        <v>0</v>
      </c>
      <c r="F541">
        <f>-431.139*$F$471</f>
        <v>0</v>
      </c>
      <c r="G541">
        <f>-33.678*$G$471</f>
        <v>0</v>
      </c>
      <c r="H541">
        <f>0*$H$471</f>
        <v>0</v>
      </c>
      <c r="I541">
        <f>-44.209*$I$471</f>
        <v>0</v>
      </c>
      <c r="J541">
        <f>-257.365*$J$471</f>
        <v>0</v>
      </c>
      <c r="K541">
        <f>343.153*$K$471</f>
        <v>0</v>
      </c>
      <c r="L541">
        <f>6.336*$L$471</f>
        <v>0</v>
      </c>
      <c r="M541">
        <f>0+D541+E541+G541+H541+I541+J541+K541+L541</f>
        <v>0</v>
      </c>
      <c r="N541">
        <f>0+D541+F541+G541+H541+I541+J541+K541+L541</f>
        <v>0</v>
      </c>
    </row>
    <row r="542" spans="3:14">
      <c r="C542" t="s">
        <v>50</v>
      </c>
      <c r="D542">
        <f>-303.181*$D$471</f>
        <v>0</v>
      </c>
      <c r="E542">
        <f>27.027*$E$471</f>
        <v>0</v>
      </c>
      <c r="F542">
        <f>-424.93*$F$471</f>
        <v>0</v>
      </c>
      <c r="G542">
        <f>-32.852*$G$471</f>
        <v>0</v>
      </c>
      <c r="H542">
        <f>0*$H$471</f>
        <v>0</v>
      </c>
      <c r="I542">
        <f>-43.512*$I$471</f>
        <v>0</v>
      </c>
      <c r="J542">
        <f>-259.114*$J$471</f>
        <v>0</v>
      </c>
      <c r="K542">
        <f>345.485*$K$471</f>
        <v>0</v>
      </c>
      <c r="L542">
        <f>6.138*$L$471</f>
        <v>0</v>
      </c>
      <c r="M542">
        <f>0+D542+E542+G542+H542+I542+J542+K542+L542</f>
        <v>0</v>
      </c>
      <c r="N542">
        <f>0+D542+F542+G542+H542+I542+J542+K542+L542</f>
        <v>0</v>
      </c>
    </row>
    <row r="543" spans="3:14">
      <c r="C543" t="s">
        <v>50</v>
      </c>
      <c r="D543">
        <f>-276.386*$D$471</f>
        <v>0</v>
      </c>
      <c r="E543">
        <f>28.083*$E$471</f>
        <v>0</v>
      </c>
      <c r="F543">
        <f>-389.404*$F$471</f>
        <v>0</v>
      </c>
      <c r="G543">
        <f>-30.805*$G$471</f>
        <v>0</v>
      </c>
      <c r="H543">
        <f>0*$H$471</f>
        <v>0</v>
      </c>
      <c r="I543">
        <f>-39.592*$I$471</f>
        <v>0</v>
      </c>
      <c r="J543">
        <f>-254.254*$J$471</f>
        <v>0</v>
      </c>
      <c r="K543">
        <f>339.005*$K$471</f>
        <v>0</v>
      </c>
      <c r="L543">
        <f>5.763*$L$471</f>
        <v>0</v>
      </c>
      <c r="M543">
        <f>0+D543+E543+G543+H543+I543+J543+K543+L543</f>
        <v>0</v>
      </c>
      <c r="N543">
        <f>0+D543+F543+G543+H543+I543+J543+K543+L543</f>
        <v>0</v>
      </c>
    </row>
    <row r="544" spans="3:14">
      <c r="C544" t="s">
        <v>51</v>
      </c>
      <c r="D544">
        <f>-268.622*$D$471</f>
        <v>0</v>
      </c>
      <c r="E544">
        <f>28.44*$E$471</f>
        <v>0</v>
      </c>
      <c r="F544">
        <f>-375.683*$F$471</f>
        <v>0</v>
      </c>
      <c r="G544">
        <f>-31.815*$G$471</f>
        <v>0</v>
      </c>
      <c r="H544">
        <f>0*$H$471</f>
        <v>0</v>
      </c>
      <c r="I544">
        <f>-38.348*$I$471</f>
        <v>0</v>
      </c>
      <c r="J544">
        <f>-243.088*$J$471</f>
        <v>0</v>
      </c>
      <c r="K544">
        <f>324.118*$K$471</f>
        <v>0</v>
      </c>
      <c r="L544">
        <f>5.237*$L$471</f>
        <v>0</v>
      </c>
      <c r="M544">
        <f>0+D544+E544+G544+H544+I544+J544+K544+L544</f>
        <v>0</v>
      </c>
      <c r="N544">
        <f>0+D544+F544+G544+H544+I544+J544+K544+L544</f>
        <v>0</v>
      </c>
    </row>
    <row r="545" spans="3:14">
      <c r="C545" t="s">
        <v>51</v>
      </c>
      <c r="D545">
        <f>-241.176*$D$471</f>
        <v>0</v>
      </c>
      <c r="E545">
        <f>28.912*$E$471</f>
        <v>0</v>
      </c>
      <c r="F545">
        <f>-333.01*$F$471</f>
        <v>0</v>
      </c>
      <c r="G545">
        <f>-30.62*$G$471</f>
        <v>0</v>
      </c>
      <c r="H545">
        <f>0*$H$471</f>
        <v>0</v>
      </c>
      <c r="I545">
        <f>-34.272*$I$471</f>
        <v>0</v>
      </c>
      <c r="J545">
        <f>-230.671*$J$471</f>
        <v>0</v>
      </c>
      <c r="K545">
        <f>307.562*$K$471</f>
        <v>0</v>
      </c>
      <c r="L545">
        <f>4.541*$L$471</f>
        <v>0</v>
      </c>
      <c r="M545">
        <f>0+D545+E545+G545+H545+I545+J545+K545+L545</f>
        <v>0</v>
      </c>
      <c r="N545">
        <f>0+D545+F545+G545+H545+I545+J545+K545+L545</f>
        <v>0</v>
      </c>
    </row>
    <row r="546" spans="3:14">
      <c r="C546" t="s">
        <v>52</v>
      </c>
      <c r="D546">
        <f>-232.081*$D$471</f>
        <v>0</v>
      </c>
      <c r="E546">
        <f>29.257*$E$471</f>
        <v>0</v>
      </c>
      <c r="F546">
        <f>-320.186*$F$471</f>
        <v>0</v>
      </c>
      <c r="G546">
        <f>-30.447*$G$471</f>
        <v>0</v>
      </c>
      <c r="H546">
        <f>0*$H$471</f>
        <v>0</v>
      </c>
      <c r="I546">
        <f>-32.907*$I$471</f>
        <v>0</v>
      </c>
      <c r="J546">
        <f>-225.735*$J$471</f>
        <v>0</v>
      </c>
      <c r="K546">
        <f>300.98*$K$471</f>
        <v>0</v>
      </c>
      <c r="L546">
        <f>4.24*$L$471</f>
        <v>0</v>
      </c>
      <c r="M546">
        <f>0+D546+E546+G546+H546+I546+J546+K546+L546</f>
        <v>0</v>
      </c>
      <c r="N546">
        <f>0+D546+F546+G546+H546+I546+J546+K546+L546</f>
        <v>0</v>
      </c>
    </row>
    <row r="547" spans="3:14">
      <c r="C547" t="s">
        <v>52</v>
      </c>
      <c r="D547">
        <f>-203.953*$D$471</f>
        <v>0</v>
      </c>
      <c r="E547">
        <f>31.024*$E$471</f>
        <v>0</v>
      </c>
      <c r="F547">
        <f>-284.374*$F$471</f>
        <v>0</v>
      </c>
      <c r="G547">
        <f>-27.771*$G$471</f>
        <v>0</v>
      </c>
      <c r="H547">
        <f>0*$H$471</f>
        <v>0</v>
      </c>
      <c r="I547">
        <f>-28.88*$I$471</f>
        <v>0</v>
      </c>
      <c r="J547">
        <f>-231.781*$J$471</f>
        <v>0</v>
      </c>
      <c r="K547">
        <f>309.041*$K$471</f>
        <v>0</v>
      </c>
      <c r="L547">
        <f>4.347*$L$471</f>
        <v>0</v>
      </c>
      <c r="M547">
        <f>0+D547+E547+G547+H547+I547+J547+K547+L547</f>
        <v>0</v>
      </c>
      <c r="N547">
        <f>0+D547+F547+G547+H547+I547+J547+K547+L547</f>
        <v>0</v>
      </c>
    </row>
    <row r="548" spans="3:14">
      <c r="C548" t="s">
        <v>53</v>
      </c>
      <c r="D548">
        <f>-194.866*$D$471</f>
        <v>0</v>
      </c>
      <c r="E548">
        <f>31.547*$E$471</f>
        <v>0</v>
      </c>
      <c r="F548">
        <f>-272.189*$F$471</f>
        <v>0</v>
      </c>
      <c r="G548">
        <f>-25.406*$G$471</f>
        <v>0</v>
      </c>
      <c r="H548">
        <f>0*$H$471</f>
        <v>0</v>
      </c>
      <c r="I548">
        <f>-27.691*$I$471</f>
        <v>0</v>
      </c>
      <c r="J548">
        <f>-240.144*$J$471</f>
        <v>0</v>
      </c>
      <c r="K548">
        <f>320.192*$K$471</f>
        <v>0</v>
      </c>
      <c r="L548">
        <f>4.499*$L$471</f>
        <v>0</v>
      </c>
      <c r="M548">
        <f>0+D548+E548+G548+H548+I548+J548+K548+L548</f>
        <v>0</v>
      </c>
      <c r="N548">
        <f>0+D548+F548+G548+H548+I548+J548+K548+L548</f>
        <v>0</v>
      </c>
    </row>
    <row r="549" spans="3:14">
      <c r="C549" t="s">
        <v>53</v>
      </c>
      <c r="D549">
        <f>-146.849*$D$471</f>
        <v>0</v>
      </c>
      <c r="E549">
        <f>32.288*$E$471</f>
        <v>0</v>
      </c>
      <c r="F549">
        <f>-213.34*$F$471</f>
        <v>0</v>
      </c>
      <c r="G549">
        <f>-18.237*$G$471</f>
        <v>0</v>
      </c>
      <c r="H549">
        <f>0*$H$471</f>
        <v>0</v>
      </c>
      <c r="I549">
        <f>-21.09*$I$471</f>
        <v>0</v>
      </c>
      <c r="J549">
        <f>-256.621*$J$471</f>
        <v>0</v>
      </c>
      <c r="K549">
        <f>342.161*$K$471</f>
        <v>0</v>
      </c>
      <c r="L549">
        <f>5.041*$L$471</f>
        <v>0</v>
      </c>
      <c r="M549">
        <f>0+D549+E549+G549+H549+I549+J549+K549+L549</f>
        <v>0</v>
      </c>
      <c r="N549">
        <f>0+D549+F549+G549+H549+I549+J549+K549+L549</f>
        <v>0</v>
      </c>
    </row>
    <row r="550" spans="3:14">
      <c r="C550" t="s">
        <v>54</v>
      </c>
      <c r="D550">
        <f>-137.87*$D$471</f>
        <v>0</v>
      </c>
      <c r="E550">
        <f>32.515*$E$471</f>
        <v>0</v>
      </c>
      <c r="F550">
        <f>-201.089*$F$471</f>
        <v>0</v>
      </c>
      <c r="G550">
        <f>-14.757*$G$471</f>
        <v>0</v>
      </c>
      <c r="H550">
        <f>0*$H$471</f>
        <v>0</v>
      </c>
      <c r="I550">
        <f>-19.993*$I$471</f>
        <v>0</v>
      </c>
      <c r="J550">
        <f>-271.029*$J$471</f>
        <v>0</v>
      </c>
      <c r="K550">
        <f>361.372*$K$471</f>
        <v>0</v>
      </c>
      <c r="L550">
        <f>5.46*$L$471</f>
        <v>0</v>
      </c>
      <c r="M550">
        <f>0+D550+E550+G550+H550+I550+J550+K550+L550</f>
        <v>0</v>
      </c>
      <c r="N550">
        <f>0+D550+F550+G550+H550+I550+J550+K550+L550</f>
        <v>0</v>
      </c>
    </row>
    <row r="551" spans="3:14">
      <c r="C551" t="s">
        <v>54</v>
      </c>
      <c r="D551">
        <f>-99.569*$D$471</f>
        <v>0</v>
      </c>
      <c r="E551">
        <f>31.543*$E$471</f>
        <v>0</v>
      </c>
      <c r="F551">
        <f>-150.215*$F$471</f>
        <v>0</v>
      </c>
      <c r="G551">
        <f>-9.257*$G$471</f>
        <v>0</v>
      </c>
      <c r="H551">
        <f>0*$H$471</f>
        <v>0</v>
      </c>
      <c r="I551">
        <f>-14.658*$I$471</f>
        <v>0</v>
      </c>
      <c r="J551">
        <f>-278.069*$J$471</f>
        <v>0</v>
      </c>
      <c r="K551">
        <f>370.759*$K$471</f>
        <v>0</v>
      </c>
      <c r="L551">
        <f>5.549*$L$471</f>
        <v>0</v>
      </c>
      <c r="M551">
        <f>0+D551+E551+G551+H551+I551+J551+K551+L551</f>
        <v>0</v>
      </c>
      <c r="N551">
        <f>0+D551+F551+G551+H551+I551+J551+K551+L551</f>
        <v>0</v>
      </c>
    </row>
    <row r="552" spans="3:14">
      <c r="C552" t="s">
        <v>55</v>
      </c>
      <c r="D552">
        <f>-92.753*$D$471</f>
        <v>0</v>
      </c>
      <c r="E552">
        <f>29.425*$E$471</f>
        <v>0</v>
      </c>
      <c r="F552">
        <f>-140.294*$F$471</f>
        <v>0</v>
      </c>
      <c r="G552">
        <f>-7.423*$G$471</f>
        <v>0</v>
      </c>
      <c r="H552">
        <f>0*$H$471</f>
        <v>0</v>
      </c>
      <c r="I552">
        <f>-13.739*$I$471</f>
        <v>0</v>
      </c>
      <c r="J552">
        <f>-273.675*$J$471</f>
        <v>0</v>
      </c>
      <c r="K552">
        <f>364.9*$K$471</f>
        <v>0</v>
      </c>
      <c r="L552">
        <f>5.29*$L$471</f>
        <v>0</v>
      </c>
      <c r="M552">
        <f>0+D552+E552+G552+H552+I552+J552+K552+L552</f>
        <v>0</v>
      </c>
      <c r="N552">
        <f>0+D552+F552+G552+H552+I552+J552+K552+L552</f>
        <v>0</v>
      </c>
    </row>
    <row r="553" spans="3:14">
      <c r="C553" t="s">
        <v>55</v>
      </c>
      <c r="D553">
        <f>-62.027*$D$471</f>
        <v>0</v>
      </c>
      <c r="E553">
        <f>25.375*$E$471</f>
        <v>0</v>
      </c>
      <c r="F553">
        <f>-100.579*$F$471</f>
        <v>0</v>
      </c>
      <c r="G553">
        <f>-3.694*$G$471</f>
        <v>0</v>
      </c>
      <c r="H553">
        <f>0*$H$471</f>
        <v>0</v>
      </c>
      <c r="I553">
        <f>-9.371*$I$471</f>
        <v>0</v>
      </c>
      <c r="J553">
        <f>-260.38*$J$471</f>
        <v>0</v>
      </c>
      <c r="K553">
        <f>347.173*$K$471</f>
        <v>0</v>
      </c>
      <c r="L553">
        <f>4.811*$L$471</f>
        <v>0</v>
      </c>
      <c r="M553">
        <f>0+D553+E553+G553+H553+I553+J553+K553+L553</f>
        <v>0</v>
      </c>
      <c r="N553">
        <f>0+D553+F553+G553+H553+I553+J553+K553+L553</f>
        <v>0</v>
      </c>
    </row>
    <row r="554" spans="3:14">
      <c r="C554" t="s">
        <v>56</v>
      </c>
      <c r="D554">
        <f>-59.831*$D$471</f>
        <v>0</v>
      </c>
      <c r="E554">
        <f>20.109*$E$471</f>
        <v>0</v>
      </c>
      <c r="F554">
        <f>-94.454*$F$471</f>
        <v>0</v>
      </c>
      <c r="G554">
        <f>-3.733*$G$471</f>
        <v>0</v>
      </c>
      <c r="H554">
        <f>0*$H$471</f>
        <v>0</v>
      </c>
      <c r="I554">
        <f>-8.974*$I$471</f>
        <v>0</v>
      </c>
      <c r="J554">
        <f>-232.404*$J$471</f>
        <v>0</v>
      </c>
      <c r="K554">
        <f>309.871*$K$471</f>
        <v>0</v>
      </c>
      <c r="L554">
        <f>3.616*$L$471</f>
        <v>0</v>
      </c>
      <c r="M554">
        <f>0+D554+E554+G554+H554+I554+J554+K554+L554</f>
        <v>0</v>
      </c>
      <c r="N554">
        <f>0+D554+F554+G554+H554+I554+J554+K554+L554</f>
        <v>0</v>
      </c>
    </row>
    <row r="555" spans="3:14">
      <c r="C555" t="s">
        <v>56</v>
      </c>
      <c r="D555">
        <f>-13.217*$D$471</f>
        <v>0</v>
      </c>
      <c r="E555">
        <f>14.419*$E$471</f>
        <v>0</v>
      </c>
      <c r="F555">
        <f>-30.528*$F$471</f>
        <v>0</v>
      </c>
      <c r="G555">
        <f>0.459*$G$471</f>
        <v>0</v>
      </c>
      <c r="H555">
        <f>0*$H$471</f>
        <v>0</v>
      </c>
      <c r="I555">
        <f>-2.166*$I$471</f>
        <v>0</v>
      </c>
      <c r="J555">
        <f>-202.227*$J$471</f>
        <v>0</v>
      </c>
      <c r="K555">
        <f>269.636*$K$471</f>
        <v>0</v>
      </c>
      <c r="L555">
        <f>2.334*$L$471</f>
        <v>0</v>
      </c>
      <c r="M555">
        <f>0+D555+E555+G555+H555+I555+J555+K555+L555</f>
        <v>0</v>
      </c>
      <c r="N555">
        <f>0+D555+F555+G555+H555+I555+J555+K555+L555</f>
        <v>0</v>
      </c>
    </row>
    <row r="556" spans="3:14">
      <c r="C556" t="s">
        <v>57</v>
      </c>
      <c r="D556">
        <f>-14.518*$D$471</f>
        <v>0</v>
      </c>
      <c r="E556">
        <f>11.619*$E$471</f>
        <v>0</v>
      </c>
      <c r="F556">
        <f>-27.624*$F$471</f>
        <v>0</v>
      </c>
      <c r="G556">
        <f>-0.168*$G$471</f>
        <v>0</v>
      </c>
      <c r="H556">
        <f>0*$H$471</f>
        <v>0</v>
      </c>
      <c r="I556">
        <f>-2.256*$I$471</f>
        <v>0</v>
      </c>
      <c r="J556">
        <f>-175.456*$J$471</f>
        <v>0</v>
      </c>
      <c r="K556">
        <f>233.941*$K$471</f>
        <v>0</v>
      </c>
      <c r="L556">
        <f>1.404*$L$471</f>
        <v>0</v>
      </c>
      <c r="M556">
        <f>0+D556+E556+G556+H556+I556+J556+K556+L556</f>
        <v>0</v>
      </c>
      <c r="N556">
        <f>0+D556+F556+G556+H556+I556+J556+K556+L556</f>
        <v>0</v>
      </c>
    </row>
    <row r="557" spans="3:14">
      <c r="C557" t="s">
        <v>57</v>
      </c>
      <c r="D557">
        <f>-14.469*$D$471</f>
        <v>0</v>
      </c>
      <c r="E557">
        <f>8.445*$E$471</f>
        <v>0</v>
      </c>
      <c r="F557">
        <f>-23.855*$F$471</f>
        <v>0</v>
      </c>
      <c r="G557">
        <f>-1.203*$G$471</f>
        <v>0</v>
      </c>
      <c r="H557">
        <f>0*$H$471</f>
        <v>0</v>
      </c>
      <c r="I557">
        <f>-2.138*$I$471</f>
        <v>0</v>
      </c>
      <c r="J557">
        <f>-153.092*$J$471</f>
        <v>0</v>
      </c>
      <c r="K557">
        <f>204.123*$K$471</f>
        <v>0</v>
      </c>
      <c r="L557">
        <f>0.565*$L$471</f>
        <v>0</v>
      </c>
      <c r="M557">
        <f>0+D557+E557+G557+H557+I557+J557+K557+L557</f>
        <v>0</v>
      </c>
      <c r="N557">
        <f>0+D557+F557+G557+H557+I557+J557+K557+L557</f>
        <v>0</v>
      </c>
    </row>
    <row r="558" spans="3:14">
      <c r="C558" t="s">
        <v>58</v>
      </c>
      <c r="D558">
        <f>-14.469*$D$471</f>
        <v>0</v>
      </c>
      <c r="E558">
        <f>8.445*$E$471</f>
        <v>0</v>
      </c>
      <c r="F558">
        <f>-23.854*$F$471</f>
        <v>0</v>
      </c>
      <c r="G558">
        <f>-1.203*$G$471</f>
        <v>0</v>
      </c>
      <c r="H558">
        <f>0*$H$471</f>
        <v>0</v>
      </c>
      <c r="I558">
        <f>-2.138*$I$471</f>
        <v>0</v>
      </c>
      <c r="J558">
        <f>-153.092*$J$471</f>
        <v>0</v>
      </c>
      <c r="K558">
        <f>204.123*$K$471</f>
        <v>0</v>
      </c>
      <c r="L558">
        <f>0.565*$L$471</f>
        <v>0</v>
      </c>
      <c r="M558">
        <f>0+D558+E558+G558+H558+I558+J558+K558+L558</f>
        <v>0</v>
      </c>
      <c r="N558">
        <f>0+D558+F558+G558+H558+I558+J558+K558+L558</f>
        <v>0</v>
      </c>
    </row>
    <row r="559" spans="3:14">
      <c r="C559" t="s">
        <v>58</v>
      </c>
      <c r="D559">
        <f>-4.717*$D$471</f>
        <v>0</v>
      </c>
      <c r="E559">
        <f>4.205*$E$471</f>
        <v>0</v>
      </c>
      <c r="F559">
        <f>-18.333*$F$471</f>
        <v>0</v>
      </c>
      <c r="G559">
        <f>-0.308*$G$471</f>
        <v>0</v>
      </c>
      <c r="H559">
        <f>0*$H$471</f>
        <v>0</v>
      </c>
      <c r="I559">
        <f>-0.758*$I$471</f>
        <v>0</v>
      </c>
      <c r="J559">
        <f>-145.566*$J$471</f>
        <v>0</v>
      </c>
      <c r="K559">
        <f>194.088*$K$471</f>
        <v>0</v>
      </c>
      <c r="L559">
        <f>-5.619*$L$471</f>
        <v>0</v>
      </c>
      <c r="M559">
        <f>0+D559+E559+G559+H559+I559+J559+K559+L559</f>
        <v>0</v>
      </c>
      <c r="N559">
        <f>0+D559+F559+G559+H559+I559+J559+K559+L559</f>
        <v>0</v>
      </c>
    </row>
    <row r="560" spans="3:14">
      <c r="C560" t="s">
        <v>59</v>
      </c>
      <c r="D560">
        <f>-4.717*$D$471</f>
        <v>0</v>
      </c>
      <c r="E560">
        <f>4.19*$E$471</f>
        <v>0</v>
      </c>
      <c r="F560">
        <f>-18.333*$F$471</f>
        <v>0</v>
      </c>
      <c r="G560">
        <f>-0.308*$G$471</f>
        <v>0</v>
      </c>
      <c r="H560">
        <f>0*$H$471</f>
        <v>0</v>
      </c>
      <c r="I560">
        <f>-0.758*$I$471</f>
        <v>0</v>
      </c>
      <c r="J560">
        <f>-145.566*$J$471</f>
        <v>0</v>
      </c>
      <c r="K560">
        <f>194.088*$K$471</f>
        <v>0</v>
      </c>
      <c r="L560">
        <f>-5.619*$L$471</f>
        <v>0</v>
      </c>
      <c r="M560">
        <f>0+D560+E560+G560+H560+I560+J560+K560+L560</f>
        <v>0</v>
      </c>
      <c r="N560">
        <f>0+D560+F560+G560+H560+I560+J560+K560+L560</f>
        <v>0</v>
      </c>
    </row>
    <row r="561" spans="3:14">
      <c r="C561" t="s">
        <v>59</v>
      </c>
      <c r="D561">
        <f>-23.256*$D$471</f>
        <v>0</v>
      </c>
      <c r="E561">
        <f>38.071*$E$471</f>
        <v>0</v>
      </c>
      <c r="F561">
        <f>-74.114*$F$471</f>
        <v>0</v>
      </c>
      <c r="G561">
        <f>1.366*$G$471</f>
        <v>0</v>
      </c>
      <c r="H561">
        <f>0*$H$471</f>
        <v>0</v>
      </c>
      <c r="I561">
        <f>-3.572*$I$471</f>
        <v>0</v>
      </c>
      <c r="J561">
        <f>-159.783*$J$471</f>
        <v>0</v>
      </c>
      <c r="K561">
        <f>213.044*$K$471</f>
        <v>0</v>
      </c>
      <c r="L561">
        <f>33.093*$L$471</f>
        <v>0</v>
      </c>
      <c r="M561">
        <f>0+D561+E561+G561+H561+I561+J561+K561+L561</f>
        <v>0</v>
      </c>
      <c r="N561">
        <f>0+D561+F561+G561+H561+I561+J561+K561+L561</f>
        <v>0</v>
      </c>
    </row>
    <row r="562" spans="3:14">
      <c r="C562" t="s">
        <v>60</v>
      </c>
      <c r="D562">
        <f>-18.568*$D$471</f>
        <v>0</v>
      </c>
      <c r="E562">
        <f>35.02*$E$471</f>
        <v>0</v>
      </c>
      <c r="F562">
        <f>-69.869*$F$471</f>
        <v>0</v>
      </c>
      <c r="G562">
        <f>1.915*$G$471</f>
        <v>0</v>
      </c>
      <c r="H562">
        <f>0*$H$471</f>
        <v>0</v>
      </c>
      <c r="I562">
        <f>-2.967*$I$471</f>
        <v>0</v>
      </c>
      <c r="J562">
        <f>-193.077*$J$471</f>
        <v>0</v>
      </c>
      <c r="K562">
        <f>257.437*$K$471</f>
        <v>0</v>
      </c>
      <c r="L562">
        <f>30.885*$L$471</f>
        <v>0</v>
      </c>
      <c r="M562">
        <f>0+D562+E562+G562+H562+I562+J562+K562+L562</f>
        <v>0</v>
      </c>
      <c r="N562">
        <f>0+D562+F562+G562+H562+I562+J562+K562+L562</f>
        <v>0</v>
      </c>
    </row>
    <row r="563" spans="3:14">
      <c r="C563" t="s">
        <v>60</v>
      </c>
      <c r="D563">
        <f>-31.265*$D$471</f>
        <v>0</v>
      </c>
      <c r="E563">
        <f>24.183*$E$471</f>
        <v>0</v>
      </c>
      <c r="F563">
        <f>-92.23*$F$471</f>
        <v>0</v>
      </c>
      <c r="G563">
        <f>0.718*$G$471</f>
        <v>0</v>
      </c>
      <c r="H563">
        <f>0*$H$471</f>
        <v>0</v>
      </c>
      <c r="I563">
        <f>-4.913*$I$471</f>
        <v>0</v>
      </c>
      <c r="J563">
        <f>-231.547*$J$471</f>
        <v>0</v>
      </c>
      <c r="K563">
        <f>308.729*$K$471</f>
        <v>0</v>
      </c>
      <c r="L563">
        <f>21.11*$L$471</f>
        <v>0</v>
      </c>
      <c r="M563">
        <f>0+D563+E563+G563+H563+I563+J563+K563+L563</f>
        <v>0</v>
      </c>
      <c r="N563">
        <f>0+D563+F563+G563+H563+I563+J563+K563+L563</f>
        <v>0</v>
      </c>
    </row>
    <row r="564" spans="3:14">
      <c r="C564" t="s">
        <v>61</v>
      </c>
      <c r="D564">
        <f>-27.18*$D$471</f>
        <v>0</v>
      </c>
      <c r="E564">
        <f>24.562*$E$471</f>
        <v>0</v>
      </c>
      <c r="F564">
        <f>-88.396*$F$471</f>
        <v>0</v>
      </c>
      <c r="G564">
        <f>0.869*$G$471</f>
        <v>0</v>
      </c>
      <c r="H564">
        <f>0*$H$471</f>
        <v>0</v>
      </c>
      <c r="I564">
        <f>-4.371*$I$471</f>
        <v>0</v>
      </c>
      <c r="J564">
        <f>-269.02*$J$471</f>
        <v>0</v>
      </c>
      <c r="K564">
        <f>358.693*$K$471</f>
        <v>0</v>
      </c>
      <c r="L564">
        <f>18.579*$L$471</f>
        <v>0</v>
      </c>
      <c r="M564">
        <f>0+D564+E564+G564+H564+I564+J564+K564+L564</f>
        <v>0</v>
      </c>
      <c r="N564">
        <f>0+D564+F564+G564+H564+I564+J564+K564+L564</f>
        <v>0</v>
      </c>
    </row>
    <row r="565" spans="3:14">
      <c r="C565" t="s">
        <v>61</v>
      </c>
      <c r="D565">
        <f>-33.66*$D$471</f>
        <v>0</v>
      </c>
      <c r="E565">
        <f>24.798*$E$471</f>
        <v>0</v>
      </c>
      <c r="F565">
        <f>-96.125*$F$471</f>
        <v>0</v>
      </c>
      <c r="G565">
        <f>-0.82*$G$471</f>
        <v>0</v>
      </c>
      <c r="H565">
        <f>0*$H$471</f>
        <v>0</v>
      </c>
      <c r="I565">
        <f>-5.262*$I$471</f>
        <v>0</v>
      </c>
      <c r="J565">
        <f>-296.571*$J$471</f>
        <v>0</v>
      </c>
      <c r="K565">
        <f>395.428*$K$471</f>
        <v>0</v>
      </c>
      <c r="L565">
        <f>9.267*$L$471</f>
        <v>0</v>
      </c>
      <c r="M565">
        <f>0+D565+E565+G565+H565+I565+J565+K565+L565</f>
        <v>0</v>
      </c>
      <c r="N565">
        <f>0+D565+F565+G565+H565+I565+J565+K565+L565</f>
        <v>0</v>
      </c>
    </row>
    <row r="566" spans="3:14">
      <c r="C566" t="s">
        <v>62</v>
      </c>
      <c r="D566">
        <f>-32.742*$D$471</f>
        <v>0</v>
      </c>
      <c r="E566">
        <f>23.817*$E$471</f>
        <v>0</v>
      </c>
      <c r="F566">
        <f>-94.032*$F$471</f>
        <v>0</v>
      </c>
      <c r="G566">
        <f>-2.166*$G$471</f>
        <v>0</v>
      </c>
      <c r="H566">
        <f>0*$H$471</f>
        <v>0</v>
      </c>
      <c r="I566">
        <f>-5.046*$I$471</f>
        <v>0</v>
      </c>
      <c r="J566">
        <f>-309.699*$J$471</f>
        <v>0</v>
      </c>
      <c r="K566">
        <f>412.932*$K$471</f>
        <v>0</v>
      </c>
      <c r="L566">
        <f>2.969*$L$471</f>
        <v>0</v>
      </c>
      <c r="M566">
        <f>0+D566+E566+G566+H566+I566+J566+K566+L566</f>
        <v>0</v>
      </c>
      <c r="N566">
        <f>0+D566+F566+G566+H566+I566+J566+K566+L566</f>
        <v>0</v>
      </c>
    </row>
    <row r="567" spans="3:14">
      <c r="C567" t="s">
        <v>62</v>
      </c>
      <c r="D567">
        <f>-43.326*$D$471</f>
        <v>0</v>
      </c>
      <c r="E567">
        <f>21.812*$E$471</f>
        <v>0</v>
      </c>
      <c r="F567">
        <f>-110.341*$F$471</f>
        <v>0</v>
      </c>
      <c r="G567">
        <f>-4.905*$G$471</f>
        <v>0</v>
      </c>
      <c r="H567">
        <f>0*$H$471</f>
        <v>0</v>
      </c>
      <c r="I567">
        <f>-6.388*$I$471</f>
        <v>0</v>
      </c>
      <c r="J567">
        <f>-309.747*$J$471</f>
        <v>0</v>
      </c>
      <c r="K567">
        <f>412.996*$K$471</f>
        <v>0</v>
      </c>
      <c r="L567">
        <f>-8.091*$L$471</f>
        <v>0</v>
      </c>
      <c r="M567">
        <f>0+D567+E567+G567+H567+I567+J567+K567+L567</f>
        <v>0</v>
      </c>
      <c r="N567">
        <f>0+D567+F567+G567+H567+I567+J567+K567+L567</f>
        <v>0</v>
      </c>
    </row>
    <row r="568" spans="3:14">
      <c r="C568" t="s">
        <v>63</v>
      </c>
      <c r="D568">
        <f>-44.265*$D$471</f>
        <v>0</v>
      </c>
      <c r="E568">
        <f>19.505*$E$471</f>
        <v>0</v>
      </c>
      <c r="F568">
        <f>-106.477*$F$471</f>
        <v>0</v>
      </c>
      <c r="G568">
        <f>-7.408*$G$471</f>
        <v>0</v>
      </c>
      <c r="H568">
        <f>0*$H$471</f>
        <v>0</v>
      </c>
      <c r="I568">
        <f>-6.332*$I$471</f>
        <v>0</v>
      </c>
      <c r="J568">
        <f>-301.103*$J$471</f>
        <v>0</v>
      </c>
      <c r="K568">
        <f>401.471*$K$471</f>
        <v>0</v>
      </c>
      <c r="L568">
        <f>-17.926*$L$471</f>
        <v>0</v>
      </c>
      <c r="M568">
        <f>0+D568+E568+G568+H568+I568+J568+K568+L568</f>
        <v>0</v>
      </c>
      <c r="N568">
        <f>0+D568+F568+G568+H568+I568+J568+K568+L568</f>
        <v>0</v>
      </c>
    </row>
    <row r="569" spans="3:14">
      <c r="C569" t="s">
        <v>63</v>
      </c>
      <c r="D569">
        <f>-51.003*$D$471</f>
        <v>0</v>
      </c>
      <c r="E569">
        <f>17.493*$E$471</f>
        <v>0</v>
      </c>
      <c r="F569">
        <f>-112.972*$F$471</f>
        <v>0</v>
      </c>
      <c r="G569">
        <f>-9.99*$G$471</f>
        <v>0</v>
      </c>
      <c r="H569">
        <f>0*$H$471</f>
        <v>0</v>
      </c>
      <c r="I569">
        <f>-7.087*$I$471</f>
        <v>0</v>
      </c>
      <c r="J569">
        <f>-289.691*$J$471</f>
        <v>0</v>
      </c>
      <c r="K569">
        <f>386.255*$K$471</f>
        <v>0</v>
      </c>
      <c r="L569">
        <f>-29.021*$L$471</f>
        <v>0</v>
      </c>
      <c r="M569">
        <f>0+D569+E569+G569+H569+I569+J569+K569+L569</f>
        <v>0</v>
      </c>
      <c r="N569">
        <f>0+D569+F569+G569+H569+I569+J569+K569+L569</f>
        <v>0</v>
      </c>
    </row>
    <row r="570" spans="3:14">
      <c r="C570" t="s">
        <v>64</v>
      </c>
      <c r="D570">
        <f>-51.917*$D$471</f>
        <v>0</v>
      </c>
      <c r="E570">
        <f>17.01*$E$471</f>
        <v>0</v>
      </c>
      <c r="F570">
        <f>-113.477*$F$471</f>
        <v>0</v>
      </c>
      <c r="G570">
        <f>-11.362*$G$471</f>
        <v>0</v>
      </c>
      <c r="H570">
        <f>0*$H$471</f>
        <v>0</v>
      </c>
      <c r="I570">
        <f>-7.103*$I$471</f>
        <v>0</v>
      </c>
      <c r="J570">
        <f>-288.669*$J$471</f>
        <v>0</v>
      </c>
      <c r="K570">
        <f>384.892*$K$471</f>
        <v>0</v>
      </c>
      <c r="L570">
        <f>-34.393*$L$471</f>
        <v>0</v>
      </c>
      <c r="M570">
        <f>0+D570+E570+G570+H570+I570+J570+K570+L570</f>
        <v>0</v>
      </c>
      <c r="N570">
        <f>0+D570+F570+G570+H570+I570+J570+K570+L570</f>
        <v>0</v>
      </c>
    </row>
    <row r="571" spans="3:14">
      <c r="C571" t="s">
        <v>64</v>
      </c>
      <c r="D571">
        <f>-55.152*$D$471</f>
        <v>0</v>
      </c>
      <c r="E571">
        <f>13.05*$E$471</f>
        <v>0</v>
      </c>
      <c r="F571">
        <f>-116.24*$F$471</f>
        <v>0</v>
      </c>
      <c r="G571">
        <f>-12.044*$G$471</f>
        <v>0</v>
      </c>
      <c r="H571">
        <f>0*$H$471</f>
        <v>0</v>
      </c>
      <c r="I571">
        <f>-7.514*$I$471</f>
        <v>0</v>
      </c>
      <c r="J571">
        <f>-297.333*$J$471</f>
        <v>0</v>
      </c>
      <c r="K571">
        <f>396.444*$K$471</f>
        <v>0</v>
      </c>
      <c r="L571">
        <f>-36.668*$L$471</f>
        <v>0</v>
      </c>
      <c r="M571">
        <f>0+D571+E571+G571+H571+I571+J571+K571+L571</f>
        <v>0</v>
      </c>
      <c r="N571">
        <f>0+D571+F571+G571+H571+I571+J571+K571+L571</f>
        <v>0</v>
      </c>
    </row>
    <row r="572" spans="3:14">
      <c r="C572" t="s">
        <v>65</v>
      </c>
      <c r="D572">
        <f>-55.604*$D$471</f>
        <v>0</v>
      </c>
      <c r="E572">
        <f>11.893*$E$471</f>
        <v>0</v>
      </c>
      <c r="F572">
        <f>-116.358*$F$471</f>
        <v>0</v>
      </c>
      <c r="G572">
        <f>-11.393*$G$471</f>
        <v>0</v>
      </c>
      <c r="H572">
        <f>0*$H$471</f>
        <v>0</v>
      </c>
      <c r="I572">
        <f>-7.624*$I$471</f>
        <v>0</v>
      </c>
      <c r="J572">
        <f>-313.715*$J$471</f>
        <v>0</v>
      </c>
      <c r="K572">
        <f>418.287*$K$471</f>
        <v>0</v>
      </c>
      <c r="L572">
        <f>-35.708*$L$471</f>
        <v>0</v>
      </c>
      <c r="M572">
        <f>0+D572+E572+G572+H572+I572+J572+K572+L572</f>
        <v>0</v>
      </c>
      <c r="N572">
        <f>0+D572+F572+G572+H572+I572+J572+K572+L572</f>
        <v>0</v>
      </c>
    </row>
    <row r="573" spans="3:14">
      <c r="C573" t="s">
        <v>65</v>
      </c>
      <c r="D573">
        <f>-51.86*$D$471</f>
        <v>0</v>
      </c>
      <c r="E573">
        <f>11.315*$E$471</f>
        <v>0</v>
      </c>
      <c r="F573">
        <f>-110.328*$F$471</f>
        <v>0</v>
      </c>
      <c r="G573">
        <f>-9.53*$G$471</f>
        <v>0</v>
      </c>
      <c r="H573">
        <f>0*$H$471</f>
        <v>0</v>
      </c>
      <c r="I573">
        <f>-7.245*$I$471</f>
        <v>0</v>
      </c>
      <c r="J573">
        <f>-338.178*$J$471</f>
        <v>0</v>
      </c>
      <c r="K573">
        <f>450.904*$K$471</f>
        <v>0</v>
      </c>
      <c r="L573">
        <f>-28.739*$L$471</f>
        <v>0</v>
      </c>
      <c r="M573">
        <f>0+D573+E573+G573+H573+I573+J573+K573+L573</f>
        <v>0</v>
      </c>
      <c r="N573">
        <f>0+D573+F573+G573+H573+I573+J573+K573+L573</f>
        <v>0</v>
      </c>
    </row>
    <row r="574" spans="3:14">
      <c r="C574" t="s">
        <v>66</v>
      </c>
      <c r="D574">
        <f>-52.166*$D$471</f>
        <v>0</v>
      </c>
      <c r="E574">
        <f>10.796*$E$471</f>
        <v>0</v>
      </c>
      <c r="F574">
        <f>-111.59*$F$471</f>
        <v>0</v>
      </c>
      <c r="G574">
        <f>-7.659*$G$471</f>
        <v>0</v>
      </c>
      <c r="H574">
        <f>0*$H$471</f>
        <v>0</v>
      </c>
      <c r="I574">
        <f>-7.416*$I$471</f>
        <v>0</v>
      </c>
      <c r="J574">
        <f>-357.762*$J$471</f>
        <v>0</v>
      </c>
      <c r="K574">
        <f>477.016*$K$471</f>
        <v>0</v>
      </c>
      <c r="L574">
        <f>-23.332*$L$471</f>
        <v>0</v>
      </c>
      <c r="M574">
        <f>0+D574+E574+G574+H574+I574+J574+K574+L574</f>
        <v>0</v>
      </c>
      <c r="N574">
        <f>0+D574+F574+G574+H574+I574+J574+K574+L574</f>
        <v>0</v>
      </c>
    </row>
    <row r="575" spans="3:14">
      <c r="C575" t="s">
        <v>66</v>
      </c>
      <c r="D575">
        <f>-43.412*$D$471</f>
        <v>0</v>
      </c>
      <c r="E575">
        <f>10.241*$E$471</f>
        <v>0</v>
      </c>
      <c r="F575">
        <f>-97.445*$F$471</f>
        <v>0</v>
      </c>
      <c r="G575">
        <f>-5.382*$G$471</f>
        <v>0</v>
      </c>
      <c r="H575">
        <f>0*$H$471</f>
        <v>0</v>
      </c>
      <c r="I575">
        <f>-6.301*$I$471</f>
        <v>0</v>
      </c>
      <c r="J575">
        <f>-362.119*$J$471</f>
        <v>0</v>
      </c>
      <c r="K575">
        <f>482.825*$K$471</f>
        <v>0</v>
      </c>
      <c r="L575">
        <f>-16.067*$L$471</f>
        <v>0</v>
      </c>
      <c r="M575">
        <f>0+D575+E575+G575+H575+I575+J575+K575+L575</f>
        <v>0</v>
      </c>
      <c r="N575">
        <f>0+D575+F575+G575+H575+I575+J575+K575+L575</f>
        <v>0</v>
      </c>
    </row>
    <row r="576" spans="3:14">
      <c r="C576" t="s">
        <v>67</v>
      </c>
      <c r="D576">
        <f>-43.677*$D$471</f>
        <v>0</v>
      </c>
      <c r="E576">
        <f>9.153*$E$471</f>
        <v>0</v>
      </c>
      <c r="F576">
        <f>-97.761*$F$471</f>
        <v>0</v>
      </c>
      <c r="G576">
        <f>-4.244*$G$471</f>
        <v>0</v>
      </c>
      <c r="H576">
        <f>0*$H$471</f>
        <v>0</v>
      </c>
      <c r="I576">
        <f>-6.403*$I$471</f>
        <v>0</v>
      </c>
      <c r="J576">
        <f>-347.004*$J$471</f>
        <v>0</v>
      </c>
      <c r="K576">
        <f>462.672*$K$471</f>
        <v>0</v>
      </c>
      <c r="L576">
        <f>-13.825*$L$471</f>
        <v>0</v>
      </c>
      <c r="M576">
        <f>0+D576+E576+G576+H576+I576+J576+K576+L576</f>
        <v>0</v>
      </c>
      <c r="N576">
        <f>0+D576+F576+G576+H576+I576+J576+K576+L576</f>
        <v>0</v>
      </c>
    </row>
    <row r="577" spans="3:14">
      <c r="C577" t="s">
        <v>67</v>
      </c>
      <c r="D577">
        <f>-30.111*$D$471</f>
        <v>0</v>
      </c>
      <c r="E577">
        <f>7.524*$E$471</f>
        <v>0</v>
      </c>
      <c r="F577">
        <f>-71.794*$F$471</f>
        <v>0</v>
      </c>
      <c r="G577">
        <f>-2.172*$G$471</f>
        <v>0</v>
      </c>
      <c r="H577">
        <f>0*$H$471</f>
        <v>0</v>
      </c>
      <c r="I577">
        <f>-4.479*$I$471</f>
        <v>0</v>
      </c>
      <c r="J577">
        <f>-309.319*$J$471</f>
        <v>0</v>
      </c>
      <c r="K577">
        <f>412.425*$K$471</f>
        <v>0</v>
      </c>
      <c r="L577">
        <f>-7.433*$L$471</f>
        <v>0</v>
      </c>
      <c r="M577">
        <f>0+D577+E577+G577+H577+I577+J577+K577+L577</f>
        <v>0</v>
      </c>
      <c r="N577">
        <f>0+D577+F577+G577+H577+I577+J577+K577+L577</f>
        <v>0</v>
      </c>
    </row>
    <row r="578" spans="3:14">
      <c r="C578" t="s">
        <v>68</v>
      </c>
      <c r="D578">
        <f>-30.369*$D$471</f>
        <v>0</v>
      </c>
      <c r="E578">
        <f>5.338*$E$471</f>
        <v>0</v>
      </c>
      <c r="F578">
        <f>-70.323*$F$471</f>
        <v>0</v>
      </c>
      <c r="G578">
        <f>-1.71*$G$471</f>
        <v>0</v>
      </c>
      <c r="H578">
        <f>0*$H$471</f>
        <v>0</v>
      </c>
      <c r="I578">
        <f>-4.535*$I$471</f>
        <v>0</v>
      </c>
      <c r="J578">
        <f>-246.116*$J$471</f>
        <v>0</v>
      </c>
      <c r="K578">
        <f>328.155*$K$471</f>
        <v>0</v>
      </c>
      <c r="L578">
        <f>-7.024*$L$471</f>
        <v>0</v>
      </c>
      <c r="M578">
        <f>0+D578+E578+G578+H578+I578+J578+K578+L578</f>
        <v>0</v>
      </c>
      <c r="N578">
        <f>0+D578+F578+G578+H578+I578+J578+K578+L578</f>
        <v>0</v>
      </c>
    </row>
    <row r="579" spans="3:14">
      <c r="C579" t="s">
        <v>68</v>
      </c>
      <c r="D579">
        <f>-16.772*$D$471</f>
        <v>0</v>
      </c>
      <c r="E579">
        <f>3.81*$E$471</f>
        <v>0</v>
      </c>
      <c r="F579">
        <f>-45.48*$F$471</f>
        <v>0</v>
      </c>
      <c r="G579">
        <f>0.281*$G$471</f>
        <v>0</v>
      </c>
      <c r="H579">
        <f>0*$H$471</f>
        <v>0</v>
      </c>
      <c r="I579">
        <f>-2.602*$I$471</f>
        <v>0</v>
      </c>
      <c r="J579">
        <f>-176.593*$J$471</f>
        <v>0</v>
      </c>
      <c r="K579">
        <f>235.457*$K$471</f>
        <v>0</v>
      </c>
      <c r="L579">
        <f>0.068*$L$471</f>
        <v>0</v>
      </c>
      <c r="M579">
        <f>0+D579+E579+G579+H579+I579+J579+K579+L579</f>
        <v>0</v>
      </c>
      <c r="N579">
        <f>0+D579+F579+G579+H579+I579+J579+K579+L579</f>
        <v>0</v>
      </c>
    </row>
    <row r="580" spans="3:14">
      <c r="C580" t="s">
        <v>69</v>
      </c>
      <c r="D580">
        <f>-16.691*$D$471</f>
        <v>0</v>
      </c>
      <c r="E580">
        <f>0.815*$E$471</f>
        <v>0</v>
      </c>
      <c r="F580">
        <f>-39.655*$F$471</f>
        <v>0</v>
      </c>
      <c r="G580">
        <f>0.04*$G$471</f>
        <v>0</v>
      </c>
      <c r="H580">
        <f>0*$H$471</f>
        <v>0</v>
      </c>
      <c r="I580">
        <f>-2.574*$I$471</f>
        <v>0</v>
      </c>
      <c r="J580">
        <f>-132.197*$J$471</f>
        <v>0</v>
      </c>
      <c r="K580">
        <f>176.262*$K$471</f>
        <v>0</v>
      </c>
      <c r="L580">
        <f>-0.797*$L$471</f>
        <v>0</v>
      </c>
      <c r="M580">
        <f>0+D580+E580+G580+H580+I580+J580+K580+L580</f>
        <v>0</v>
      </c>
      <c r="N580">
        <f>0+D580+F580+G580+H580+I580+J580+K580+L580</f>
        <v>0</v>
      </c>
    </row>
    <row r="585" spans="3:14">
      <c r="C585" t="s">
        <v>74</v>
      </c>
    </row>
    <row r="587" spans="3:14">
      <c r="C587" t="s">
        <v>2</v>
      </c>
    </row>
    <row r="588" spans="3:14">
      <c r="C588" t="s">
        <v>3</v>
      </c>
      <c r="D588" t="s">
        <v>4</v>
      </c>
      <c r="E588" t="s">
        <v>5</v>
      </c>
      <c r="F588" t="s">
        <v>6</v>
      </c>
      <c r="G588" t="s">
        <v>7</v>
      </c>
      <c r="H588" t="s">
        <v>8</v>
      </c>
      <c r="I588" t="s">
        <v>9</v>
      </c>
      <c r="J588" t="s">
        <v>10</v>
      </c>
      <c r="K588" t="s">
        <v>11</v>
      </c>
      <c r="L588" t="s">
        <v>12</v>
      </c>
      <c r="M588" t="s">
        <v>13</v>
      </c>
      <c r="N588" t="s">
        <v>14</v>
      </c>
    </row>
    <row r="589" spans="3:14">
      <c r="C589" t="s">
        <v>78</v>
      </c>
      <c r="D589">
        <f>1.79*$D$587</f>
        <v>0</v>
      </c>
      <c r="E589">
        <f>120.4678*$E$587</f>
        <v>0</v>
      </c>
      <c r="F589">
        <f>-134.1462*$F$587</f>
        <v>0</v>
      </c>
      <c r="G589">
        <f>3.3371*$G$587</f>
        <v>0</v>
      </c>
      <c r="H589">
        <f>0*$H$587</f>
        <v>0</v>
      </c>
      <c r="I589">
        <f>0.0292*$I$587</f>
        <v>0</v>
      </c>
      <c r="J589">
        <f>38.6486*$J$587</f>
        <v>0</v>
      </c>
      <c r="K589">
        <f>-51.5315*$K$587</f>
        <v>0</v>
      </c>
      <c r="L589">
        <f>-0.0309*$L$587</f>
        <v>0</v>
      </c>
      <c r="M589">
        <f>0+D589+E589+G589+H589+I589+J589+K589+L589</f>
        <v>0</v>
      </c>
      <c r="N589">
        <f>0+D589+F589+G589+H589+I589+J589+K589+L589</f>
        <v>0</v>
      </c>
    </row>
    <row r="590" spans="3:14">
      <c r="C590" t="s">
        <v>16</v>
      </c>
      <c r="D590">
        <f>2.3753*$D$587</f>
        <v>0</v>
      </c>
      <c r="E590">
        <f>119.1996*$E$587</f>
        <v>0</v>
      </c>
      <c r="F590">
        <f>-123.2549*$F$587</f>
        <v>0</v>
      </c>
      <c r="G590">
        <f>3.1498*$G$587</f>
        <v>0</v>
      </c>
      <c r="H590">
        <f>0*$H$587</f>
        <v>0</v>
      </c>
      <c r="I590">
        <f>0.1275*$I$587</f>
        <v>0</v>
      </c>
      <c r="J590">
        <f>39.537*$J$587</f>
        <v>0</v>
      </c>
      <c r="K590">
        <f>-52.716*$K$587</f>
        <v>0</v>
      </c>
      <c r="L590">
        <f>-0.0314*$L$587</f>
        <v>0</v>
      </c>
      <c r="M590">
        <f>0+D590+E590+G590+H590+I590+J590+K590+L590</f>
        <v>0</v>
      </c>
      <c r="N590">
        <f>0+D590+F590+G590+H590+I590+J590+K590+L590</f>
        <v>0</v>
      </c>
    </row>
    <row r="591" spans="3:14">
      <c r="C591" t="s">
        <v>16</v>
      </c>
      <c r="D591">
        <f>2.2424*$D$587</f>
        <v>0</v>
      </c>
      <c r="E591">
        <f>124.1802*$E$587</f>
        <v>0</v>
      </c>
      <c r="F591">
        <f>-124.0169*$F$587</f>
        <v>0</v>
      </c>
      <c r="G591">
        <f>3.8718*$G$587</f>
        <v>0</v>
      </c>
      <c r="H591">
        <f>0*$H$587</f>
        <v>0</v>
      </c>
      <c r="I591">
        <f>0.0537*$I$587</f>
        <v>0</v>
      </c>
      <c r="J591">
        <f>40.7158*$J$587</f>
        <v>0</v>
      </c>
      <c r="K591">
        <f>-54.2878*$K$587</f>
        <v>0</v>
      </c>
      <c r="L591">
        <f>-0.034*$L$587</f>
        <v>0</v>
      </c>
      <c r="M591">
        <f>0+D591+E591+G591+H591+I591+J591+K591+L591</f>
        <v>0</v>
      </c>
      <c r="N591">
        <f>0+D591+F591+G591+H591+I591+J591+K591+L591</f>
        <v>0</v>
      </c>
    </row>
    <row r="592" spans="3:14">
      <c r="C592" t="s">
        <v>17</v>
      </c>
      <c r="D592">
        <f>2.4317*$D$587</f>
        <v>0</v>
      </c>
      <c r="E592">
        <f>126.9449*$E$587</f>
        <v>0</v>
      </c>
      <c r="F592">
        <f>-125.2832*$F$587</f>
        <v>0</v>
      </c>
      <c r="G592">
        <f>4.2261*$G$587</f>
        <v>0</v>
      </c>
      <c r="H592">
        <f>0*$H$587</f>
        <v>0</v>
      </c>
      <c r="I592">
        <f>0.0689*$I$587</f>
        <v>0</v>
      </c>
      <c r="J592">
        <f>44.3068*$J$587</f>
        <v>0</v>
      </c>
      <c r="K592">
        <f>-59.0757*$K$587</f>
        <v>0</v>
      </c>
      <c r="L592">
        <f>-0.037*$L$587</f>
        <v>0</v>
      </c>
      <c r="M592">
        <f>0+D592+E592+G592+H592+I592+J592+K592+L592</f>
        <v>0</v>
      </c>
      <c r="N592">
        <f>0+D592+F592+G592+H592+I592+J592+K592+L592</f>
        <v>0</v>
      </c>
    </row>
    <row r="593" spans="3:14">
      <c r="C593" t="s">
        <v>17</v>
      </c>
      <c r="D593">
        <f>2.457*$D$587</f>
        <v>0</v>
      </c>
      <c r="E593">
        <f>131.7736*$E$587</f>
        <v>0</v>
      </c>
      <c r="F593">
        <f>-127.5067*$F$587</f>
        <v>0</v>
      </c>
      <c r="G593">
        <f>4.8221*$G$587</f>
        <v>0</v>
      </c>
      <c r="H593">
        <f>0*$H$587</f>
        <v>0</v>
      </c>
      <c r="I593">
        <f>0.0388*$I$587</f>
        <v>0</v>
      </c>
      <c r="J593">
        <f>43.1825*$J$587</f>
        <v>0</v>
      </c>
      <c r="K593">
        <f>-57.5767*$K$587</f>
        <v>0</v>
      </c>
      <c r="L593">
        <f>-0.04*$L$587</f>
        <v>0</v>
      </c>
      <c r="M593">
        <f>0+D593+E593+G593+H593+I593+J593+K593+L593</f>
        <v>0</v>
      </c>
      <c r="N593">
        <f>0+D593+F593+G593+H593+I593+J593+K593+L593</f>
        <v>0</v>
      </c>
    </row>
    <row r="594" spans="3:14">
      <c r="C594" t="s">
        <v>18</v>
      </c>
      <c r="D594">
        <f>2.5849*$D$587</f>
        <v>0</v>
      </c>
      <c r="E594">
        <f>133.1611*$E$587</f>
        <v>0</v>
      </c>
      <c r="F594">
        <f>-126.6628*$F$587</f>
        <v>0</v>
      </c>
      <c r="G594">
        <f>4.9514*$G$587</f>
        <v>0</v>
      </c>
      <c r="H594">
        <f>0*$H$587</f>
        <v>0</v>
      </c>
      <c r="I594">
        <f>0.0628*$I$587</f>
        <v>0</v>
      </c>
      <c r="J594">
        <f>40.9486*$J$587</f>
        <v>0</v>
      </c>
      <c r="K594">
        <f>-54.5981*$K$587</f>
        <v>0</v>
      </c>
      <c r="L594">
        <f>-0.0431*$L$587</f>
        <v>0</v>
      </c>
      <c r="M594">
        <f>0+D594+E594+G594+H594+I594+J594+K594+L594</f>
        <v>0</v>
      </c>
      <c r="N594">
        <f>0+D594+F594+G594+H594+I594+J594+K594+L594</f>
        <v>0</v>
      </c>
    </row>
    <row r="595" spans="3:14">
      <c r="C595" t="s">
        <v>18</v>
      </c>
      <c r="D595">
        <f>2.6206*$D$587</f>
        <v>0</v>
      </c>
      <c r="E595">
        <f>136.3573*$E$587</f>
        <v>0</v>
      </c>
      <c r="F595">
        <f>-126.7155*$F$587</f>
        <v>0</v>
      </c>
      <c r="G595">
        <f>5.2095*$G$587</f>
        <v>0</v>
      </c>
      <c r="H595">
        <f>0*$H$587</f>
        <v>0</v>
      </c>
      <c r="I595">
        <f>0.0568*$I$587</f>
        <v>0</v>
      </c>
      <c r="J595">
        <f>37.4634*$J$587</f>
        <v>0</v>
      </c>
      <c r="K595">
        <f>-49.9512*$K$587</f>
        <v>0</v>
      </c>
      <c r="L595">
        <f>-0.0458*$L$587</f>
        <v>0</v>
      </c>
      <c r="M595">
        <f>0+D595+E595+G595+H595+I595+J595+K595+L595</f>
        <v>0</v>
      </c>
      <c r="N595">
        <f>0+D595+F595+G595+H595+I595+J595+K595+L595</f>
        <v>0</v>
      </c>
    </row>
    <row r="596" spans="3:14">
      <c r="C596" t="s">
        <v>19</v>
      </c>
      <c r="D596">
        <f>2.7629*$D$587</f>
        <v>0</v>
      </c>
      <c r="E596">
        <f>137.5862*$E$587</f>
        <v>0</v>
      </c>
      <c r="F596">
        <f>-125.1859*$F$587</f>
        <v>0</v>
      </c>
      <c r="G596">
        <f>4.8906*$G$587</f>
        <v>0</v>
      </c>
      <c r="H596">
        <f>0*$H$587</f>
        <v>0</v>
      </c>
      <c r="I596">
        <f>0.1109*$I$587</f>
        <v>0</v>
      </c>
      <c r="J596">
        <f>35.7145*$J$587</f>
        <v>0</v>
      </c>
      <c r="K596">
        <f>-47.6193*$K$587</f>
        <v>0</v>
      </c>
      <c r="L596">
        <f>-0.0491*$L$587</f>
        <v>0</v>
      </c>
      <c r="M596">
        <f>0+D596+E596+G596+H596+I596+J596+K596+L596</f>
        <v>0</v>
      </c>
      <c r="N596">
        <f>0+D596+F596+G596+H596+I596+J596+K596+L596</f>
        <v>0</v>
      </c>
    </row>
    <row r="597" spans="3:14">
      <c r="C597" t="s">
        <v>19</v>
      </c>
      <c r="D597">
        <f>2.7139*$D$587</f>
        <v>0</v>
      </c>
      <c r="E597">
        <f>140.9542*$E$587</f>
        <v>0</v>
      </c>
      <c r="F597">
        <f>-124.7478*$F$587</f>
        <v>0</v>
      </c>
      <c r="G597">
        <f>4.8769*$G$587</f>
        <v>0</v>
      </c>
      <c r="H597">
        <f>0*$H$587</f>
        <v>0</v>
      </c>
      <c r="I597">
        <f>0.0987*$I$587</f>
        <v>0</v>
      </c>
      <c r="J597">
        <f>32.7635*$J$587</f>
        <v>0</v>
      </c>
      <c r="K597">
        <f>-43.6846*$K$587</f>
        <v>0</v>
      </c>
      <c r="L597">
        <f>-0.0515*$L$587</f>
        <v>0</v>
      </c>
      <c r="M597">
        <f>0+D597+E597+G597+H597+I597+J597+K597+L597</f>
        <v>0</v>
      </c>
      <c r="N597">
        <f>0+D597+F597+G597+H597+I597+J597+K597+L597</f>
        <v>0</v>
      </c>
    </row>
    <row r="598" spans="3:14">
      <c r="C598" t="s">
        <v>20</v>
      </c>
      <c r="D598">
        <f>2.7108*$D$587</f>
        <v>0</v>
      </c>
      <c r="E598">
        <f>140.8178*$E$587</f>
        <v>0</v>
      </c>
      <c r="F598">
        <f>-122.8297*$F$587</f>
        <v>0</v>
      </c>
      <c r="G598">
        <f>4.1001*$G$587</f>
        <v>0</v>
      </c>
      <c r="H598">
        <f>0*$H$587</f>
        <v>0</v>
      </c>
      <c r="I598">
        <f>0.1424*$I$587</f>
        <v>0</v>
      </c>
      <c r="J598">
        <f>33.812*$J$587</f>
        <v>0</v>
      </c>
      <c r="K598">
        <f>-45.0827*$K$587</f>
        <v>0</v>
      </c>
      <c r="L598">
        <f>-0.0542*$L$587</f>
        <v>0</v>
      </c>
      <c r="M598">
        <f>0+D598+E598+G598+H598+I598+J598+K598+L598</f>
        <v>0</v>
      </c>
      <c r="N598">
        <f>0+D598+F598+G598+H598+I598+J598+K598+L598</f>
        <v>0</v>
      </c>
    </row>
    <row r="599" spans="3:14">
      <c r="C599" t="s">
        <v>20</v>
      </c>
      <c r="D599">
        <f>0.7238*$D$587</f>
        <v>0</v>
      </c>
      <c r="E599">
        <f>139.0202*$E$587</f>
        <v>0</v>
      </c>
      <c r="F599">
        <f>-124.2806*$F$587</f>
        <v>0</v>
      </c>
      <c r="G599">
        <f>3.4407*$G$587</f>
        <v>0</v>
      </c>
      <c r="H599">
        <f>0*$H$587</f>
        <v>0</v>
      </c>
      <c r="I599">
        <f>-0.116*$I$587</f>
        <v>0</v>
      </c>
      <c r="J599">
        <f>26.841*$J$587</f>
        <v>0</v>
      </c>
      <c r="K599">
        <f>-35.788*$K$587</f>
        <v>0</v>
      </c>
      <c r="L599">
        <f>-0.056*$L$587</f>
        <v>0</v>
      </c>
      <c r="M599">
        <f>0+D599+E599+G599+H599+I599+J599+K599+L599</f>
        <v>0</v>
      </c>
      <c r="N599">
        <f>0+D599+F599+G599+H599+I599+J599+K599+L599</f>
        <v>0</v>
      </c>
    </row>
    <row r="600" spans="3:14">
      <c r="C600" t="s">
        <v>21</v>
      </c>
      <c r="D600">
        <f>0.6688*$D$587</f>
        <v>0</v>
      </c>
      <c r="E600">
        <f>132.7878*$E$587</f>
        <v>0</v>
      </c>
      <c r="F600">
        <f>-117.4191*$F$587</f>
        <v>0</v>
      </c>
      <c r="G600">
        <f>2.5742*$G$587</f>
        <v>0</v>
      </c>
      <c r="H600">
        <f>0*$H$587</f>
        <v>0</v>
      </c>
      <c r="I600">
        <f>-0.0748*$I$587</f>
        <v>0</v>
      </c>
      <c r="J600">
        <f>27.2962*$J$587</f>
        <v>0</v>
      </c>
      <c r="K600">
        <f>-36.3949*$K$587</f>
        <v>0</v>
      </c>
      <c r="L600">
        <f>-0.0567*$L$587</f>
        <v>0</v>
      </c>
      <c r="M600">
        <f>0+D600+E600+G600+H600+I600+J600+K600+L600</f>
        <v>0</v>
      </c>
      <c r="N600">
        <f>0+D600+F600+G600+H600+I600+J600+K600+L600</f>
        <v>0</v>
      </c>
    </row>
    <row r="601" spans="3:14">
      <c r="C601" t="s">
        <v>21</v>
      </c>
      <c r="D601">
        <f>0.5942*$D$587</f>
        <v>0</v>
      </c>
      <c r="E601">
        <f>130.1364*$E$587</f>
        <v>0</v>
      </c>
      <c r="F601">
        <f>-113.2881*$F$587</f>
        <v>0</v>
      </c>
      <c r="G601">
        <f>2.4581*$G$587</f>
        <v>0</v>
      </c>
      <c r="H601">
        <f>0*$H$587</f>
        <v>0</v>
      </c>
      <c r="I601">
        <f>-0.0855*$I$587</f>
        <v>0</v>
      </c>
      <c r="J601">
        <f>23.9198*$J$587</f>
        <v>0</v>
      </c>
      <c r="K601">
        <f>-31.8931*$K$587</f>
        <v>0</v>
      </c>
      <c r="L601">
        <f>-0.0579*$L$587</f>
        <v>0</v>
      </c>
      <c r="M601">
        <f>0+D601+E601+G601+H601+I601+J601+K601+L601</f>
        <v>0</v>
      </c>
      <c r="N601">
        <f>0+D601+F601+G601+H601+I601+J601+K601+L601</f>
        <v>0</v>
      </c>
    </row>
    <row r="602" spans="3:14">
      <c r="C602" t="s">
        <v>22</v>
      </c>
      <c r="D602">
        <f>0.6192*$D$587</f>
        <v>0</v>
      </c>
      <c r="E602">
        <f>124.0548*$E$587</f>
        <v>0</v>
      </c>
      <c r="F602">
        <f>-106.1133*$F$587</f>
        <v>0</v>
      </c>
      <c r="G602">
        <f>1.9568*$G$587</f>
        <v>0</v>
      </c>
      <c r="H602">
        <f>0*$H$587</f>
        <v>0</v>
      </c>
      <c r="I602">
        <f>-0.039*$I$587</f>
        <v>0</v>
      </c>
      <c r="J602">
        <f>21.369*$J$587</f>
        <v>0</v>
      </c>
      <c r="K602">
        <f>-28.492*$K$587</f>
        <v>0</v>
      </c>
      <c r="L602">
        <f>-0.0583*$L$587</f>
        <v>0</v>
      </c>
      <c r="M602">
        <f>0+D602+E602+G602+H602+I602+J602+K602+L602</f>
        <v>0</v>
      </c>
      <c r="N602">
        <f>0+D602+F602+G602+H602+I602+J602+K602+L602</f>
        <v>0</v>
      </c>
    </row>
    <row r="603" spans="3:14">
      <c r="C603" t="s">
        <v>22</v>
      </c>
      <c r="D603">
        <f>0.6076*$D$587</f>
        <v>0</v>
      </c>
      <c r="E603">
        <f>121.2316*$E$587</f>
        <v>0</v>
      </c>
      <c r="F603">
        <f>-102.3098*$F$587</f>
        <v>0</v>
      </c>
      <c r="G603">
        <f>1.9373*$G$587</f>
        <v>0</v>
      </c>
      <c r="H603">
        <f>0*$H$587</f>
        <v>0</v>
      </c>
      <c r="I603">
        <f>-0.0366*$I$587</f>
        <v>0</v>
      </c>
      <c r="J603">
        <f>16.5898*$J$587</f>
        <v>0</v>
      </c>
      <c r="K603">
        <f>-22.1198*$K$587</f>
        <v>0</v>
      </c>
      <c r="L603">
        <f>-0.0595*$L$587</f>
        <v>0</v>
      </c>
      <c r="M603">
        <f>0+D603+E603+G603+H603+I603+J603+K603+L603</f>
        <v>0</v>
      </c>
      <c r="N603">
        <f>0+D603+F603+G603+H603+I603+J603+K603+L603</f>
        <v>0</v>
      </c>
    </row>
    <row r="604" spans="3:14">
      <c r="C604" t="s">
        <v>23</v>
      </c>
      <c r="D604">
        <f>0.6513*$D$587</f>
        <v>0</v>
      </c>
      <c r="E604">
        <f>115.925*$E$587</f>
        <v>0</v>
      </c>
      <c r="F604">
        <f>-97.5967*$F$587</f>
        <v>0</v>
      </c>
      <c r="G604">
        <f>1.655*$G$587</f>
        <v>0</v>
      </c>
      <c r="H604">
        <f>0*$H$587</f>
        <v>0</v>
      </c>
      <c r="I604">
        <f>-0.0009266*$I$587</f>
        <v>0</v>
      </c>
      <c r="J604">
        <f>12.2031*$J$587</f>
        <v>0</v>
      </c>
      <c r="K604">
        <f>-16.2708*$K$587</f>
        <v>0</v>
      </c>
      <c r="L604">
        <f>-0.061*$L$587</f>
        <v>0</v>
      </c>
      <c r="M604">
        <f>0+D604+E604+G604+H604+I604+J604+K604+L604</f>
        <v>0</v>
      </c>
      <c r="N604">
        <f>0+D604+F604+G604+H604+I604+J604+K604+L604</f>
        <v>0</v>
      </c>
    </row>
    <row r="605" spans="3:14">
      <c r="C605" t="s">
        <v>23</v>
      </c>
      <c r="D605">
        <f>0.6916*$D$587</f>
        <v>0</v>
      </c>
      <c r="E605">
        <f>113.9458*$E$587</f>
        <v>0</v>
      </c>
      <c r="F605">
        <f>-95.0344*$F$587</f>
        <v>0</v>
      </c>
      <c r="G605">
        <f>1.6419*$G$587</f>
        <v>0</v>
      </c>
      <c r="H605">
        <f>0*$H$587</f>
        <v>0</v>
      </c>
      <c r="I605">
        <f>0.0083*$I$587</f>
        <v>0</v>
      </c>
      <c r="J605">
        <f>7.4119*$J$587</f>
        <v>0</v>
      </c>
      <c r="K605">
        <f>-9.8825*$K$587</f>
        <v>0</v>
      </c>
      <c r="L605">
        <f>-0.0625*$L$587</f>
        <v>0</v>
      </c>
      <c r="M605">
        <f>0+D605+E605+G605+H605+I605+J605+K605+L605</f>
        <v>0</v>
      </c>
      <c r="N605">
        <f>0+D605+F605+G605+H605+I605+J605+K605+L605</f>
        <v>0</v>
      </c>
    </row>
    <row r="606" spans="3:14">
      <c r="C606" t="s">
        <v>24</v>
      </c>
      <c r="D606">
        <f>0.7854*$D$587</f>
        <v>0</v>
      </c>
      <c r="E606">
        <f>110.2947*$E$587</f>
        <v>0</v>
      </c>
      <c r="F606">
        <f>-91.3431*$F$587</f>
        <v>0</v>
      </c>
      <c r="G606">
        <f>1.1425*$G$587</f>
        <v>0</v>
      </c>
      <c r="H606">
        <f>0*$H$587</f>
        <v>0</v>
      </c>
      <c r="I606">
        <f>0.0639*$I$587</f>
        <v>0</v>
      </c>
      <c r="J606">
        <f>4.7904*$J$587</f>
        <v>0</v>
      </c>
      <c r="K606">
        <f>-6.3872*$K$587</f>
        <v>0</v>
      </c>
      <c r="L606">
        <f>-0.0651*$L$587</f>
        <v>0</v>
      </c>
      <c r="M606">
        <f>0+D606+E606+G606+H606+I606+J606+K606+L606</f>
        <v>0</v>
      </c>
      <c r="N606">
        <f>0+D606+F606+G606+H606+I606+J606+K606+L606</f>
        <v>0</v>
      </c>
    </row>
    <row r="607" spans="3:14">
      <c r="C607" t="s">
        <v>24</v>
      </c>
      <c r="D607">
        <f>0.7977*$D$587</f>
        <v>0</v>
      </c>
      <c r="E607">
        <f>108.7684*$E$587</f>
        <v>0</v>
      </c>
      <c r="F607">
        <f>-90.7788*$F$587</f>
        <v>0</v>
      </c>
      <c r="G607">
        <f>1.0901*$G$587</f>
        <v>0</v>
      </c>
      <c r="H607">
        <f>0*$H$587</f>
        <v>0</v>
      </c>
      <c r="I607">
        <f>0.0602*$I$587</f>
        <v>0</v>
      </c>
      <c r="J607">
        <f>1.9405*$J$587</f>
        <v>0</v>
      </c>
      <c r="K607">
        <f>-2.5873*$K$587</f>
        <v>0</v>
      </c>
      <c r="L607">
        <f>-0.0666*$L$587</f>
        <v>0</v>
      </c>
      <c r="M607">
        <f>0+D607+E607+G607+H607+I607+J607+K607+L607</f>
        <v>0</v>
      </c>
      <c r="N607">
        <f>0+D607+F607+G607+H607+I607+J607+K607+L607</f>
        <v>0</v>
      </c>
    </row>
    <row r="608" spans="3:14">
      <c r="C608" t="s">
        <v>25</v>
      </c>
      <c r="D608">
        <f>0.7043*$D$587</f>
        <v>0</v>
      </c>
      <c r="E608">
        <f>103.9679*$E$587</f>
        <v>0</v>
      </c>
      <c r="F608">
        <f>-89.5156*$F$587</f>
        <v>0</v>
      </c>
      <c r="G608">
        <f>0.2882*$G$587</f>
        <v>0</v>
      </c>
      <c r="H608">
        <f>0*$H$587</f>
        <v>0</v>
      </c>
      <c r="I608">
        <f>0.0893*$I$587</f>
        <v>0</v>
      </c>
      <c r="J608">
        <f>3.1222*$J$587</f>
        <v>0</v>
      </c>
      <c r="K608">
        <f>-4.163*$K$587</f>
        <v>0</v>
      </c>
      <c r="L608">
        <f>-0.0688*$L$587</f>
        <v>0</v>
      </c>
      <c r="M608">
        <f>0+D608+E608+G608+H608+I608+J608+K608+L608</f>
        <v>0</v>
      </c>
      <c r="N608">
        <f>0+D608+F608+G608+H608+I608+J608+K608+L608</f>
        <v>0</v>
      </c>
    </row>
    <row r="609" spans="3:14">
      <c r="C609" t="s">
        <v>25</v>
      </c>
      <c r="D609">
        <f>-1.9899*$D$587</f>
        <v>0</v>
      </c>
      <c r="E609">
        <f>93.301*$E$587</f>
        <v>0</v>
      </c>
      <c r="F609">
        <f>-86.0861*$F$587</f>
        <v>0</v>
      </c>
      <c r="G609">
        <f>0.4757*$G$587</f>
        <v>0</v>
      </c>
      <c r="H609">
        <f>0*$H$587</f>
        <v>0</v>
      </c>
      <c r="I609">
        <f>-0.3356*$I$587</f>
        <v>0</v>
      </c>
      <c r="J609">
        <f>5.1499*$J$587</f>
        <v>0</v>
      </c>
      <c r="K609">
        <f>-6.8665*$K$587</f>
        <v>0</v>
      </c>
      <c r="L609">
        <f>-0.0699*$L$587</f>
        <v>0</v>
      </c>
      <c r="M609">
        <f>0+D609+E609+G609+H609+I609+J609+K609+L609</f>
        <v>0</v>
      </c>
      <c r="N609">
        <f>0+D609+F609+G609+H609+I609+J609+K609+L609</f>
        <v>0</v>
      </c>
    </row>
    <row r="610" spans="3:14">
      <c r="C610" t="s">
        <v>26</v>
      </c>
      <c r="D610">
        <f>-2.0035*$D$587</f>
        <v>0</v>
      </c>
      <c r="E610">
        <f>87.1375*$E$587</f>
        <v>0</v>
      </c>
      <c r="F610">
        <f>-93.4784*$F$587</f>
        <v>0</v>
      </c>
      <c r="G610">
        <f>-0.3136*$G$587</f>
        <v>0</v>
      </c>
      <c r="H610">
        <f>0*$H$587</f>
        <v>0</v>
      </c>
      <c r="I610">
        <f>-0.296*$I$587</f>
        <v>0</v>
      </c>
      <c r="J610">
        <f>6.4089*$J$587</f>
        <v>0</v>
      </c>
      <c r="K610">
        <f>-8.5452*$K$587</f>
        <v>0</v>
      </c>
      <c r="L610">
        <f>-0.0696*$L$587</f>
        <v>0</v>
      </c>
      <c r="M610">
        <f>0+D610+E610+G610+H610+I610+J610+K610+L610</f>
        <v>0</v>
      </c>
      <c r="N610">
        <f>0+D610+F610+G610+H610+I610+J610+K610+L610</f>
        <v>0</v>
      </c>
    </row>
    <row r="611" spans="3:14">
      <c r="C611" t="s">
        <v>26</v>
      </c>
      <c r="D611">
        <f>-1.7978*$D$587</f>
        <v>0</v>
      </c>
      <c r="E611">
        <f>86.5406*$E$587</f>
        <v>0</v>
      </c>
      <c r="F611">
        <f>-91.8581*$F$587</f>
        <v>0</v>
      </c>
      <c r="G611">
        <f>-0.3293*$G$587</f>
        <v>0</v>
      </c>
      <c r="H611">
        <f>0*$H$587</f>
        <v>0</v>
      </c>
      <c r="I611">
        <f>-0.2748*$I$587</f>
        <v>0</v>
      </c>
      <c r="J611">
        <f>3.8128*$J$587</f>
        <v>0</v>
      </c>
      <c r="K611">
        <f>-5.0837*$K$587</f>
        <v>0</v>
      </c>
      <c r="L611">
        <f>-0.07*$L$587</f>
        <v>0</v>
      </c>
      <c r="M611">
        <f>0+D611+E611+G611+H611+I611+J611+K611+L611</f>
        <v>0</v>
      </c>
      <c r="N611">
        <f>0+D611+F611+G611+H611+I611+J611+K611+L611</f>
        <v>0</v>
      </c>
    </row>
    <row r="612" spans="3:14">
      <c r="C612" t="s">
        <v>27</v>
      </c>
      <c r="D612">
        <f>-1.4194*$D$587</f>
        <v>0</v>
      </c>
      <c r="E612">
        <f>85.1891*$E$587</f>
        <v>0</v>
      </c>
      <c r="F612">
        <f>-91.3807*$F$587</f>
        <v>0</v>
      </c>
      <c r="G612">
        <f>-0.7755*$G$587</f>
        <v>0</v>
      </c>
      <c r="H612">
        <f>0*$H$587</f>
        <v>0</v>
      </c>
      <c r="I612">
        <f>-0.1825*$I$587</f>
        <v>0</v>
      </c>
      <c r="J612">
        <f>1.551*$J$587</f>
        <v>0</v>
      </c>
      <c r="K612">
        <f>-2.0679*$K$587</f>
        <v>0</v>
      </c>
      <c r="L612">
        <f>-0.0696*$L$587</f>
        <v>0</v>
      </c>
      <c r="M612">
        <f>0+D612+E612+G612+H612+I612+J612+K612+L612</f>
        <v>0</v>
      </c>
      <c r="N612">
        <f>0+D612+F612+G612+H612+I612+J612+K612+L612</f>
        <v>0</v>
      </c>
    </row>
    <row r="613" spans="3:14">
      <c r="C613" t="s">
        <v>27</v>
      </c>
      <c r="D613">
        <f>-0.994*$D$587</f>
        <v>0</v>
      </c>
      <c r="E613">
        <f>90.1329*$E$587</f>
        <v>0</v>
      </c>
      <c r="F613">
        <f>-92.6436*$F$587</f>
        <v>0</v>
      </c>
      <c r="G613">
        <f>-0.7224*$G$587</f>
        <v>0</v>
      </c>
      <c r="H613">
        <f>0*$H$587</f>
        <v>0</v>
      </c>
      <c r="I613">
        <f>-0.1233*$I$587</f>
        <v>0</v>
      </c>
      <c r="J613">
        <f>-2.8166*$J$587</f>
        <v>0</v>
      </c>
      <c r="K613">
        <f>3.7555*$K$587</f>
        <v>0</v>
      </c>
      <c r="L613">
        <f>-0.0702*$L$587</f>
        <v>0</v>
      </c>
      <c r="M613">
        <f>0+D613+E613+G613+H613+I613+J613+K613+L613</f>
        <v>0</v>
      </c>
      <c r="N613">
        <f>0+D613+F613+G613+H613+I613+J613+K613+L613</f>
        <v>0</v>
      </c>
    </row>
    <row r="614" spans="3:14">
      <c r="C614" t="s">
        <v>28</v>
      </c>
      <c r="D614">
        <f>-0.4924*$D$587</f>
        <v>0</v>
      </c>
      <c r="E614">
        <f>86.4466*$E$587</f>
        <v>0</v>
      </c>
      <c r="F614">
        <f>-98.5854*$F$587</f>
        <v>0</v>
      </c>
      <c r="G614">
        <f>-0.9262*$G$587</f>
        <v>0</v>
      </c>
      <c r="H614">
        <f>0*$H$587</f>
        <v>0</v>
      </c>
      <c r="I614">
        <f>-0.0282*$I$587</f>
        <v>0</v>
      </c>
      <c r="J614">
        <f>-6.7291*$J$587</f>
        <v>0</v>
      </c>
      <c r="K614">
        <f>8.9721*$K$587</f>
        <v>0</v>
      </c>
      <c r="L614">
        <f>-0.0712*$L$587</f>
        <v>0</v>
      </c>
      <c r="M614">
        <f>0+D614+E614+G614+H614+I614+J614+K614+L614</f>
        <v>0</v>
      </c>
      <c r="N614">
        <f>0+D614+F614+G614+H614+I614+J614+K614+L614</f>
        <v>0</v>
      </c>
    </row>
    <row r="615" spans="3:14">
      <c r="C615" t="s">
        <v>28</v>
      </c>
      <c r="D615">
        <f>0.0349*$D$587</f>
        <v>0</v>
      </c>
      <c r="E615">
        <f>89.3992*$E$587</f>
        <v>0</v>
      </c>
      <c r="F615">
        <f>-100.9425*$F$587</f>
        <v>0</v>
      </c>
      <c r="G615">
        <f>-0.8654*$G$587</f>
        <v>0</v>
      </c>
      <c r="H615">
        <f>0*$H$587</f>
        <v>0</v>
      </c>
      <c r="I615">
        <f>0.045*$I$587</f>
        <v>0</v>
      </c>
      <c r="J615">
        <f>-11.1006*$J$587</f>
        <v>0</v>
      </c>
      <c r="K615">
        <f>14.8008*$K$587</f>
        <v>0</v>
      </c>
      <c r="L615">
        <f>-0.0725*$L$587</f>
        <v>0</v>
      </c>
      <c r="M615">
        <f>0+D615+E615+G615+H615+I615+J615+K615+L615</f>
        <v>0</v>
      </c>
      <c r="N615">
        <f>0+D615+F615+G615+H615+I615+J615+K615+L615</f>
        <v>0</v>
      </c>
    </row>
    <row r="616" spans="3:14">
      <c r="C616" t="s">
        <v>29</v>
      </c>
      <c r="D616">
        <f>0.6237*$D$587</f>
        <v>0</v>
      </c>
      <c r="E616">
        <f>94.1868*$E$587</f>
        <v>0</v>
      </c>
      <c r="F616">
        <f>-106.772*$F$587</f>
        <v>0</v>
      </c>
      <c r="G616">
        <f>-1.2892*$G$587</f>
        <v>0</v>
      </c>
      <c r="H616">
        <f>0*$H$587</f>
        <v>0</v>
      </c>
      <c r="I616">
        <f>0.1663*$I$587</f>
        <v>0</v>
      </c>
      <c r="J616">
        <f>-13.3811*$J$587</f>
        <v>0</v>
      </c>
      <c r="K616">
        <f>17.8415*$K$587</f>
        <v>0</v>
      </c>
      <c r="L616">
        <f>-0.0749*$L$587</f>
        <v>0</v>
      </c>
      <c r="M616">
        <f>0+D616+E616+G616+H616+I616+J616+K616+L616</f>
        <v>0</v>
      </c>
      <c r="N616">
        <f>0+D616+F616+G616+H616+I616+J616+K616+L616</f>
        <v>0</v>
      </c>
    </row>
    <row r="617" spans="3:14">
      <c r="C617" t="s">
        <v>29</v>
      </c>
      <c r="D617">
        <f>1.3381*$D$587</f>
        <v>0</v>
      </c>
      <c r="E617">
        <f>99.6507*$E$587</f>
        <v>0</v>
      </c>
      <c r="F617">
        <f>-112.3236*$F$587</f>
        <v>0</v>
      </c>
      <c r="G617">
        <f>-1.2767*$G$587</f>
        <v>0</v>
      </c>
      <c r="H617">
        <f>0*$H$587</f>
        <v>0</v>
      </c>
      <c r="I617">
        <f>0.2584*$I$587</f>
        <v>0</v>
      </c>
      <c r="J617">
        <f>-16.2213*$J$587</f>
        <v>0</v>
      </c>
      <c r="K617">
        <f>21.6284*$K$587</f>
        <v>0</v>
      </c>
      <c r="L617">
        <f>-0.0765*$L$587</f>
        <v>0</v>
      </c>
      <c r="M617">
        <f>0+D617+E617+G617+H617+I617+J617+K617+L617</f>
        <v>0</v>
      </c>
      <c r="N617">
        <f>0+D617+F617+G617+H617+I617+J617+K617+L617</f>
        <v>0</v>
      </c>
    </row>
    <row r="618" spans="3:14">
      <c r="C618" t="s">
        <v>30</v>
      </c>
      <c r="D618">
        <f>2.1333*$D$587</f>
        <v>0</v>
      </c>
      <c r="E618">
        <f>107.4638*$E$587</f>
        <v>0</v>
      </c>
      <c r="F618">
        <f>-119.7291*$F$587</f>
        <v>0</v>
      </c>
      <c r="G618">
        <f>-1.9963*$G$587</f>
        <v>0</v>
      </c>
      <c r="H618">
        <f>0*$H$587</f>
        <v>0</v>
      </c>
      <c r="I618">
        <f>0.4102*$I$587</f>
        <v>0</v>
      </c>
      <c r="J618">
        <f>-15.389*$J$587</f>
        <v>0</v>
      </c>
      <c r="K618">
        <f>20.5187*$K$587</f>
        <v>0</v>
      </c>
      <c r="L618">
        <f>-0.0787*$L$587</f>
        <v>0</v>
      </c>
      <c r="M618">
        <f>0+D618+E618+G618+H618+I618+J618+K618+L618</f>
        <v>0</v>
      </c>
      <c r="N618">
        <f>0+D618+F618+G618+H618+I618+J618+K618+L618</f>
        <v>0</v>
      </c>
    </row>
    <row r="619" spans="3:14">
      <c r="C619" t="s">
        <v>30</v>
      </c>
      <c r="D619">
        <f>3.5431*$D$587</f>
        <v>0</v>
      </c>
      <c r="E619">
        <f>110.3321*$E$587</f>
        <v>0</v>
      </c>
      <c r="F619">
        <f>-124.1516*$F$587</f>
        <v>0</v>
      </c>
      <c r="G619">
        <f>-1.7618*$G$587</f>
        <v>0</v>
      </c>
      <c r="H619">
        <f>0*$H$587</f>
        <v>0</v>
      </c>
      <c r="I619">
        <f>0.5674*$I$587</f>
        <v>0</v>
      </c>
      <c r="J619">
        <f>-17.0835*$J$587</f>
        <v>0</v>
      </c>
      <c r="K619">
        <f>22.778*$K$587</f>
        <v>0</v>
      </c>
      <c r="L619">
        <f>-0.0831*$L$587</f>
        <v>0</v>
      </c>
      <c r="M619">
        <f>0+D619+E619+G619+H619+I619+J619+K619+L619</f>
        <v>0</v>
      </c>
      <c r="N619">
        <f>0+D619+F619+G619+H619+I619+J619+K619+L619</f>
        <v>0</v>
      </c>
    </row>
    <row r="620" spans="3:14">
      <c r="C620" t="s">
        <v>31</v>
      </c>
      <c r="D620">
        <f>4.3233*$D$587</f>
        <v>0</v>
      </c>
      <c r="E620">
        <f>113.489*$E$587</f>
        <v>0</v>
      </c>
      <c r="F620">
        <f>-126.0252*$F$587</f>
        <v>0</v>
      </c>
      <c r="G620">
        <f>-2.4462*$G$587</f>
        <v>0</v>
      </c>
      <c r="H620">
        <f>0*$H$587</f>
        <v>0</v>
      </c>
      <c r="I620">
        <f>0.7162*$I$587</f>
        <v>0</v>
      </c>
      <c r="J620">
        <f>-15.813*$J$587</f>
        <v>0</v>
      </c>
      <c r="K620">
        <f>21.084*$K$587</f>
        <v>0</v>
      </c>
      <c r="L620">
        <f>-0.0826*$L$587</f>
        <v>0</v>
      </c>
      <c r="M620">
        <f>0+D620+E620+G620+H620+I620+J620+K620+L620</f>
        <v>0</v>
      </c>
      <c r="N620">
        <f>0+D620+F620+G620+H620+I620+J620+K620+L620</f>
        <v>0</v>
      </c>
    </row>
    <row r="621" spans="3:14">
      <c r="C621" t="s">
        <v>31</v>
      </c>
      <c r="D621">
        <f>5.3266*$D$587</f>
        <v>0</v>
      </c>
      <c r="E621">
        <f>116.8331*$E$587</f>
        <v>0</v>
      </c>
      <c r="F621">
        <f>-126.062*$F$587</f>
        <v>0</v>
      </c>
      <c r="G621">
        <f>-2.3787*$G$587</f>
        <v>0</v>
      </c>
      <c r="H621">
        <f>0*$H$587</f>
        <v>0</v>
      </c>
      <c r="I621">
        <f>0.8459*$I$587</f>
        <v>0</v>
      </c>
      <c r="J621">
        <f>-18.6772*$J$587</f>
        <v>0</v>
      </c>
      <c r="K621">
        <f>24.903*$K$587</f>
        <v>0</v>
      </c>
      <c r="L621">
        <f>-0.0832*$L$587</f>
        <v>0</v>
      </c>
      <c r="M621">
        <f>0+D621+E621+G621+H621+I621+J621+K621+L621</f>
        <v>0</v>
      </c>
      <c r="N621">
        <f>0+D621+F621+G621+H621+I621+J621+K621+L621</f>
        <v>0</v>
      </c>
    </row>
    <row r="622" spans="3:14">
      <c r="C622" t="s">
        <v>32</v>
      </c>
      <c r="D622">
        <f>6.3585*$D$587</f>
        <v>0</v>
      </c>
      <c r="E622">
        <f>121.5459*$E$587</f>
        <v>0</v>
      </c>
      <c r="F622">
        <f>-127.5036*$F$587</f>
        <v>0</v>
      </c>
      <c r="G622">
        <f>-2.7288*$G$587</f>
        <v>0</v>
      </c>
      <c r="H622">
        <f>0*$H$587</f>
        <v>0</v>
      </c>
      <c r="I622">
        <f>1.0256*$I$587</f>
        <v>0</v>
      </c>
      <c r="J622">
        <f>-20.8669*$J$587</f>
        <v>0</v>
      </c>
      <c r="K622">
        <f>27.8225*$K$587</f>
        <v>0</v>
      </c>
      <c r="L622">
        <f>-0.0824*$L$587</f>
        <v>0</v>
      </c>
      <c r="M622">
        <f>0+D622+E622+G622+H622+I622+J622+K622+L622</f>
        <v>0</v>
      </c>
      <c r="N622">
        <f>0+D622+F622+G622+H622+I622+J622+K622+L622</f>
        <v>0</v>
      </c>
    </row>
    <row r="623" spans="3:14">
      <c r="C623" t="s">
        <v>32</v>
      </c>
      <c r="D623">
        <f>7.4702*$D$587</f>
        <v>0</v>
      </c>
      <c r="E623">
        <f>126.6876*$E$587</f>
        <v>0</v>
      </c>
      <c r="F623">
        <f>-127.5843*$F$587</f>
        <v>0</v>
      </c>
      <c r="G623">
        <f>-2.5707*$G$587</f>
        <v>0</v>
      </c>
      <c r="H623">
        <f>0*$H$587</f>
        <v>0</v>
      </c>
      <c r="I623">
        <f>1.1775*$I$587</f>
        <v>0</v>
      </c>
      <c r="J623">
        <f>-25.3932*$J$587</f>
        <v>0</v>
      </c>
      <c r="K623">
        <f>33.8576*$K$587</f>
        <v>0</v>
      </c>
      <c r="L623">
        <f>-0.0828*$L$587</f>
        <v>0</v>
      </c>
      <c r="M623">
        <f>0+D623+E623+G623+H623+I623+J623+K623+L623</f>
        <v>0</v>
      </c>
      <c r="N623">
        <f>0+D623+F623+G623+H623+I623+J623+K623+L623</f>
        <v>0</v>
      </c>
    </row>
    <row r="624" spans="3:14">
      <c r="C624" t="s">
        <v>33</v>
      </c>
      <c r="D624">
        <f>8.6653*$D$587</f>
        <v>0</v>
      </c>
      <c r="E624">
        <f>134.0083*$E$587</f>
        <v>0</v>
      </c>
      <c r="F624">
        <f>-131.2597*$F$587</f>
        <v>0</v>
      </c>
      <c r="G624">
        <f>-2.6211*$G$587</f>
        <v>0</v>
      </c>
      <c r="H624">
        <f>0*$H$587</f>
        <v>0</v>
      </c>
      <c r="I624">
        <f>1.3631*$I$587</f>
        <v>0</v>
      </c>
      <c r="J624">
        <f>-29.6738*$J$587</f>
        <v>0</v>
      </c>
      <c r="K624">
        <f>39.5651*$K$587</f>
        <v>0</v>
      </c>
      <c r="L624">
        <f>-0.0834*$L$587</f>
        <v>0</v>
      </c>
      <c r="M624">
        <f>0+D624+E624+G624+H624+I624+J624+K624+L624</f>
        <v>0</v>
      </c>
      <c r="N624">
        <f>0+D624+F624+G624+H624+I624+J624+K624+L624</f>
        <v>0</v>
      </c>
    </row>
    <row r="625" spans="3:14">
      <c r="C625" t="s">
        <v>33</v>
      </c>
      <c r="D625">
        <f>9.7393*$D$587</f>
        <v>0</v>
      </c>
      <c r="E625">
        <f>141.7796*$E$587</f>
        <v>0</v>
      </c>
      <c r="F625">
        <f>-131.568*$F$587</f>
        <v>0</v>
      </c>
      <c r="G625">
        <f>-2.3332*$G$587</f>
        <v>0</v>
      </c>
      <c r="H625">
        <f>0*$H$587</f>
        <v>0</v>
      </c>
      <c r="I625">
        <f>1.5029*$I$587</f>
        <v>0</v>
      </c>
      <c r="J625">
        <f>-34.298*$J$587</f>
        <v>0</v>
      </c>
      <c r="K625">
        <f>45.7307*$K$587</f>
        <v>0</v>
      </c>
      <c r="L625">
        <f>-0.0842*$L$587</f>
        <v>0</v>
      </c>
      <c r="M625">
        <f>0+D625+E625+G625+H625+I625+J625+K625+L625</f>
        <v>0</v>
      </c>
      <c r="N625">
        <f>0+D625+F625+G625+H625+I625+J625+K625+L625</f>
        <v>0</v>
      </c>
    </row>
    <row r="626" spans="3:14">
      <c r="C626" t="s">
        <v>34</v>
      </c>
      <c r="D626">
        <f>10.623*$D$587</f>
        <v>0</v>
      </c>
      <c r="E626">
        <f>150.7883*$E$587</f>
        <v>0</v>
      </c>
      <c r="F626">
        <f>-134.8044*$F$587</f>
        <v>0</v>
      </c>
      <c r="G626">
        <f>-2.3728*$G$587</f>
        <v>0</v>
      </c>
      <c r="H626">
        <f>0*$H$587</f>
        <v>0</v>
      </c>
      <c r="I626">
        <f>1.6458*$I$587</f>
        <v>0</v>
      </c>
      <c r="J626">
        <f>-36.4287*$J$587</f>
        <v>0</v>
      </c>
      <c r="K626">
        <f>48.5716*$K$587</f>
        <v>0</v>
      </c>
      <c r="L626">
        <f>-0.0856*$L$587</f>
        <v>0</v>
      </c>
      <c r="M626">
        <f>0+D626+E626+G626+H626+I626+J626+K626+L626</f>
        <v>0</v>
      </c>
      <c r="N626">
        <f>0+D626+F626+G626+H626+I626+J626+K626+L626</f>
        <v>0</v>
      </c>
    </row>
    <row r="627" spans="3:14">
      <c r="C627" t="s">
        <v>34</v>
      </c>
      <c r="D627">
        <f>11.0305*$D$587</f>
        <v>0</v>
      </c>
      <c r="E627">
        <f>157.1925*$E$587</f>
        <v>0</v>
      </c>
      <c r="F627">
        <f>-134.9416*$F$587</f>
        <v>0</v>
      </c>
      <c r="G627">
        <f>-1.9582*$G$587</f>
        <v>0</v>
      </c>
      <c r="H627">
        <f>0*$H$587</f>
        <v>0</v>
      </c>
      <c r="I627">
        <f>1.6763*$I$587</f>
        <v>0</v>
      </c>
      <c r="J627">
        <f>-38.2311*$J$587</f>
        <v>0</v>
      </c>
      <c r="K627">
        <f>50.9748*$K$587</f>
        <v>0</v>
      </c>
      <c r="L627">
        <f>-0.0856*$L$587</f>
        <v>0</v>
      </c>
      <c r="M627">
        <f>0+D627+E627+G627+H627+I627+J627+K627+L627</f>
        <v>0</v>
      </c>
      <c r="N627">
        <f>0+D627+F627+G627+H627+I627+J627+K627+L627</f>
        <v>0</v>
      </c>
    </row>
    <row r="628" spans="3:14">
      <c r="C628" t="s">
        <v>35</v>
      </c>
      <c r="D628">
        <f>10.4152*$D$587</f>
        <v>0</v>
      </c>
      <c r="E628">
        <f>165.06*$E$587</f>
        <v>0</v>
      </c>
      <c r="F628">
        <f>-135.7581*$F$587</f>
        <v>0</v>
      </c>
      <c r="G628">
        <f>-2.0006*$G$587</f>
        <v>0</v>
      </c>
      <c r="H628">
        <f>0*$H$587</f>
        <v>0</v>
      </c>
      <c r="I628">
        <f>1.6083*$I$587</f>
        <v>0</v>
      </c>
      <c r="J628">
        <f>-31.948*$J$587</f>
        <v>0</v>
      </c>
      <c r="K628">
        <f>42.5973*$K$587</f>
        <v>0</v>
      </c>
      <c r="L628">
        <f>-0.0825*$L$587</f>
        <v>0</v>
      </c>
      <c r="M628">
        <f>0+D628+E628+G628+H628+I628+J628+K628+L628</f>
        <v>0</v>
      </c>
      <c r="N628">
        <f>0+D628+F628+G628+H628+I628+J628+K628+L628</f>
        <v>0</v>
      </c>
    </row>
    <row r="629" spans="3:14">
      <c r="C629" t="s">
        <v>35</v>
      </c>
      <c r="D629">
        <f>13.4329*$D$587</f>
        <v>0</v>
      </c>
      <c r="E629">
        <f>172.4272*$E$587</f>
        <v>0</v>
      </c>
      <c r="F629">
        <f>-150.4712*$F$587</f>
        <v>0</v>
      </c>
      <c r="G629">
        <f>-1.5381*$G$587</f>
        <v>0</v>
      </c>
      <c r="H629">
        <f>0*$H$587</f>
        <v>0</v>
      </c>
      <c r="I629">
        <f>1.9951*$I$587</f>
        <v>0</v>
      </c>
      <c r="J629">
        <f>-33.8036*$J$587</f>
        <v>0</v>
      </c>
      <c r="K629">
        <f>45.0715*$K$587</f>
        <v>0</v>
      </c>
      <c r="L629">
        <f>-0.0828*$L$587</f>
        <v>0</v>
      </c>
      <c r="M629">
        <f>0+D629+E629+G629+H629+I629+J629+K629+L629</f>
        <v>0</v>
      </c>
      <c r="N629">
        <f>0+D629+F629+G629+H629+I629+J629+K629+L629</f>
        <v>0</v>
      </c>
    </row>
    <row r="630" spans="3:14">
      <c r="C630" t="s">
        <v>36</v>
      </c>
      <c r="D630">
        <f>13.4329*$D$587</f>
        <v>0</v>
      </c>
      <c r="E630">
        <f>172.4272*$E$587</f>
        <v>0</v>
      </c>
      <c r="F630">
        <f>-150.4712*$F$587</f>
        <v>0</v>
      </c>
      <c r="G630">
        <f>-1.5381*$G$587</f>
        <v>0</v>
      </c>
      <c r="H630">
        <f>0*$H$587</f>
        <v>0</v>
      </c>
      <c r="I630">
        <f>1.9951*$I$587</f>
        <v>0</v>
      </c>
      <c r="J630">
        <f>-33.8036*$J$587</f>
        <v>0</v>
      </c>
      <c r="K630">
        <f>45.0715*$K$587</f>
        <v>0</v>
      </c>
      <c r="L630">
        <f>-0.0828*$L$587</f>
        <v>0</v>
      </c>
      <c r="M630">
        <f>0+D630+E630+G630+H630+I630+J630+K630+L630</f>
        <v>0</v>
      </c>
      <c r="N630">
        <f>0+D630+F630+G630+H630+I630+J630+K630+L630</f>
        <v>0</v>
      </c>
    </row>
    <row r="631" spans="3:14">
      <c r="C631" t="s">
        <v>36</v>
      </c>
      <c r="D631">
        <f>-13.4027*$D$587</f>
        <v>0</v>
      </c>
      <c r="E631">
        <f>110.783*$E$587</f>
        <v>0</v>
      </c>
      <c r="F631">
        <f>-124.5894*$F$587</f>
        <v>0</v>
      </c>
      <c r="G631">
        <f>1.1469*$G$587</f>
        <v>0</v>
      </c>
      <c r="H631">
        <f>0*$H$587</f>
        <v>0</v>
      </c>
      <c r="I631">
        <f>-1.9653*$I$587</f>
        <v>0</v>
      </c>
      <c r="J631">
        <f>30.0826*$J$587</f>
        <v>0</v>
      </c>
      <c r="K631">
        <f>-40.1101*$K$587</f>
        <v>0</v>
      </c>
      <c r="L631">
        <f>-1.9355*$L$587</f>
        <v>0</v>
      </c>
      <c r="M631">
        <f>0+D631+E631+G631+H631+I631+J631+K631+L631</f>
        <v>0</v>
      </c>
      <c r="N631">
        <f>0+D631+F631+G631+H631+I631+J631+K631+L631</f>
        <v>0</v>
      </c>
    </row>
    <row r="632" spans="3:14">
      <c r="C632" t="s">
        <v>37</v>
      </c>
      <c r="D632">
        <f>-13.4027*$D$587</f>
        <v>0</v>
      </c>
      <c r="E632">
        <f>110.783*$E$587</f>
        <v>0</v>
      </c>
      <c r="F632">
        <f>-124.5894*$F$587</f>
        <v>0</v>
      </c>
      <c r="G632">
        <f>1.1469*$G$587</f>
        <v>0</v>
      </c>
      <c r="H632">
        <f>0*$H$587</f>
        <v>0</v>
      </c>
      <c r="I632">
        <f>-1.9653*$I$587</f>
        <v>0</v>
      </c>
      <c r="J632">
        <f>30.0826*$J$587</f>
        <v>0</v>
      </c>
      <c r="K632">
        <f>-40.1101*$K$587</f>
        <v>0</v>
      </c>
      <c r="L632">
        <f>-1.9355*$L$587</f>
        <v>0</v>
      </c>
      <c r="M632">
        <f>0+D632+E632+G632+H632+I632+J632+K632+L632</f>
        <v>0</v>
      </c>
      <c r="N632">
        <f>0+D632+F632+G632+H632+I632+J632+K632+L632</f>
        <v>0</v>
      </c>
    </row>
    <row r="633" spans="3:14">
      <c r="C633" t="s">
        <v>37</v>
      </c>
      <c r="D633">
        <f>-10.3684*$D$587</f>
        <v>0</v>
      </c>
      <c r="E633">
        <f>146.3769*$E$587</f>
        <v>0</v>
      </c>
      <c r="F633">
        <f>-181.6904*$F$587</f>
        <v>0</v>
      </c>
      <c r="G633">
        <f>1.5686*$G$587</f>
        <v>0</v>
      </c>
      <c r="H633">
        <f>0*$H$587</f>
        <v>0</v>
      </c>
      <c r="I633">
        <f>-1.5733*$I$587</f>
        <v>0</v>
      </c>
      <c r="J633">
        <f>27.8353*$J$587</f>
        <v>0</v>
      </c>
      <c r="K633">
        <f>-37.1138*$K$587</f>
        <v>0</v>
      </c>
      <c r="L633">
        <f>-2.102*$L$587</f>
        <v>0</v>
      </c>
      <c r="M633">
        <f>0+D633+E633+G633+H633+I633+J633+K633+L633</f>
        <v>0</v>
      </c>
      <c r="N633">
        <f>0+D633+F633+G633+H633+I633+J633+K633+L633</f>
        <v>0</v>
      </c>
    </row>
    <row r="634" spans="3:14">
      <c r="C634" t="s">
        <v>38</v>
      </c>
      <c r="D634">
        <f>-11.6015*$D$587</f>
        <v>0</v>
      </c>
      <c r="E634">
        <f>150.7019*$E$587</f>
        <v>0</v>
      </c>
      <c r="F634">
        <f>-178.777*$F$587</f>
        <v>0</v>
      </c>
      <c r="G634">
        <f>1.5435*$G$587</f>
        <v>0</v>
      </c>
      <c r="H634">
        <f>0*$H$587</f>
        <v>0</v>
      </c>
      <c r="I634">
        <f>-1.7309*$I$587</f>
        <v>0</v>
      </c>
      <c r="J634">
        <f>34.5089*$J$587</f>
        <v>0</v>
      </c>
      <c r="K634">
        <f>-46.0119*$K$587</f>
        <v>0</v>
      </c>
      <c r="L634">
        <f>-2.2208*$L$587</f>
        <v>0</v>
      </c>
      <c r="M634">
        <f>0+D634+E634+G634+H634+I634+J634+K634+L634</f>
        <v>0</v>
      </c>
      <c r="N634">
        <f>0+D634+F634+G634+H634+I634+J634+K634+L634</f>
        <v>0</v>
      </c>
    </row>
    <row r="635" spans="3:14">
      <c r="C635" t="s">
        <v>38</v>
      </c>
      <c r="D635">
        <f>-11.7149*$D$587</f>
        <v>0</v>
      </c>
      <c r="E635">
        <f>154.9717*$E$587</f>
        <v>0</v>
      </c>
      <c r="F635">
        <f>-174.6245*$F$587</f>
        <v>0</v>
      </c>
      <c r="G635">
        <f>2.0105*$G$587</f>
        <v>0</v>
      </c>
      <c r="H635">
        <f>0*$H$587</f>
        <v>0</v>
      </c>
      <c r="I635">
        <f>-1.7784*$I$587</f>
        <v>0</v>
      </c>
      <c r="J635">
        <f>33.3949*$J$587</f>
        <v>0</v>
      </c>
      <c r="K635">
        <f>-44.5266*$K$587</f>
        <v>0</v>
      </c>
      <c r="L635">
        <f>-2.3161*$L$587</f>
        <v>0</v>
      </c>
      <c r="M635">
        <f>0+D635+E635+G635+H635+I635+J635+K635+L635</f>
        <v>0</v>
      </c>
      <c r="N635">
        <f>0+D635+F635+G635+H635+I635+J635+K635+L635</f>
        <v>0</v>
      </c>
    </row>
    <row r="636" spans="3:14">
      <c r="C636" t="s">
        <v>39</v>
      </c>
      <c r="D636">
        <f>-11.2931*$D$587</f>
        <v>0</v>
      </c>
      <c r="E636">
        <f>152.9149*$E$587</f>
        <v>0</v>
      </c>
      <c r="F636">
        <f>-165.0974*$F$587</f>
        <v>0</v>
      </c>
      <c r="G636">
        <f>2.022*$G$587</f>
        <v>0</v>
      </c>
      <c r="H636">
        <f>0*$H$587</f>
        <v>0</v>
      </c>
      <c r="I636">
        <f>-1.7052*$I$587</f>
        <v>0</v>
      </c>
      <c r="J636">
        <f>31.9222*$J$587</f>
        <v>0</v>
      </c>
      <c r="K636">
        <f>-42.5629*$K$587</f>
        <v>0</v>
      </c>
      <c r="L636">
        <f>-2.3665*$L$587</f>
        <v>0</v>
      </c>
      <c r="M636">
        <f>0+D636+E636+G636+H636+I636+J636+K636+L636</f>
        <v>0</v>
      </c>
      <c r="N636">
        <f>0+D636+F636+G636+H636+I636+J636+K636+L636</f>
        <v>0</v>
      </c>
    </row>
    <row r="637" spans="3:14">
      <c r="C637" t="s">
        <v>39</v>
      </c>
      <c r="D637">
        <f>-10.5968*$D$587</f>
        <v>0</v>
      </c>
      <c r="E637">
        <f>154.3047*$E$587</f>
        <v>0</v>
      </c>
      <c r="F637">
        <f>-160.741*$F$587</f>
        <v>0</v>
      </c>
      <c r="G637">
        <f>2.359*$G$587</f>
        <v>0</v>
      </c>
      <c r="H637">
        <f>0*$H$587</f>
        <v>0</v>
      </c>
      <c r="I637">
        <f>-1.6228*$I$587</f>
        <v>0</v>
      </c>
      <c r="J637">
        <f>27.9084*$J$587</f>
        <v>0</v>
      </c>
      <c r="K637">
        <f>-37.2112*$K$587</f>
        <v>0</v>
      </c>
      <c r="L637">
        <f>-2.4331*$L$587</f>
        <v>0</v>
      </c>
      <c r="M637">
        <f>0+D637+E637+G637+H637+I637+J637+K637+L637</f>
        <v>0</v>
      </c>
      <c r="N637">
        <f>0+D637+F637+G637+H637+I637+J637+K637+L637</f>
        <v>0</v>
      </c>
    </row>
    <row r="638" spans="3:14">
      <c r="C638" t="s">
        <v>40</v>
      </c>
      <c r="D638">
        <f>-9.6877*$D$587</f>
        <v>0</v>
      </c>
      <c r="E638">
        <f>152.0122*$E$587</f>
        <v>0</v>
      </c>
      <c r="F638">
        <f>-153.2157*$F$587</f>
        <v>0</v>
      </c>
      <c r="G638">
        <f>2.3491*$G$587</f>
        <v>0</v>
      </c>
      <c r="H638">
        <f>0*$H$587</f>
        <v>0</v>
      </c>
      <c r="I638">
        <f>-1.4809*$I$587</f>
        <v>0</v>
      </c>
      <c r="J638">
        <f>24.1229*$J$587</f>
        <v>0</v>
      </c>
      <c r="K638">
        <f>-32.1638*$K$587</f>
        <v>0</v>
      </c>
      <c r="L638">
        <f>-2.5015*$L$587</f>
        <v>0</v>
      </c>
      <c r="M638">
        <f>0+D638+E638+G638+H638+I638+J638+K638+L638</f>
        <v>0</v>
      </c>
      <c r="N638">
        <f>0+D638+F638+G638+H638+I638+J638+K638+L638</f>
        <v>0</v>
      </c>
    </row>
    <row r="639" spans="3:14">
      <c r="C639" t="s">
        <v>40</v>
      </c>
      <c r="D639">
        <f>-8.8051*$D$587</f>
        <v>0</v>
      </c>
      <c r="E639">
        <f>152.6806*$E$587</f>
        <v>0</v>
      </c>
      <c r="F639">
        <f>-148.3968*$F$587</f>
        <v>0</v>
      </c>
      <c r="G639">
        <f>2.544*$G$587</f>
        <v>0</v>
      </c>
      <c r="H639">
        <f>0*$H$587</f>
        <v>0</v>
      </c>
      <c r="I639">
        <f>-1.3644*$I$587</f>
        <v>0</v>
      </c>
      <c r="J639">
        <f>20.0386*$J$587</f>
        <v>0</v>
      </c>
      <c r="K639">
        <f>-26.7181*$K$587</f>
        <v>0</v>
      </c>
      <c r="L639">
        <f>-2.5683*$L$587</f>
        <v>0</v>
      </c>
      <c r="M639">
        <f>0+D639+E639+G639+H639+I639+J639+K639+L639</f>
        <v>0</v>
      </c>
      <c r="N639">
        <f>0+D639+F639+G639+H639+I639+J639+K639+L639</f>
        <v>0</v>
      </c>
    </row>
    <row r="640" spans="3:14">
      <c r="C640" t="s">
        <v>41</v>
      </c>
      <c r="D640">
        <f>-7.9432*$D$587</f>
        <v>0</v>
      </c>
      <c r="E640">
        <f>151.6772*$E$587</f>
        <v>0</v>
      </c>
      <c r="F640">
        <f>-143.1147*$F$587</f>
        <v>0</v>
      </c>
      <c r="G640">
        <f>2.2233*$G$587</f>
        <v>0</v>
      </c>
      <c r="H640">
        <f>0*$H$587</f>
        <v>0</v>
      </c>
      <c r="I640">
        <f>-1.2111*$I$587</f>
        <v>0</v>
      </c>
      <c r="J640">
        <f>18.1965*$J$587</f>
        <v>0</v>
      </c>
      <c r="K640">
        <f>-24.262*$K$587</f>
        <v>0</v>
      </c>
      <c r="L640">
        <f>-2.6663*$L$587</f>
        <v>0</v>
      </c>
      <c r="M640">
        <f>0+D640+E640+G640+H640+I640+J640+K640+L640</f>
        <v>0</v>
      </c>
      <c r="N640">
        <f>0+D640+F640+G640+H640+I640+J640+K640+L640</f>
        <v>0</v>
      </c>
    </row>
    <row r="641" spans="3:14">
      <c r="C641" t="s">
        <v>41</v>
      </c>
      <c r="D641">
        <f>-7.0463*$D$587</f>
        <v>0</v>
      </c>
      <c r="E641">
        <f>151.9705*$E$587</f>
        <v>0</v>
      </c>
      <c r="F641">
        <f>-139.413*$F$587</f>
        <v>0</v>
      </c>
      <c r="G641">
        <f>2.3175*$G$587</f>
        <v>0</v>
      </c>
      <c r="H641">
        <f>0*$H$587</f>
        <v>0</v>
      </c>
      <c r="I641">
        <f>-1.0985*$I$587</f>
        <v>0</v>
      </c>
      <c r="J641">
        <f>15.6336*$J$587</f>
        <v>0</v>
      </c>
      <c r="K641">
        <f>-20.8449*$K$587</f>
        <v>0</v>
      </c>
      <c r="L641">
        <f>-2.7236*$L$587</f>
        <v>0</v>
      </c>
      <c r="M641">
        <f>0+D641+E641+G641+H641+I641+J641+K641+L641</f>
        <v>0</v>
      </c>
      <c r="N641">
        <f>0+D641+F641+G641+H641+I641+J641+K641+L641</f>
        <v>0</v>
      </c>
    </row>
    <row r="642" spans="3:14">
      <c r="C642" t="s">
        <v>42</v>
      </c>
      <c r="D642">
        <f>-6.3336*$D$587</f>
        <v>0</v>
      </c>
      <c r="E642">
        <f>149.902*$E$587</f>
        <v>0</v>
      </c>
      <c r="F642">
        <f>-135.0904*$F$587</f>
        <v>0</v>
      </c>
      <c r="G642">
        <f>1.6555*$G$587</f>
        <v>0</v>
      </c>
      <c r="H642">
        <f>0*$H$587</f>
        <v>0</v>
      </c>
      <c r="I642">
        <f>-0.9609*$I$587</f>
        <v>0</v>
      </c>
      <c r="J642">
        <f>17.1425*$J$587</f>
        <v>0</v>
      </c>
      <c r="K642">
        <f>-22.8567*$K$587</f>
        <v>0</v>
      </c>
      <c r="L642">
        <f>-2.8076*$L$587</f>
        <v>0</v>
      </c>
      <c r="M642">
        <f>0+D642+E642+G642+H642+I642+J642+K642+L642</f>
        <v>0</v>
      </c>
      <c r="N642">
        <f>0+D642+F642+G642+H642+I642+J642+K642+L642</f>
        <v>0</v>
      </c>
    </row>
    <row r="643" spans="3:14">
      <c r="C643" t="s">
        <v>42</v>
      </c>
      <c r="D643">
        <f>-4.674*$D$587</f>
        <v>0</v>
      </c>
      <c r="E643">
        <f>144.2989*$E$587</f>
        <v>0</v>
      </c>
      <c r="F643">
        <f>-133.4054*$F$587</f>
        <v>0</v>
      </c>
      <c r="G643">
        <f>1.8904*$G$587</f>
        <v>0</v>
      </c>
      <c r="H643">
        <f>0*$H$587</f>
        <v>0</v>
      </c>
      <c r="I643">
        <f>-0.7676*$I$587</f>
        <v>0</v>
      </c>
      <c r="J643">
        <f>15.3441*$J$587</f>
        <v>0</v>
      </c>
      <c r="K643">
        <f>-20.4588*$K$587</f>
        <v>0</v>
      </c>
      <c r="L643">
        <f>-2.8867*$L$587</f>
        <v>0</v>
      </c>
      <c r="M643">
        <f>0+D643+E643+G643+H643+I643+J643+K643+L643</f>
        <v>0</v>
      </c>
      <c r="N643">
        <f>0+D643+F643+G643+H643+I643+J643+K643+L643</f>
        <v>0</v>
      </c>
    </row>
    <row r="644" spans="3:14">
      <c r="C644" t="s">
        <v>43</v>
      </c>
      <c r="D644">
        <f>-3.8523*$D$587</f>
        <v>0</v>
      </c>
      <c r="E644">
        <f>135.6646*$E$587</f>
        <v>0</v>
      </c>
      <c r="F644">
        <f>-123.3472*$F$587</f>
        <v>0</v>
      </c>
      <c r="G644">
        <f>1.2*$G$587</f>
        <v>0</v>
      </c>
      <c r="H644">
        <f>0*$H$587</f>
        <v>0</v>
      </c>
      <c r="I644">
        <f>-0.614*$I$587</f>
        <v>0</v>
      </c>
      <c r="J644">
        <f>16.4516*$J$587</f>
        <v>0</v>
      </c>
      <c r="K644">
        <f>-21.9355*$K$587</f>
        <v>0</v>
      </c>
      <c r="L644">
        <f>-2.8742*$L$587</f>
        <v>0</v>
      </c>
      <c r="M644">
        <f>0+D644+E644+G644+H644+I644+J644+K644+L644</f>
        <v>0</v>
      </c>
      <c r="N644">
        <f>0+D644+F644+G644+H644+I644+J644+K644+L644</f>
        <v>0</v>
      </c>
    </row>
    <row r="645" spans="3:14">
      <c r="C645" t="s">
        <v>43</v>
      </c>
      <c r="D645">
        <f>-3.092*$D$587</f>
        <v>0</v>
      </c>
      <c r="E645">
        <f>130.687*$E$587</f>
        <v>0</v>
      </c>
      <c r="F645">
        <f>-116.4518*$F$587</f>
        <v>0</v>
      </c>
      <c r="G645">
        <f>1.2452*$G$587</f>
        <v>0</v>
      </c>
      <c r="H645">
        <f>0*$H$587</f>
        <v>0</v>
      </c>
      <c r="I645">
        <f>-0.5179*$I$587</f>
        <v>0</v>
      </c>
      <c r="J645">
        <f>13.9269*$J$587</f>
        <v>0</v>
      </c>
      <c r="K645">
        <f>-18.5692*$K$587</f>
        <v>0</v>
      </c>
      <c r="L645">
        <f>-2.8704*$L$587</f>
        <v>0</v>
      </c>
      <c r="M645">
        <f>0+D645+E645+G645+H645+I645+J645+K645+L645</f>
        <v>0</v>
      </c>
      <c r="N645">
        <f>0+D645+F645+G645+H645+I645+J645+K645+L645</f>
        <v>0</v>
      </c>
    </row>
    <row r="646" spans="3:14">
      <c r="C646" t="s">
        <v>44</v>
      </c>
      <c r="D646">
        <f>-2.431*$D$587</f>
        <v>0</v>
      </c>
      <c r="E646">
        <f>122.0706*$E$587</f>
        <v>0</v>
      </c>
      <c r="F646">
        <f>-106.3622*$F$587</f>
        <v>0</v>
      </c>
      <c r="G646">
        <f>0.8615*$G$587</f>
        <v>0</v>
      </c>
      <c r="H646">
        <f>0*$H$587</f>
        <v>0</v>
      </c>
      <c r="I646">
        <f>-0.3892*$I$587</f>
        <v>0</v>
      </c>
      <c r="J646">
        <f>12.0251*$J$587</f>
        <v>0</v>
      </c>
      <c r="K646">
        <f>-16.0335*$K$587</f>
        <v>0</v>
      </c>
      <c r="L646">
        <f>-2.8229*$L$587</f>
        <v>0</v>
      </c>
      <c r="M646">
        <f>0+D646+E646+G646+H646+I646+J646+K646+L646</f>
        <v>0</v>
      </c>
      <c r="N646">
        <f>0+D646+F646+G646+H646+I646+J646+K646+L646</f>
        <v>0</v>
      </c>
    </row>
    <row r="647" spans="3:14">
      <c r="C647" t="s">
        <v>44</v>
      </c>
      <c r="D647">
        <f>-1.8156*$D$587</f>
        <v>0</v>
      </c>
      <c r="E647">
        <f>117.5237*$E$587</f>
        <v>0</v>
      </c>
      <c r="F647">
        <f>-100.9938*$F$587</f>
        <v>0</v>
      </c>
      <c r="G647">
        <f>0.9645*$G$587</f>
        <v>0</v>
      </c>
      <c r="H647">
        <f>0*$H$587</f>
        <v>0</v>
      </c>
      <c r="I647">
        <f>-0.3067*$I$587</f>
        <v>0</v>
      </c>
      <c r="J647">
        <f>8.0556*$J$587</f>
        <v>0</v>
      </c>
      <c r="K647">
        <f>-10.7408*$K$587</f>
        <v>0</v>
      </c>
      <c r="L647">
        <f>-2.7972*$L$587</f>
        <v>0</v>
      </c>
      <c r="M647">
        <f>0+D647+E647+G647+H647+I647+J647+K647+L647</f>
        <v>0</v>
      </c>
      <c r="N647">
        <f>0+D647+F647+G647+H647+I647+J647+K647+L647</f>
        <v>0</v>
      </c>
    </row>
    <row r="648" spans="3:14">
      <c r="C648" t="s">
        <v>45</v>
      </c>
      <c r="D648">
        <f>-1.1971*$D$587</f>
        <v>0</v>
      </c>
      <c r="E648">
        <f>111.5209*$E$587</f>
        <v>0</v>
      </c>
      <c r="F648">
        <f>-95.7852*$F$587</f>
        <v>0</v>
      </c>
      <c r="G648">
        <f>0.8061*$G$587</f>
        <v>0</v>
      </c>
      <c r="H648">
        <f>0*$H$587</f>
        <v>0</v>
      </c>
      <c r="I648">
        <f>-0.1984*$I$587</f>
        <v>0</v>
      </c>
      <c r="J648">
        <f>4.5654*$J$587</f>
        <v>0</v>
      </c>
      <c r="K648">
        <f>-6.0871*$K$587</f>
        <v>0</v>
      </c>
      <c r="L648">
        <f>-2.7775*$L$587</f>
        <v>0</v>
      </c>
      <c r="M648">
        <f>0+D648+E648+G648+H648+I648+J648+K648+L648</f>
        <v>0</v>
      </c>
      <c r="N648">
        <f>0+D648+F648+G648+H648+I648+J648+K648+L648</f>
        <v>0</v>
      </c>
    </row>
    <row r="649" spans="3:14">
      <c r="C649" t="s">
        <v>45</v>
      </c>
      <c r="D649">
        <f>-0.6344*$D$587</f>
        <v>0</v>
      </c>
      <c r="E649">
        <f>107.9043*$E$587</f>
        <v>0</v>
      </c>
      <c r="F649">
        <f>-93.1136*$F$587</f>
        <v>0</v>
      </c>
      <c r="G649">
        <f>0.909*$G$587</f>
        <v>0</v>
      </c>
      <c r="H649">
        <f>0*$H$587</f>
        <v>0</v>
      </c>
      <c r="I649">
        <f>-0.1236*$I$587</f>
        <v>0</v>
      </c>
      <c r="J649">
        <f>0.6604*$J$587</f>
        <v>0</v>
      </c>
      <c r="K649">
        <f>-0.8805*$K$587</f>
        <v>0</v>
      </c>
      <c r="L649">
        <f>-2.7486*$L$587</f>
        <v>0</v>
      </c>
      <c r="M649">
        <f>0+D649+E649+G649+H649+I649+J649+K649+L649</f>
        <v>0</v>
      </c>
      <c r="N649">
        <f>0+D649+F649+G649+H649+I649+J649+K649+L649</f>
        <v>0</v>
      </c>
    </row>
    <row r="650" spans="3:14">
      <c r="C650" t="s">
        <v>46</v>
      </c>
      <c r="D650">
        <f>-0.0925*$D$587</f>
        <v>0</v>
      </c>
      <c r="E650">
        <f>103.4751*$E$587</f>
        <v>0</v>
      </c>
      <c r="F650">
        <f>-90.6793*$F$587</f>
        <v>0</v>
      </c>
      <c r="G650">
        <f>0.5149*$G$587</f>
        <v>0</v>
      </c>
      <c r="H650">
        <f>0*$H$587</f>
        <v>0</v>
      </c>
      <c r="I650">
        <f>-0.012*$I$587</f>
        <v>0</v>
      </c>
      <c r="J650">
        <f>-1.133*$J$587</f>
        <v>0</v>
      </c>
      <c r="K650">
        <f>1.5107*$K$587</f>
        <v>0</v>
      </c>
      <c r="L650">
        <f>-2.7547*$L$587</f>
        <v>0</v>
      </c>
      <c r="M650">
        <f>0+D650+E650+G650+H650+I650+J650+K650+L650</f>
        <v>0</v>
      </c>
      <c r="N650">
        <f>0+D650+F650+G650+H650+I650+J650+K650+L650</f>
        <v>0</v>
      </c>
    </row>
    <row r="651" spans="3:14">
      <c r="C651" t="s">
        <v>46</v>
      </c>
      <c r="D651">
        <f>0.3073*$D$587</f>
        <v>0</v>
      </c>
      <c r="E651">
        <f>102.5413*$E$587</f>
        <v>0</v>
      </c>
      <c r="F651">
        <f>-90.1557*$F$587</f>
        <v>0</v>
      </c>
      <c r="G651">
        <f>0.5653*$G$587</f>
        <v>0</v>
      </c>
      <c r="H651">
        <f>0*$H$587</f>
        <v>0</v>
      </c>
      <c r="I651">
        <f>0.0317*$I$587</f>
        <v>0</v>
      </c>
      <c r="J651">
        <f>-3.1275*$J$587</f>
        <v>0</v>
      </c>
      <c r="K651">
        <f>4.17*$K$587</f>
        <v>0</v>
      </c>
      <c r="L651">
        <f>-2.7017*$L$587</f>
        <v>0</v>
      </c>
      <c r="M651">
        <f>0+D651+E651+G651+H651+I651+J651+K651+L651</f>
        <v>0</v>
      </c>
      <c r="N651">
        <f>0+D651+F651+G651+H651+I651+J651+K651+L651</f>
        <v>0</v>
      </c>
    </row>
    <row r="652" spans="3:14">
      <c r="C652" t="s">
        <v>47</v>
      </c>
      <c r="D652">
        <f>0.5165*$D$587</f>
        <v>0</v>
      </c>
      <c r="E652">
        <f>98.4356*$E$587</f>
        <v>0</v>
      </c>
      <c r="F652">
        <f>-97.9184*$F$587</f>
        <v>0</v>
      </c>
      <c r="G652">
        <f>-0.1517*$G$587</f>
        <v>0</v>
      </c>
      <c r="H652">
        <f>0*$H$587</f>
        <v>0</v>
      </c>
      <c r="I652">
        <f>0.0977*$I$587</f>
        <v>0</v>
      </c>
      <c r="J652">
        <f>-1.241*$J$587</f>
        <v>0</v>
      </c>
      <c r="K652">
        <f>1.6547*$K$587</f>
        <v>0</v>
      </c>
      <c r="L652">
        <f>-2.6735*$L$587</f>
        <v>0</v>
      </c>
      <c r="M652">
        <f>0+D652+E652+G652+H652+I652+J652+K652+L652</f>
        <v>0</v>
      </c>
      <c r="N652">
        <f>0+D652+F652+G652+H652+I652+J652+K652+L652</f>
        <v>0</v>
      </c>
    </row>
    <row r="653" spans="3:14">
      <c r="C653" t="s">
        <v>47</v>
      </c>
      <c r="D653">
        <f>-1.6759*$D$587</f>
        <v>0</v>
      </c>
      <c r="E653">
        <f>86.7645*$E$587</f>
        <v>0</v>
      </c>
      <c r="F653">
        <f>-97.668*$F$587</f>
        <v>0</v>
      </c>
      <c r="G653">
        <f>0.2478*$G$587</f>
        <v>0</v>
      </c>
      <c r="H653">
        <f>0*$H$587</f>
        <v>0</v>
      </c>
      <c r="I653">
        <f>-0.2715*$I$587</f>
        <v>0</v>
      </c>
      <c r="J653">
        <f>2.6899*$J$587</f>
        <v>0</v>
      </c>
      <c r="K653">
        <f>-3.5866*$K$587</f>
        <v>0</v>
      </c>
      <c r="L653">
        <f>-2.5022*$L$587</f>
        <v>0</v>
      </c>
      <c r="M653">
        <f>0+D653+E653+G653+H653+I653+J653+K653+L653</f>
        <v>0</v>
      </c>
      <c r="N653">
        <f>0+D653+F653+G653+H653+I653+J653+K653+L653</f>
        <v>0</v>
      </c>
    </row>
    <row r="654" spans="3:14">
      <c r="C654" t="s">
        <v>48</v>
      </c>
      <c r="D654">
        <f>-1.4783*$D$587</f>
        <v>0</v>
      </c>
      <c r="E654">
        <f>87.8524*$E$587</f>
        <v>0</v>
      </c>
      <c r="F654">
        <f>-102.9259*$F$587</f>
        <v>0</v>
      </c>
      <c r="G654">
        <f>-0.4705*$G$587</f>
        <v>0</v>
      </c>
      <c r="H654">
        <f>0*$H$587</f>
        <v>0</v>
      </c>
      <c r="I654">
        <f>-0.2072*$I$587</f>
        <v>0</v>
      </c>
      <c r="J654">
        <f>4.5758*$J$587</f>
        <v>0</v>
      </c>
      <c r="K654">
        <f>-6.101*$K$587</f>
        <v>0</v>
      </c>
      <c r="L654">
        <f>-2.3337*$L$587</f>
        <v>0</v>
      </c>
      <c r="M654">
        <f>0+D654+E654+G654+H654+I654+J654+K654+L654</f>
        <v>0</v>
      </c>
      <c r="N654">
        <f>0+D654+F654+G654+H654+I654+J654+K654+L654</f>
        <v>0</v>
      </c>
    </row>
    <row r="655" spans="3:14">
      <c r="C655" t="s">
        <v>48</v>
      </c>
      <c r="D655">
        <f>-1.1229*$D$587</f>
        <v>0</v>
      </c>
      <c r="E655">
        <f>89.4707*$E$587</f>
        <v>0</v>
      </c>
      <c r="F655">
        <f>-102.2695*$F$587</f>
        <v>0</v>
      </c>
      <c r="G655">
        <f>-0.4233*$G$587</f>
        <v>0</v>
      </c>
      <c r="H655">
        <f>0*$H$587</f>
        <v>0</v>
      </c>
      <c r="I655">
        <f>-0.1698*$I$587</f>
        <v>0</v>
      </c>
      <c r="J655">
        <f>2.5913*$J$587</f>
        <v>0</v>
      </c>
      <c r="K655">
        <f>-3.4551*$K$587</f>
        <v>0</v>
      </c>
      <c r="L655">
        <f>-2.1236*$L$587</f>
        <v>0</v>
      </c>
      <c r="M655">
        <f>0+D655+E655+G655+H655+I655+J655+K655+L655</f>
        <v>0</v>
      </c>
      <c r="N655">
        <f>0+D655+F655+G655+H655+I655+J655+K655+L655</f>
        <v>0</v>
      </c>
    </row>
    <row r="656" spans="3:14">
      <c r="C656" t="s">
        <v>49</v>
      </c>
      <c r="D656">
        <f>-0.6421*$D$587</f>
        <v>0</v>
      </c>
      <c r="E656">
        <f>91.6845*$E$587</f>
        <v>0</v>
      </c>
      <c r="F656">
        <f>-106.3838*$F$587</f>
        <v>0</v>
      </c>
      <c r="G656">
        <f>-0.8218*$G$587</f>
        <v>0</v>
      </c>
      <c r="H656">
        <f>0*$H$587</f>
        <v>0</v>
      </c>
      <c r="I656">
        <f>-0.0671*$I$587</f>
        <v>0</v>
      </c>
      <c r="J656">
        <f>0.8105*$J$587</f>
        <v>0</v>
      </c>
      <c r="K656">
        <f>-1.0806*$K$587</f>
        <v>0</v>
      </c>
      <c r="L656">
        <f>-1.8461*$L$587</f>
        <v>0</v>
      </c>
      <c r="M656">
        <f>0+D656+E656+G656+H656+I656+J656+K656+L656</f>
        <v>0</v>
      </c>
      <c r="N656">
        <f>0+D656+F656+G656+H656+I656+J656+K656+L656</f>
        <v>0</v>
      </c>
    </row>
    <row r="657" spans="3:14">
      <c r="C657" t="s">
        <v>49</v>
      </c>
      <c r="D657">
        <f>-0.1603*$D$587</f>
        <v>0</v>
      </c>
      <c r="E657">
        <f>94.0838*$E$587</f>
        <v>0</v>
      </c>
      <c r="F657">
        <f>-108.9823*$F$587</f>
        <v>0</v>
      </c>
      <c r="G657">
        <f>-0.7259*$G$587</f>
        <v>0</v>
      </c>
      <c r="H657">
        <f>0*$H$587</f>
        <v>0</v>
      </c>
      <c r="I657">
        <f>-0.0038*$I$587</f>
        <v>0</v>
      </c>
      <c r="J657">
        <f>-3.0854*$J$587</f>
        <v>0</v>
      </c>
      <c r="K657">
        <f>4.1139*$K$587</f>
        <v>0</v>
      </c>
      <c r="L657">
        <f>-1.5527*$L$587</f>
        <v>0</v>
      </c>
      <c r="M657">
        <f>0+D657+E657+G657+H657+I657+J657+K657+L657</f>
        <v>0</v>
      </c>
      <c r="N657">
        <f>0+D657+F657+G657+H657+I657+J657+K657+L657</f>
        <v>0</v>
      </c>
    </row>
    <row r="658" spans="3:14">
      <c r="C658" t="s">
        <v>50</v>
      </c>
      <c r="D658">
        <f>0.3652*$D$587</f>
        <v>0</v>
      </c>
      <c r="E658">
        <f>98.6103*$E$587</f>
        <v>0</v>
      </c>
      <c r="F658">
        <f>-115.6071*$F$587</f>
        <v>0</v>
      </c>
      <c r="G658">
        <f>-0.8927*$G$587</f>
        <v>0</v>
      </c>
      <c r="H658">
        <f>0*$H$587</f>
        <v>0</v>
      </c>
      <c r="I658">
        <f>0.0912*$I$587</f>
        <v>0</v>
      </c>
      <c r="J658">
        <f>-6.5681*$J$587</f>
        <v>0</v>
      </c>
      <c r="K658">
        <f>8.7574*$K$587</f>
        <v>0</v>
      </c>
      <c r="L658">
        <f>-1.2488*$L$587</f>
        <v>0</v>
      </c>
      <c r="M658">
        <f>0+D658+E658+G658+H658+I658+J658+K658+L658</f>
        <v>0</v>
      </c>
      <c r="N658">
        <f>0+D658+F658+G658+H658+I658+J658+K658+L658</f>
        <v>0</v>
      </c>
    </row>
    <row r="659" spans="3:14">
      <c r="C659" t="s">
        <v>50</v>
      </c>
      <c r="D659">
        <f>0.8851*$D$587</f>
        <v>0</v>
      </c>
      <c r="E659">
        <f>103.5481*$E$587</f>
        <v>0</v>
      </c>
      <c r="F659">
        <f>-119.8832*$F$587</f>
        <v>0</v>
      </c>
      <c r="G659">
        <f>-0.8011*$G$587</f>
        <v>0</v>
      </c>
      <c r="H659">
        <f>0*$H$587</f>
        <v>0</v>
      </c>
      <c r="I659">
        <f>0.1601*$I$587</f>
        <v>0</v>
      </c>
      <c r="J659">
        <f>-10.5482*$J$587</f>
        <v>0</v>
      </c>
      <c r="K659">
        <f>14.0643*$K$587</f>
        <v>0</v>
      </c>
      <c r="L659">
        <f>-0.9099*$L$587</f>
        <v>0</v>
      </c>
      <c r="M659">
        <f>0+D659+E659+G659+H659+I659+J659+K659+L659</f>
        <v>0</v>
      </c>
      <c r="N659">
        <f>0+D659+F659+G659+H659+I659+J659+K659+L659</f>
        <v>0</v>
      </c>
    </row>
    <row r="660" spans="3:14">
      <c r="C660" t="s">
        <v>51</v>
      </c>
      <c r="D660">
        <f>1.4638*$D$587</f>
        <v>0</v>
      </c>
      <c r="E660">
        <f>113.6956*$E$587</f>
        <v>0</v>
      </c>
      <c r="F660">
        <f>-128.9612*$F$587</f>
        <v>0</v>
      </c>
      <c r="G660">
        <f>-1.1977*$G$587</f>
        <v>0</v>
      </c>
      <c r="H660">
        <f>0*$H$587</f>
        <v>0</v>
      </c>
      <c r="I660">
        <f>0.2772*$I$587</f>
        <v>0</v>
      </c>
      <c r="J660">
        <f>-12.4812*$J$587</f>
        <v>0</v>
      </c>
      <c r="K660">
        <f>16.6417*$K$587</f>
        <v>0</v>
      </c>
      <c r="L660">
        <f>-0.6144*$L$587</f>
        <v>0</v>
      </c>
      <c r="M660">
        <f>0+D660+E660+G660+H660+I660+J660+K660+L660</f>
        <v>0</v>
      </c>
      <c r="N660">
        <f>0+D660+F660+G660+H660+I660+J660+K660+L660</f>
        <v>0</v>
      </c>
    </row>
    <row r="661" spans="3:14">
      <c r="C661" t="s">
        <v>51</v>
      </c>
      <c r="D661">
        <f>2.0838*$D$587</f>
        <v>0</v>
      </c>
      <c r="E661">
        <f>120.7989*$E$587</f>
        <v>0</v>
      </c>
      <c r="F661">
        <f>-134.302*$F$587</f>
        <v>0</v>
      </c>
      <c r="G661">
        <f>-1.1693*$G$587</f>
        <v>0</v>
      </c>
      <c r="H661">
        <f>0*$H$587</f>
        <v>0</v>
      </c>
      <c r="I661">
        <f>0.3534*$I$587</f>
        <v>0</v>
      </c>
      <c r="J661">
        <f>-15.0214*$J$587</f>
        <v>0</v>
      </c>
      <c r="K661">
        <f>20.0285*$K$587</f>
        <v>0</v>
      </c>
      <c r="L661">
        <f>-0.1231*$L$587</f>
        <v>0</v>
      </c>
      <c r="M661">
        <f>0+D661+E661+G661+H661+I661+J661+K661+L661</f>
        <v>0</v>
      </c>
      <c r="N661">
        <f>0+D661+F661+G661+H661+I661+J661+K661+L661</f>
        <v>0</v>
      </c>
    </row>
    <row r="662" spans="3:14">
      <c r="C662" t="s">
        <v>52</v>
      </c>
      <c r="D662">
        <f>2.7787*$D$587</f>
        <v>0</v>
      </c>
      <c r="E662">
        <f>131.2258*$E$587</f>
        <v>0</v>
      </c>
      <c r="F662">
        <f>-142.7592*$F$587</f>
        <v>0</v>
      </c>
      <c r="G662">
        <f>-1.8788*$G$587</f>
        <v>0</v>
      </c>
      <c r="H662">
        <f>0*$H$587</f>
        <v>0</v>
      </c>
      <c r="I662">
        <f>0.4891*$I$587</f>
        <v>0</v>
      </c>
      <c r="J662">
        <f>-13.9553*$J$587</f>
        <v>0</v>
      </c>
      <c r="K662">
        <f>18.607*$K$587</f>
        <v>0</v>
      </c>
      <c r="L662">
        <f>0.351*$L$587</f>
        <v>0</v>
      </c>
      <c r="M662">
        <f>0+D662+E662+G662+H662+I662+J662+K662+L662</f>
        <v>0</v>
      </c>
      <c r="N662">
        <f>0+D662+F662+G662+H662+I662+J662+K662+L662</f>
        <v>0</v>
      </c>
    </row>
    <row r="663" spans="3:14">
      <c r="C663" t="s">
        <v>52</v>
      </c>
      <c r="D663">
        <f>3.4127*$D$587</f>
        <v>0</v>
      </c>
      <c r="E663">
        <f>132.2718*$E$587</f>
        <v>0</v>
      </c>
      <c r="F663">
        <f>-148.2269*$F$587</f>
        <v>0</v>
      </c>
      <c r="G663">
        <f>-1.6826*$G$587</f>
        <v>0</v>
      </c>
      <c r="H663">
        <f>0*$H$587</f>
        <v>0</v>
      </c>
      <c r="I663">
        <f>0.5332*$I$587</f>
        <v>0</v>
      </c>
      <c r="J663">
        <f>-15.2937*$J$587</f>
        <v>0</v>
      </c>
      <c r="K663">
        <f>20.3916*$K$587</f>
        <v>0</v>
      </c>
      <c r="L663">
        <f>2.8887*$L$587</f>
        <v>0</v>
      </c>
      <c r="M663">
        <f>0+D663+E663+G663+H663+I663+J663+K663+L663</f>
        <v>0</v>
      </c>
      <c r="N663">
        <f>0+D663+F663+G663+H663+I663+J663+K663+L663</f>
        <v>0</v>
      </c>
    </row>
    <row r="664" spans="3:14">
      <c r="C664" t="s">
        <v>53</v>
      </c>
      <c r="D664">
        <f>4.0681*$D$587</f>
        <v>0</v>
      </c>
      <c r="E664">
        <f>136.7087*$E$587</f>
        <v>0</v>
      </c>
      <c r="F664">
        <f>-150.3204*$F$587</f>
        <v>0</v>
      </c>
      <c r="G664">
        <f>-2.3676*$G$587</f>
        <v>0</v>
      </c>
      <c r="H664">
        <f>0*$H$587</f>
        <v>0</v>
      </c>
      <c r="I664">
        <f>0.6634*$I$587</f>
        <v>0</v>
      </c>
      <c r="J664">
        <f>-13.9007*$J$587</f>
        <v>0</v>
      </c>
      <c r="K664">
        <f>18.5342*$K$587</f>
        <v>0</v>
      </c>
      <c r="L664">
        <f>3.3883*$L$587</f>
        <v>0</v>
      </c>
      <c r="M664">
        <f>0+D664+E664+G664+H664+I664+J664+K664+L664</f>
        <v>0</v>
      </c>
      <c r="N664">
        <f>0+D664+F664+G664+H664+I664+J664+K664+L664</f>
        <v>0</v>
      </c>
    </row>
    <row r="665" spans="3:14">
      <c r="C665" t="s">
        <v>53</v>
      </c>
      <c r="D665">
        <f>4.8812*$D$587</f>
        <v>0</v>
      </c>
      <c r="E665">
        <f>140.0761*$E$587</f>
        <v>0</v>
      </c>
      <c r="F665">
        <f>-150.3219*$F$587</f>
        <v>0</v>
      </c>
      <c r="G665">
        <f>-2.3068*$G$587</f>
        <v>0</v>
      </c>
      <c r="H665">
        <f>0*$H$587</f>
        <v>0</v>
      </c>
      <c r="I665">
        <f>0.7649*$I$587</f>
        <v>0</v>
      </c>
      <c r="J665">
        <f>-16.6336*$J$587</f>
        <v>0</v>
      </c>
      <c r="K665">
        <f>22.1781*$K$587</f>
        <v>0</v>
      </c>
      <c r="L665">
        <f>3.967*$L$587</f>
        <v>0</v>
      </c>
      <c r="M665">
        <f>0+D665+E665+G665+H665+I665+J665+K665+L665</f>
        <v>0</v>
      </c>
      <c r="N665">
        <f>0+D665+F665+G665+H665+I665+J665+K665+L665</f>
        <v>0</v>
      </c>
    </row>
    <row r="666" spans="3:14">
      <c r="C666" t="s">
        <v>54</v>
      </c>
      <c r="D666">
        <f>5.7582*$D$587</f>
        <v>0</v>
      </c>
      <c r="E666">
        <f>147.4669*$E$587</f>
        <v>0</v>
      </c>
      <c r="F666">
        <f>-151.543*$F$587</f>
        <v>0</v>
      </c>
      <c r="G666">
        <f>-2.6643*$G$587</f>
        <v>0</v>
      </c>
      <c r="H666">
        <f>0*$H$587</f>
        <v>0</v>
      </c>
      <c r="I666">
        <f>0.9219*$I$587</f>
        <v>0</v>
      </c>
      <c r="J666">
        <f>-18.7385*$J$587</f>
        <v>0</v>
      </c>
      <c r="K666">
        <f>24.9846*$K$587</f>
        <v>0</v>
      </c>
      <c r="L666">
        <f>4.4489*$L$587</f>
        <v>0</v>
      </c>
      <c r="M666">
        <f>0+D666+E666+G666+H666+I666+J666+K666+L666</f>
        <v>0</v>
      </c>
      <c r="N666">
        <f>0+D666+F666+G666+H666+I666+J666+K666+L666</f>
        <v>0</v>
      </c>
    </row>
    <row r="667" spans="3:14">
      <c r="C667" t="s">
        <v>54</v>
      </c>
      <c r="D667">
        <f>6.6844*$D$587</f>
        <v>0</v>
      </c>
      <c r="E667">
        <f>151*$E$587</f>
        <v>0</v>
      </c>
      <c r="F667">
        <f>-150.9978*$F$587</f>
        <v>0</v>
      </c>
      <c r="G667">
        <f>-2.5165*$G$587</f>
        <v>0</v>
      </c>
      <c r="H667">
        <f>0*$H$587</f>
        <v>0</v>
      </c>
      <c r="I667">
        <f>1.0467*$I$587</f>
        <v>0</v>
      </c>
      <c r="J667">
        <f>-23.1779*$J$587</f>
        <v>0</v>
      </c>
      <c r="K667">
        <f>30.9038*$K$587</f>
        <v>0</v>
      </c>
      <c r="L667">
        <f>4.8924*$L$587</f>
        <v>0</v>
      </c>
      <c r="M667">
        <f>0+D667+E667+G667+H667+I667+J667+K667+L667</f>
        <v>0</v>
      </c>
      <c r="N667">
        <f>0+D667+F667+G667+H667+I667+J667+K667+L667</f>
        <v>0</v>
      </c>
    </row>
    <row r="668" spans="3:14">
      <c r="C668" t="s">
        <v>55</v>
      </c>
      <c r="D668">
        <f>7.6907*$D$587</f>
        <v>0</v>
      </c>
      <c r="E668">
        <f>159.2636*$E$587</f>
        <v>0</v>
      </c>
      <c r="F668">
        <f>-154.0177*$F$587</f>
        <v>0</v>
      </c>
      <c r="G668">
        <f>-2.5797*$G$587</f>
        <v>0</v>
      </c>
      <c r="H668">
        <f>0*$H$587</f>
        <v>0</v>
      </c>
      <c r="I668">
        <f>1.2049*$I$587</f>
        <v>0</v>
      </c>
      <c r="J668">
        <f>-27.3986*$J$587</f>
        <v>0</v>
      </c>
      <c r="K668">
        <f>36.5315*$K$587</f>
        <v>0</v>
      </c>
      <c r="L668">
        <f>5.264*$L$587</f>
        <v>0</v>
      </c>
      <c r="M668">
        <f>0+D668+E668+G668+H668+I668+J668+K668+L668</f>
        <v>0</v>
      </c>
      <c r="N668">
        <f>0+D668+F668+G668+H668+I668+J668+K668+L668</f>
        <v>0</v>
      </c>
    </row>
    <row r="669" spans="3:14">
      <c r="C669" t="s">
        <v>55</v>
      </c>
      <c r="D669">
        <f>8.594*$D$587</f>
        <v>0</v>
      </c>
      <c r="E669">
        <f>166.901*$E$587</f>
        <v>0</v>
      </c>
      <c r="F669">
        <f>-153.402*$F$587</f>
        <v>0</v>
      </c>
      <c r="G669">
        <f>-2.3044*$G$587</f>
        <v>0</v>
      </c>
      <c r="H669">
        <f>0*$H$587</f>
        <v>0</v>
      </c>
      <c r="I669">
        <f>1.3202*$I$587</f>
        <v>0</v>
      </c>
      <c r="J669">
        <f>-31.9834*$J$587</f>
        <v>0</v>
      </c>
      <c r="K669">
        <f>42.6446*$K$587</f>
        <v>0</v>
      </c>
      <c r="L669">
        <f>5.5048*$L$587</f>
        <v>0</v>
      </c>
      <c r="M669">
        <f>0+D669+E669+G669+H669+I669+J669+K669+L669</f>
        <v>0</v>
      </c>
      <c r="N669">
        <f>0+D669+F669+G669+H669+I669+J669+K669+L669</f>
        <v>0</v>
      </c>
    </row>
    <row r="670" spans="3:14">
      <c r="C670" t="s">
        <v>56</v>
      </c>
      <c r="D670">
        <f>9.3741*$D$587</f>
        <v>0</v>
      </c>
      <c r="E670">
        <f>178.0606*$E$587</f>
        <v>0</v>
      </c>
      <c r="F670">
        <f>-157.3171*$F$587</f>
        <v>0</v>
      </c>
      <c r="G670">
        <f>-2.3545*$G$587</f>
        <v>0</v>
      </c>
      <c r="H670">
        <f>0*$H$587</f>
        <v>0</v>
      </c>
      <c r="I670">
        <f>1.4485*$I$587</f>
        <v>0</v>
      </c>
      <c r="J670">
        <f>-34.133*$J$587</f>
        <v>0</v>
      </c>
      <c r="K670">
        <f>45.5106*$K$587</f>
        <v>0</v>
      </c>
      <c r="L670">
        <f>5.4245*$L$587</f>
        <v>0</v>
      </c>
      <c r="M670">
        <f>0+D670+E670+G670+H670+I670+J670+K670+L670</f>
        <v>0</v>
      </c>
      <c r="N670">
        <f>0+D670+F670+G670+H670+I670+J670+K670+L670</f>
        <v>0</v>
      </c>
    </row>
    <row r="671" spans="3:14">
      <c r="C671" t="s">
        <v>56</v>
      </c>
      <c r="D671">
        <f>9.7135*$D$587</f>
        <v>0</v>
      </c>
      <c r="E671">
        <f>181.814*$E$587</f>
        <v>0</v>
      </c>
      <c r="F671">
        <f>-154.7466*$F$587</f>
        <v>0</v>
      </c>
      <c r="G671">
        <f>-1.9494*$G$587</f>
        <v>0</v>
      </c>
      <c r="H671">
        <f>0*$H$587</f>
        <v>0</v>
      </c>
      <c r="I671">
        <f>1.4699*$I$587</f>
        <v>0</v>
      </c>
      <c r="J671">
        <f>-35.9906*$J$587</f>
        <v>0</v>
      </c>
      <c r="K671">
        <f>47.9874*$K$587</f>
        <v>0</v>
      </c>
      <c r="L671">
        <f>5.3407*$L$587</f>
        <v>0</v>
      </c>
      <c r="M671">
        <f>0+D671+E671+G671+H671+I671+J671+K671+L671</f>
        <v>0</v>
      </c>
      <c r="N671">
        <f>0+D671+F671+G671+H671+I671+J671+K671+L671</f>
        <v>0</v>
      </c>
    </row>
    <row r="672" spans="3:14">
      <c r="C672" t="s">
        <v>57</v>
      </c>
      <c r="D672">
        <f>9.3108*$D$587</f>
        <v>0</v>
      </c>
      <c r="E672">
        <f>187.0161*$E$587</f>
        <v>0</v>
      </c>
      <c r="F672">
        <f>-152.7323*$F$587</f>
        <v>0</v>
      </c>
      <c r="G672">
        <f>-1.9922*$G$587</f>
        <v>0</v>
      </c>
      <c r="H672">
        <f>0*$H$587</f>
        <v>0</v>
      </c>
      <c r="I672">
        <f>1.4349*$I$587</f>
        <v>0</v>
      </c>
      <c r="J672">
        <f>-30.0222*$J$587</f>
        <v>0</v>
      </c>
      <c r="K672">
        <f>40.0296*$K$587</f>
        <v>0</v>
      </c>
      <c r="L672">
        <f>4.0089*$L$587</f>
        <v>0</v>
      </c>
      <c r="M672">
        <f>0+D672+E672+G672+H672+I672+J672+K672+L672</f>
        <v>0</v>
      </c>
      <c r="N672">
        <f>0+D672+F672+G672+H672+I672+J672+K672+L672</f>
        <v>0</v>
      </c>
    </row>
    <row r="673" spans="3:14">
      <c r="C673" t="s">
        <v>57</v>
      </c>
      <c r="D673">
        <f>11.5298*$D$587</f>
        <v>0</v>
      </c>
      <c r="E673">
        <f>194.6023*$E$587</f>
        <v>0</v>
      </c>
      <c r="F673">
        <f>-174.007*$F$587</f>
        <v>0</v>
      </c>
      <c r="G673">
        <f>-1.6104*$G$587</f>
        <v>0</v>
      </c>
      <c r="H673">
        <f>0*$H$587</f>
        <v>0</v>
      </c>
      <c r="I673">
        <f>1.7085*$I$587</f>
        <v>0</v>
      </c>
      <c r="J673">
        <f>-31.9532*$J$587</f>
        <v>0</v>
      </c>
      <c r="K673">
        <f>42.6043*$K$587</f>
        <v>0</v>
      </c>
      <c r="L673">
        <f>7.3442*$L$587</f>
        <v>0</v>
      </c>
      <c r="M673">
        <f>0+D673+E673+G673+H673+I673+J673+K673+L673</f>
        <v>0</v>
      </c>
      <c r="N673">
        <f>0+D673+F673+G673+H673+I673+J673+K673+L673</f>
        <v>0</v>
      </c>
    </row>
    <row r="674" spans="3:14">
      <c r="C674" t="s">
        <v>58</v>
      </c>
      <c r="D674">
        <f>11.5298*$D$587</f>
        <v>0</v>
      </c>
      <c r="E674">
        <f>194.6023*$E$587</f>
        <v>0</v>
      </c>
      <c r="F674">
        <f>-174.007*$F$587</f>
        <v>0</v>
      </c>
      <c r="G674">
        <f>-1.6104*$G$587</f>
        <v>0</v>
      </c>
      <c r="H674">
        <f>0*$H$587</f>
        <v>0</v>
      </c>
      <c r="I674">
        <f>1.7085*$I$587</f>
        <v>0</v>
      </c>
      <c r="J674">
        <f>-31.9532*$J$587</f>
        <v>0</v>
      </c>
      <c r="K674">
        <f>42.6043*$K$587</f>
        <v>0</v>
      </c>
      <c r="L674">
        <f>7.3442*$L$587</f>
        <v>0</v>
      </c>
      <c r="M674">
        <f>0+D674+E674+G674+H674+I674+J674+K674+L674</f>
        <v>0</v>
      </c>
      <c r="N674">
        <f>0+D674+F674+G674+H674+I674+J674+K674+L674</f>
        <v>0</v>
      </c>
    </row>
    <row r="675" spans="3:14">
      <c r="C675" t="s">
        <v>58</v>
      </c>
      <c r="D675">
        <f>-10.8193*$D$587</f>
        <v>0</v>
      </c>
      <c r="E675">
        <f>30.7836*$E$587</f>
        <v>0</v>
      </c>
      <c r="F675">
        <f>-46.0664*$F$587</f>
        <v>0</v>
      </c>
      <c r="G675">
        <f>0.8019*$G$587</f>
        <v>0</v>
      </c>
      <c r="H675">
        <f>0*$H$587</f>
        <v>0</v>
      </c>
      <c r="I675">
        <f>-1.5633*$I$587</f>
        <v>0</v>
      </c>
      <c r="J675">
        <f>24.0962*$J$587</f>
        <v>0</v>
      </c>
      <c r="K675">
        <f>-32.1283*$K$587</f>
        <v>0</v>
      </c>
      <c r="L675">
        <f>-39.7855*$L$587</f>
        <v>0</v>
      </c>
      <c r="M675">
        <f>0+D675+E675+G675+H675+I675+J675+K675+L675</f>
        <v>0</v>
      </c>
      <c r="N675">
        <f>0+D675+F675+G675+H675+I675+J675+K675+L675</f>
        <v>0</v>
      </c>
    </row>
    <row r="676" spans="3:14">
      <c r="C676" t="s">
        <v>59</v>
      </c>
      <c r="D676">
        <f>-10.8193*$D$587</f>
        <v>0</v>
      </c>
      <c r="E676">
        <f>30.7836*$E$587</f>
        <v>0</v>
      </c>
      <c r="F676">
        <f>-46.0664*$F$587</f>
        <v>0</v>
      </c>
      <c r="G676">
        <f>0.8019*$G$587</f>
        <v>0</v>
      </c>
      <c r="H676">
        <f>0*$H$587</f>
        <v>0</v>
      </c>
      <c r="I676">
        <f>-1.5633*$I$587</f>
        <v>0</v>
      </c>
      <c r="J676">
        <f>24.0962*$J$587</f>
        <v>0</v>
      </c>
      <c r="K676">
        <f>-32.1283*$K$587</f>
        <v>0</v>
      </c>
      <c r="L676">
        <f>-39.7855*$L$587</f>
        <v>0</v>
      </c>
      <c r="M676">
        <f>0+D676+E676+G676+H676+I676+J676+K676+L676</f>
        <v>0</v>
      </c>
      <c r="N676">
        <f>0+D676+F676+G676+H676+I676+J676+K676+L676</f>
        <v>0</v>
      </c>
    </row>
    <row r="677" spans="3:14">
      <c r="C677" t="s">
        <v>59</v>
      </c>
      <c r="D677">
        <f>-8.6947*$D$587</f>
        <v>0</v>
      </c>
      <c r="E677">
        <f>83.3723*$E$587</f>
        <v>0</v>
      </c>
      <c r="F677">
        <f>-98.5589*$F$587</f>
        <v>0</v>
      </c>
      <c r="G677">
        <f>1.0249*$G$587</f>
        <v>0</v>
      </c>
      <c r="H677">
        <f>0*$H$587</f>
        <v>0</v>
      </c>
      <c r="I677">
        <f>-1.2967*$I$587</f>
        <v>0</v>
      </c>
      <c r="J677">
        <f>21.1702*$J$587</f>
        <v>0</v>
      </c>
      <c r="K677">
        <f>-28.227*$K$587</f>
        <v>0</v>
      </c>
      <c r="L677">
        <f>-34.0728*$L$587</f>
        <v>0</v>
      </c>
      <c r="M677">
        <f>0+D677+E677+G677+H677+I677+J677+K677+L677</f>
        <v>0</v>
      </c>
      <c r="N677">
        <f>0+D677+F677+G677+H677+I677+J677+K677+L677</f>
        <v>0</v>
      </c>
    </row>
    <row r="678" spans="3:14">
      <c r="C678" t="s">
        <v>60</v>
      </c>
      <c r="D678">
        <f>-10.2005*$D$587</f>
        <v>0</v>
      </c>
      <c r="E678">
        <f>81.2634*$E$587</f>
        <v>0</v>
      </c>
      <c r="F678">
        <f>-95.3652*$F$587</f>
        <v>0</v>
      </c>
      <c r="G678">
        <f>1.0024*$G$587</f>
        <v>0</v>
      </c>
      <c r="H678">
        <f>0*$H$587</f>
        <v>0</v>
      </c>
      <c r="I678">
        <f>-1.4978*$I$587</f>
        <v>0</v>
      </c>
      <c r="J678">
        <f>28.7279*$J$587</f>
        <v>0</v>
      </c>
      <c r="K678">
        <f>-38.3039*$K$587</f>
        <v>0</v>
      </c>
      <c r="L678">
        <f>-34.5905*$L$587</f>
        <v>0</v>
      </c>
      <c r="M678">
        <f>0+D678+E678+G678+H678+I678+J678+K678+L678</f>
        <v>0</v>
      </c>
      <c r="N678">
        <f>0+D678+F678+G678+H678+I678+J678+K678+L678</f>
        <v>0</v>
      </c>
    </row>
    <row r="679" spans="3:14">
      <c r="C679" t="s">
        <v>60</v>
      </c>
      <c r="D679">
        <f>-10.6596*$D$587</f>
        <v>0</v>
      </c>
      <c r="E679">
        <f>84.5674*$E$587</f>
        <v>0</v>
      </c>
      <c r="F679">
        <f>-94.2727*$F$587</f>
        <v>0</v>
      </c>
      <c r="G679">
        <f>1.3722*$G$587</f>
        <v>0</v>
      </c>
      <c r="H679">
        <f>0*$H$587</f>
        <v>0</v>
      </c>
      <c r="I679">
        <f>-1.5922*$I$587</f>
        <v>0</v>
      </c>
      <c r="J679">
        <f>27.4164*$J$587</f>
        <v>0</v>
      </c>
      <c r="K679">
        <f>-36.5552*$K$587</f>
        <v>0</v>
      </c>
      <c r="L679">
        <f>-32.7543*$L$587</f>
        <v>0</v>
      </c>
      <c r="M679">
        <f>0+D679+E679+G679+H679+I679+J679+K679+L679</f>
        <v>0</v>
      </c>
      <c r="N679">
        <f>0+D679+F679+G679+H679+I679+J679+K679+L679</f>
        <v>0</v>
      </c>
    </row>
    <row r="680" spans="3:14">
      <c r="C680" t="s">
        <v>61</v>
      </c>
      <c r="D680">
        <f>-10.594*$D$587</f>
        <v>0</v>
      </c>
      <c r="E680">
        <f>81.6044*$E$587</f>
        <v>0</v>
      </c>
      <c r="F680">
        <f>-89.677*$F$587</f>
        <v>0</v>
      </c>
      <c r="G680">
        <f>1.2707*$G$587</f>
        <v>0</v>
      </c>
      <c r="H680">
        <f>0*$H$587</f>
        <v>0</v>
      </c>
      <c r="I680">
        <f>-1.5659*$I$587</f>
        <v>0</v>
      </c>
      <c r="J680">
        <f>25.6238*$J$587</f>
        <v>0</v>
      </c>
      <c r="K680">
        <f>-34.1651*$K$587</f>
        <v>0</v>
      </c>
      <c r="L680">
        <f>-29.1885*$L$587</f>
        <v>0</v>
      </c>
      <c r="M680">
        <f>0+D680+E680+G680+H680+I680+J680+K680+L680</f>
        <v>0</v>
      </c>
      <c r="N680">
        <f>0+D680+F680+G680+H680+I680+J680+K680+L680</f>
        <v>0</v>
      </c>
    </row>
    <row r="681" spans="3:14">
      <c r="C681" t="s">
        <v>61</v>
      </c>
      <c r="D681">
        <f>-10.2996*$D$587</f>
        <v>0</v>
      </c>
      <c r="E681">
        <f>80.4003*$E$587</f>
        <v>0</v>
      </c>
      <c r="F681">
        <f>-85.0867*$F$587</f>
        <v>0</v>
      </c>
      <c r="G681">
        <f>1.4453*$G$587</f>
        <v>0</v>
      </c>
      <c r="H681">
        <f>0*$H$587</f>
        <v>0</v>
      </c>
      <c r="I681">
        <f>-1.5336*$I$587</f>
        <v>0</v>
      </c>
      <c r="J681">
        <f>20.7871*$J$587</f>
        <v>0</v>
      </c>
      <c r="K681">
        <f>-27.7161*$K$587</f>
        <v>0</v>
      </c>
      <c r="L681">
        <f>-26.4956*$L$587</f>
        <v>0</v>
      </c>
      <c r="M681">
        <f>0+D681+E681+G681+H681+I681+J681+K681+L681</f>
        <v>0</v>
      </c>
      <c r="N681">
        <f>0+D681+F681+G681+H681+I681+J681+K681+L681</f>
        <v>0</v>
      </c>
    </row>
    <row r="682" spans="3:14">
      <c r="C682" t="s">
        <v>62</v>
      </c>
      <c r="D682">
        <f>-9.7042*$D$587</f>
        <v>0</v>
      </c>
      <c r="E682">
        <f>77.7942*$E$587</f>
        <v>0</v>
      </c>
      <c r="F682">
        <f>-80.9791*$F$587</f>
        <v>0</v>
      </c>
      <c r="G682">
        <f>1.2689*$G$587</f>
        <v>0</v>
      </c>
      <c r="H682">
        <f>0*$H$587</f>
        <v>0</v>
      </c>
      <c r="I682">
        <f>-1.4281*$I$587</f>
        <v>0</v>
      </c>
      <c r="J682">
        <f>16.1054*$J$587</f>
        <v>0</v>
      </c>
      <c r="K682">
        <f>-21.4738*$K$587</f>
        <v>0</v>
      </c>
      <c r="L682">
        <f>-23.0367*$L$587</f>
        <v>0</v>
      </c>
      <c r="M682">
        <f>0+D682+E682+G682+H682+I682+J682+K682+L682</f>
        <v>0</v>
      </c>
      <c r="N682">
        <f>0+D682+F682+G682+H682+I682+J682+K682+L682</f>
        <v>0</v>
      </c>
    </row>
    <row r="683" spans="3:14">
      <c r="C683" t="s">
        <v>62</v>
      </c>
      <c r="D683">
        <f>-9.1152*$D$587</f>
        <v>0</v>
      </c>
      <c r="E683">
        <f>77.5713*$E$587</f>
        <v>0</v>
      </c>
      <c r="F683">
        <f>-77.5936*$F$587</f>
        <v>0</v>
      </c>
      <c r="G683">
        <f>1.2688*$G$587</f>
        <v>0</v>
      </c>
      <c r="H683">
        <f>0*$H$587</f>
        <v>0</v>
      </c>
      <c r="I683">
        <f>-1.3428*$I$587</f>
        <v>0</v>
      </c>
      <c r="J683">
        <f>10.823*$J$587</f>
        <v>0</v>
      </c>
      <c r="K683">
        <f>-14.4307*$K$587</f>
        <v>0</v>
      </c>
      <c r="L683">
        <f>-20.4035*$L$587</f>
        <v>0</v>
      </c>
      <c r="M683">
        <f>0+D683+E683+G683+H683+I683+J683+K683+L683</f>
        <v>0</v>
      </c>
      <c r="N683">
        <f>0+D683+F683+G683+H683+I683+J683+K683+L683</f>
        <v>0</v>
      </c>
    </row>
    <row r="684" spans="3:14">
      <c r="C684" t="s">
        <v>63</v>
      </c>
      <c r="D684">
        <f>-8.3447*$D$587</f>
        <v>0</v>
      </c>
      <c r="E684">
        <f>76.0104*$E$587</f>
        <v>0</v>
      </c>
      <c r="F684">
        <f>-74.5259*$F$587</f>
        <v>0</v>
      </c>
      <c r="G684">
        <f>0.7697*$G$587</f>
        <v>0</v>
      </c>
      <c r="H684">
        <f>0*$H$587</f>
        <v>0</v>
      </c>
      <c r="I684">
        <f>-1.1915*$I$587</f>
        <v>0</v>
      </c>
      <c r="J684">
        <f>7.7387*$J$587</f>
        <v>0</v>
      </c>
      <c r="K684">
        <f>-10.3183*$K$587</f>
        <v>0</v>
      </c>
      <c r="L684">
        <f>-17.2317*$L$587</f>
        <v>0</v>
      </c>
      <c r="M684">
        <f>0+D684+E684+G684+H684+I684+J684+K684+L684</f>
        <v>0</v>
      </c>
      <c r="N684">
        <f>0+D684+F684+G684+H684+I684+J684+K684+L684</f>
        <v>0</v>
      </c>
    </row>
    <row r="685" spans="3:14">
      <c r="C685" t="s">
        <v>63</v>
      </c>
      <c r="D685">
        <f>-7.5426*$D$587</f>
        <v>0</v>
      </c>
      <c r="E685">
        <f>76.6773*$E$587</f>
        <v>0</v>
      </c>
      <c r="F685">
        <f>-74.1733*$F$587</f>
        <v>0</v>
      </c>
      <c r="G685">
        <f>0.6162*$G$587</f>
        <v>0</v>
      </c>
      <c r="H685">
        <f>0*$H$587</f>
        <v>0</v>
      </c>
      <c r="I685">
        <f>-1.0767*$I$587</f>
        <v>0</v>
      </c>
      <c r="J685">
        <f>3.2609*$J$587</f>
        <v>0</v>
      </c>
      <c r="K685">
        <f>-4.3478*$K$587</f>
        <v>0</v>
      </c>
      <c r="L685">
        <f>-13.6765*$L$587</f>
        <v>0</v>
      </c>
      <c r="M685">
        <f>0+D685+E685+G685+H685+I685+J685+K685+L685</f>
        <v>0</v>
      </c>
      <c r="N685">
        <f>0+D685+F685+G685+H685+I685+J685+K685+L685</f>
        <v>0</v>
      </c>
    </row>
    <row r="686" spans="3:14">
      <c r="C686" t="s">
        <v>64</v>
      </c>
      <c r="D686">
        <f>-6.5697*$D$587</f>
        <v>0</v>
      </c>
      <c r="E686">
        <f>76.0505*$E$587</f>
        <v>0</v>
      </c>
      <c r="F686">
        <f>-82.2789*$F$587</f>
        <v>0</v>
      </c>
      <c r="G686">
        <f>-0.2561*$G$587</f>
        <v>0</v>
      </c>
      <c r="H686">
        <f>0*$H$587</f>
        <v>0</v>
      </c>
      <c r="I686">
        <f>-0.8861*$I$587</f>
        <v>0</v>
      </c>
      <c r="J686">
        <f>2.8277*$J$587</f>
        <v>0</v>
      </c>
      <c r="K686">
        <f>-3.7703*$K$587</f>
        <v>0</v>
      </c>
      <c r="L686">
        <f>-9.784*$L$587</f>
        <v>0</v>
      </c>
      <c r="M686">
        <f>0+D686+E686+G686+H686+I686+J686+K686+L686</f>
        <v>0</v>
      </c>
      <c r="N686">
        <f>0+D686+F686+G686+H686+I686+J686+K686+L686</f>
        <v>0</v>
      </c>
    </row>
    <row r="687" spans="3:14">
      <c r="C687" t="s">
        <v>64</v>
      </c>
      <c r="D687">
        <f>-3.9121*$D$587</f>
        <v>0</v>
      </c>
      <c r="E687">
        <f>75.1609*$E$587</f>
        <v>0</v>
      </c>
      <c r="F687">
        <f>-78.4768*$F$587</f>
        <v>0</v>
      </c>
      <c r="G687">
        <f>-0.965*$G$587</f>
        <v>0</v>
      </c>
      <c r="H687">
        <f>0*$H$587</f>
        <v>0</v>
      </c>
      <c r="I687">
        <f>-0.484*$I$587</f>
        <v>0</v>
      </c>
      <c r="J687">
        <f>-8.9973*$J$587</f>
        <v>0</v>
      </c>
      <c r="K687">
        <f>11.9964*$K$587</f>
        <v>0</v>
      </c>
      <c r="L687">
        <f>7.5894*$L$587</f>
        <v>0</v>
      </c>
      <c r="M687">
        <f>0+D687+E687+G687+H687+I687+J687+K687+L687</f>
        <v>0</v>
      </c>
      <c r="N687">
        <f>0+D687+F687+G687+H687+I687+J687+K687+L687</f>
        <v>0</v>
      </c>
    </row>
    <row r="688" spans="3:14">
      <c r="C688" t="s">
        <v>65</v>
      </c>
      <c r="D688">
        <f>-2.7881*$D$587</f>
        <v>0</v>
      </c>
      <c r="E688">
        <f>68.7349*$E$587</f>
        <v>0</v>
      </c>
      <c r="F688">
        <f>-79.5384*$F$587</f>
        <v>0</v>
      </c>
      <c r="G688">
        <f>-1.8812*$G$587</f>
        <v>0</v>
      </c>
      <c r="H688">
        <f>0*$H$587</f>
        <v>0</v>
      </c>
      <c r="I688">
        <f>-0.269*$I$587</f>
        <v>0</v>
      </c>
      <c r="J688">
        <f>-10.1781*$J$587</f>
        <v>0</v>
      </c>
      <c r="K688">
        <f>13.5708*$K$587</f>
        <v>0</v>
      </c>
      <c r="L688">
        <f>11.8687*$L$587</f>
        <v>0</v>
      </c>
      <c r="M688">
        <f>0+D688+E688+G688+H688+I688+J688+K688+L688</f>
        <v>0</v>
      </c>
      <c r="N688">
        <f>0+D688+F688+G688+H688+I688+J688+K688+L688</f>
        <v>0</v>
      </c>
    </row>
    <row r="689" spans="3:14">
      <c r="C689" t="s">
        <v>65</v>
      </c>
      <c r="D689">
        <f>-1.9837*$D$587</f>
        <v>0</v>
      </c>
      <c r="E689">
        <f>69.4229*$E$587</f>
        <v>0</v>
      </c>
      <c r="F689">
        <f>-78.8664*$F$587</f>
        <v>0</v>
      </c>
      <c r="G689">
        <f>-2.1489*$G$587</f>
        <v>0</v>
      </c>
      <c r="H689">
        <f>0*$H$587</f>
        <v>0</v>
      </c>
      <c r="I689">
        <f>-0.143*$I$587</f>
        <v>0</v>
      </c>
      <c r="J689">
        <f>-15.7767*$J$587</f>
        <v>0</v>
      </c>
      <c r="K689">
        <f>21.0356*$K$587</f>
        <v>0</v>
      </c>
      <c r="L689">
        <f>15.5338*$L$587</f>
        <v>0</v>
      </c>
      <c r="M689">
        <f>0+D689+E689+G689+H689+I689+J689+K689+L689</f>
        <v>0</v>
      </c>
      <c r="N689">
        <f>0+D689+F689+G689+H689+I689+J689+K689+L689</f>
        <v>0</v>
      </c>
    </row>
    <row r="690" spans="3:14">
      <c r="C690" t="s">
        <v>66</v>
      </c>
      <c r="D690">
        <f>-1.1831*$D$587</f>
        <v>0</v>
      </c>
      <c r="E690">
        <f>70.7311*$E$587</f>
        <v>0</v>
      </c>
      <c r="F690">
        <f>-80.5117*$F$587</f>
        <v>0</v>
      </c>
      <c r="G690">
        <f>-2.7735*$G$587</f>
        <v>0</v>
      </c>
      <c r="H690">
        <f>0*$H$587</f>
        <v>0</v>
      </c>
      <c r="I690">
        <f>0.0258*$I$587</f>
        <v>0</v>
      </c>
      <c r="J690">
        <f>-20.4123*$J$587</f>
        <v>0</v>
      </c>
      <c r="K690">
        <f>27.2164*$K$587</f>
        <v>0</v>
      </c>
      <c r="L690">
        <f>18.8596*$L$587</f>
        <v>0</v>
      </c>
      <c r="M690">
        <f>0+D690+E690+G690+H690+I690+J690+K690+L690</f>
        <v>0</v>
      </c>
      <c r="N690">
        <f>0+D690+F690+G690+H690+I690+J690+K690+L690</f>
        <v>0</v>
      </c>
    </row>
    <row r="691" spans="3:14">
      <c r="C691" t="s">
        <v>66</v>
      </c>
      <c r="D691">
        <f>-0.6018*$D$587</f>
        <v>0</v>
      </c>
      <c r="E691">
        <f>73.6998*$E$587</f>
        <v>0</v>
      </c>
      <c r="F691">
        <f>-80.9125*$F$587</f>
        <v>0</v>
      </c>
      <c r="G691">
        <f>-2.9267*$G$587</f>
        <v>0</v>
      </c>
      <c r="H691">
        <f>0*$H$587</f>
        <v>0</v>
      </c>
      <c r="I691">
        <f>0.1249*$I$587</f>
        <v>0</v>
      </c>
      <c r="J691">
        <f>-27.5061*$J$587</f>
        <v>0</v>
      </c>
      <c r="K691">
        <f>36.6748*$K$587</f>
        <v>0</v>
      </c>
      <c r="L691">
        <f>21.5148*$L$587</f>
        <v>0</v>
      </c>
      <c r="M691">
        <f>0+D691+E691+G691+H691+I691+J691+K691+L691</f>
        <v>0</v>
      </c>
      <c r="N691">
        <f>0+D691+F691+G691+H691+I691+J691+K691+L691</f>
        <v>0</v>
      </c>
    </row>
    <row r="692" spans="3:14">
      <c r="C692" t="s">
        <v>67</v>
      </c>
      <c r="D692">
        <f>0.0352*$D$587</f>
        <v>0</v>
      </c>
      <c r="E692">
        <f>79.2398*$E$587</f>
        <v>0</v>
      </c>
      <c r="F692">
        <f>-83.9137*$F$587</f>
        <v>0</v>
      </c>
      <c r="G692">
        <f>-3.2651*$G$587</f>
        <v>0</v>
      </c>
      <c r="H692">
        <f>0*$H$587</f>
        <v>0</v>
      </c>
      <c r="I692">
        <f>0.2527*$I$587</f>
        <v>0</v>
      </c>
      <c r="J692">
        <f>-33.7563*$J$587</f>
        <v>0</v>
      </c>
      <c r="K692">
        <f>45.0084*$K$587</f>
        <v>0</v>
      </c>
      <c r="L692">
        <f>25.1667*$L$587</f>
        <v>0</v>
      </c>
      <c r="M692">
        <f>0+D692+E692+G692+H692+I692+J692+K692+L692</f>
        <v>0</v>
      </c>
      <c r="N692">
        <f>0+D692+F692+G692+H692+I692+J692+K692+L692</f>
        <v>0</v>
      </c>
    </row>
    <row r="693" spans="3:14">
      <c r="C693" t="s">
        <v>67</v>
      </c>
      <c r="D693">
        <f>0.4539*$D$587</f>
        <v>0</v>
      </c>
      <c r="E693">
        <f>82.8141*$E$587</f>
        <v>0</v>
      </c>
      <c r="F693">
        <f>-85.5365*$F$587</f>
        <v>0</v>
      </c>
      <c r="G693">
        <f>-3.2682*$G$587</f>
        <v>0</v>
      </c>
      <c r="H693">
        <f>0*$H$587</f>
        <v>0</v>
      </c>
      <c r="I693">
        <f>0.3188*$I$587</f>
        <v>0</v>
      </c>
      <c r="J693">
        <f>-39.9876*$J$587</f>
        <v>0</v>
      </c>
      <c r="K693">
        <f>53.3167*$K$587</f>
        <v>0</v>
      </c>
      <c r="L693">
        <f>27.99*$L$587</f>
        <v>0</v>
      </c>
      <c r="M693">
        <f>0+D693+E693+G693+H693+I693+J693+K693+L693</f>
        <v>0</v>
      </c>
      <c r="N693">
        <f>0+D693+F693+G693+H693+I693+J693+K693+L693</f>
        <v>0</v>
      </c>
    </row>
    <row r="694" spans="3:14">
      <c r="C694" t="s">
        <v>68</v>
      </c>
      <c r="D694">
        <f>0.9005*$D$587</f>
        <v>0</v>
      </c>
      <c r="E694">
        <f>89.0511*$E$587</f>
        <v>0</v>
      </c>
      <c r="F694">
        <f>-90.6951*$F$587</f>
        <v>0</v>
      </c>
      <c r="G694">
        <f>-3.5379*$G$587</f>
        <v>0</v>
      </c>
      <c r="H694">
        <f>0*$H$587</f>
        <v>0</v>
      </c>
      <c r="I694">
        <f>0.4126*$I$587</f>
        <v>0</v>
      </c>
      <c r="J694">
        <f>-41.5143*$J$587</f>
        <v>0</v>
      </c>
      <c r="K694">
        <f>55.3524*$K$587</f>
        <v>0</v>
      </c>
      <c r="L694">
        <f>32.2762*$L$587</f>
        <v>0</v>
      </c>
      <c r="M694">
        <f>0+D694+E694+G694+H694+I694+J694+K694+L694</f>
        <v>0</v>
      </c>
      <c r="N694">
        <f>0+D694+F694+G694+H694+I694+J694+K694+L694</f>
        <v>0</v>
      </c>
    </row>
    <row r="695" spans="3:14">
      <c r="C695" t="s">
        <v>68</v>
      </c>
      <c r="D695">
        <f>0.9433*$D$587</f>
        <v>0</v>
      </c>
      <c r="E695">
        <f>94.5477*$E$587</f>
        <v>0</v>
      </c>
      <c r="F695">
        <f>-93.5529*$F$587</f>
        <v>0</v>
      </c>
      <c r="G695">
        <f>-3.4084*$G$587</f>
        <v>0</v>
      </c>
      <c r="H695">
        <f>0*$H$587</f>
        <v>0</v>
      </c>
      <c r="I695">
        <f>0.4039*$I$587</f>
        <v>0</v>
      </c>
      <c r="J695">
        <f>-45.1544*$J$587</f>
        <v>0</v>
      </c>
      <c r="K695">
        <f>60.2059*$K$587</f>
        <v>0</v>
      </c>
      <c r="L695">
        <f>35.1748*$L$587</f>
        <v>0</v>
      </c>
      <c r="M695">
        <f>0+D695+E695+G695+H695+I695+J695+K695+L695</f>
        <v>0</v>
      </c>
      <c r="N695">
        <f>0+D695+F695+G695+H695+I695+J695+K695+L695</f>
        <v>0</v>
      </c>
    </row>
    <row r="696" spans="3:14">
      <c r="C696" t="s">
        <v>69</v>
      </c>
      <c r="D696">
        <f>1.1881*$D$587</f>
        <v>0</v>
      </c>
      <c r="E696">
        <f>106.6908*$E$587</f>
        <v>0</v>
      </c>
      <c r="F696">
        <f>-97.7319*$F$587</f>
        <v>0</v>
      </c>
      <c r="G696">
        <f>-3.8888*$G$587</f>
        <v>0</v>
      </c>
      <c r="H696">
        <f>0*$H$587</f>
        <v>0</v>
      </c>
      <c r="I696">
        <f>0.472*$I$587</f>
        <v>0</v>
      </c>
      <c r="J696">
        <f>-45.9054*$J$587</f>
        <v>0</v>
      </c>
      <c r="K696">
        <f>61.2072*$K$587</f>
        <v>0</v>
      </c>
      <c r="L696">
        <f>39.2677*$L$587</f>
        <v>0</v>
      </c>
      <c r="M696">
        <f>0+D696+E696+G696+H696+I696+J696+K696+L696</f>
        <v>0</v>
      </c>
      <c r="N696">
        <f>0+D696+F696+G696+H696+I696+J696+K696+L696</f>
        <v>0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C3:N696"/>
  <sheetViews>
    <sheetView workbookViewId="0"/>
  </sheetViews>
  <sheetFormatPr defaultRowHeight="15"/>
  <sheetData>
    <row r="3" spans="3:14">
      <c r="C3" t="s">
        <v>79</v>
      </c>
    </row>
    <row r="5" spans="3:14">
      <c r="C5" t="s">
        <v>1</v>
      </c>
    </row>
    <row r="7" spans="3:14">
      <c r="C7" t="s">
        <v>2</v>
      </c>
    </row>
    <row r="8" spans="3:14"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13</v>
      </c>
      <c r="N8" t="s">
        <v>14</v>
      </c>
    </row>
    <row r="9" spans="3:14">
      <c r="C9" t="s">
        <v>80</v>
      </c>
      <c r="D9">
        <f>14.56*$D$7</f>
        <v>0</v>
      </c>
      <c r="E9">
        <f>472.1305*$E$7</f>
        <v>0</v>
      </c>
      <c r="F9">
        <f>-440.6164*$F$7</f>
        <v>0</v>
      </c>
      <c r="G9">
        <f>-24.4106*$G$7</f>
        <v>0</v>
      </c>
      <c r="H9">
        <f>0*$H$7</f>
        <v>0</v>
      </c>
      <c r="I9">
        <f>3.6272*$I$7</f>
        <v>0</v>
      </c>
      <c r="J9">
        <f>-270.5478*$J$7</f>
        <v>0</v>
      </c>
      <c r="K9">
        <f>360.7304*$K$7</f>
        <v>0</v>
      </c>
      <c r="L9">
        <f>0.1871*$L$7</f>
        <v>0</v>
      </c>
      <c r="M9">
        <f>0+D9+E9+G9+H9+I9+J9+K9+L9</f>
        <v>0</v>
      </c>
      <c r="N9">
        <f>0+D9+F9+G9+H9+I9+J9+K9+L9</f>
        <v>0</v>
      </c>
    </row>
    <row r="10" spans="3:14">
      <c r="C10" t="s">
        <v>16</v>
      </c>
      <c r="D10">
        <f>231.9032*$D$7</f>
        <v>0</v>
      </c>
      <c r="E10">
        <f>548.1595*$E$7</f>
        <v>0</v>
      </c>
      <c r="F10">
        <f>-205.9751*$F$7</f>
        <v>0</v>
      </c>
      <c r="G10">
        <f>11.507*$G$7</f>
        <v>0</v>
      </c>
      <c r="H10">
        <f>0*$H$7</f>
        <v>0</v>
      </c>
      <c r="I10">
        <f>34.1286*$I$7</f>
        <v>0</v>
      </c>
      <c r="J10">
        <f>-196.8465*$J$7</f>
        <v>0</v>
      </c>
      <c r="K10">
        <f>262.462*$K$7</f>
        <v>0</v>
      </c>
      <c r="L10">
        <f>0.1611*$L$7</f>
        <v>0</v>
      </c>
      <c r="M10">
        <f>0+D10+E10+G10+H10+I10+J10+K10+L10</f>
        <v>0</v>
      </c>
      <c r="N10">
        <f>0+D10+F10+G10+H10+I10+J10+K10+L10</f>
        <v>0</v>
      </c>
    </row>
    <row r="11" spans="3:14">
      <c r="C11" t="s">
        <v>16</v>
      </c>
      <c r="D11">
        <f>215.3988*$D$7</f>
        <v>0</v>
      </c>
      <c r="E11">
        <f>542.2677*$E$7</f>
        <v>0</v>
      </c>
      <c r="F11">
        <f>-221.883*$F$7</f>
        <v>0</v>
      </c>
      <c r="G11">
        <f>9.0359*$G$7</f>
        <v>0</v>
      </c>
      <c r="H11">
        <f>0*$H$7</f>
        <v>0</v>
      </c>
      <c r="I11">
        <f>31.8143*$I$7</f>
        <v>0</v>
      </c>
      <c r="J11">
        <f>-209.1882*$J$7</f>
        <v>0</v>
      </c>
      <c r="K11">
        <f>278.9176*$K$7</f>
        <v>0</v>
      </c>
      <c r="L11">
        <f>0.1629*$L$7</f>
        <v>0</v>
      </c>
      <c r="M11">
        <f>0+D11+E11+G11+H11+I11+J11+K11+L11</f>
        <v>0</v>
      </c>
      <c r="N11">
        <f>0+D11+F11+G11+H11+I11+J11+K11+L11</f>
        <v>0</v>
      </c>
    </row>
    <row r="12" spans="3:14">
      <c r="C12" t="s">
        <v>17</v>
      </c>
      <c r="D12">
        <f>410.3864*$D$7</f>
        <v>0</v>
      </c>
      <c r="E12">
        <f>663.3382*$E$7</f>
        <v>0</v>
      </c>
      <c r="F12">
        <f>-71.0745*$F$7</f>
        <v>0</v>
      </c>
      <c r="G12">
        <f>38.4303*$G$7</f>
        <v>0</v>
      </c>
      <c r="H12">
        <f>0*$H$7</f>
        <v>0</v>
      </c>
      <c r="I12">
        <f>59.1787*$I$7</f>
        <v>0</v>
      </c>
      <c r="J12">
        <f>-152.8203*$J$7</f>
        <v>0</v>
      </c>
      <c r="K12">
        <f>203.7603*$K$7</f>
        <v>0</v>
      </c>
      <c r="L12">
        <f>0.1385*$L$7</f>
        <v>0</v>
      </c>
      <c r="M12">
        <f>0+D12+E12+G12+H12+I12+J12+K12+L12</f>
        <v>0</v>
      </c>
      <c r="N12">
        <f>0+D12+F12+G12+H12+I12+J12+K12+L12</f>
        <v>0</v>
      </c>
    </row>
    <row r="13" spans="3:14">
      <c r="C13" t="s">
        <v>17</v>
      </c>
      <c r="D13">
        <f>391.1495*$D$7</f>
        <v>0</v>
      </c>
      <c r="E13">
        <f>647.0599*$E$7</f>
        <v>0</v>
      </c>
      <c r="F13">
        <f>-80.6439*$F$7</f>
        <v>0</v>
      </c>
      <c r="G13">
        <f>35.5892*$G$7</f>
        <v>0</v>
      </c>
      <c r="H13">
        <f>0*$H$7</f>
        <v>0</v>
      </c>
      <c r="I13">
        <f>56.486*$I$7</f>
        <v>0</v>
      </c>
      <c r="J13">
        <f>-161.5755*$J$7</f>
        <v>0</v>
      </c>
      <c r="K13">
        <f>215.4341*$K$7</f>
        <v>0</v>
      </c>
      <c r="L13">
        <f>0.1402*$L$7</f>
        <v>0</v>
      </c>
      <c r="M13">
        <f>0+D13+E13+G13+H13+I13+J13+K13+L13</f>
        <v>0</v>
      </c>
      <c r="N13">
        <f>0+D13+F13+G13+H13+I13+J13+K13+L13</f>
        <v>0</v>
      </c>
    </row>
    <row r="14" spans="3:14">
      <c r="C14" t="s">
        <v>18</v>
      </c>
      <c r="D14">
        <f>563.495*$D$7</f>
        <v>0</v>
      </c>
      <c r="E14">
        <f>808.4796*$E$7</f>
        <v>0</v>
      </c>
      <c r="F14">
        <f>-25.7524*$F$7</f>
        <v>0</v>
      </c>
      <c r="G14">
        <f>58.5439*$G$7</f>
        <v>0</v>
      </c>
      <c r="H14">
        <f>0*$H$7</f>
        <v>0</v>
      </c>
      <c r="I14">
        <f>80.6645*$I$7</f>
        <v>0</v>
      </c>
      <c r="J14">
        <f>-110.983*$J$7</f>
        <v>0</v>
      </c>
      <c r="K14">
        <f>147.9774*$K$7</f>
        <v>0</v>
      </c>
      <c r="L14">
        <f>0.1178*$L$7</f>
        <v>0</v>
      </c>
      <c r="M14">
        <f>0+D14+E14+G14+H14+I14+J14+K14+L14</f>
        <v>0</v>
      </c>
      <c r="N14">
        <f>0+D14+F14+G14+H14+I14+J14+K14+L14</f>
        <v>0</v>
      </c>
    </row>
    <row r="15" spans="3:14">
      <c r="C15" t="s">
        <v>18</v>
      </c>
      <c r="D15">
        <f>536.3434*$D$7</f>
        <v>0</v>
      </c>
      <c r="E15">
        <f>779.0017*$E$7</f>
        <v>0</v>
      </c>
      <c r="F15">
        <f>-27.1238*$F$7</f>
        <v>0</v>
      </c>
      <c r="G15">
        <f>54.8316*$G$7</f>
        <v>0</v>
      </c>
      <c r="H15">
        <f>0*$H$7</f>
        <v>0</v>
      </c>
      <c r="I15">
        <f>76.8685*$I$7</f>
        <v>0</v>
      </c>
      <c r="J15">
        <f>-117.8392*$J$7</f>
        <v>0</v>
      </c>
      <c r="K15">
        <f>157.119*$K$7</f>
        <v>0</v>
      </c>
      <c r="L15">
        <f>0.1202*$L$7</f>
        <v>0</v>
      </c>
      <c r="M15">
        <f>0+D15+E15+G15+H15+I15+J15+K15+L15</f>
        <v>0</v>
      </c>
      <c r="N15">
        <f>0+D15+F15+G15+H15+I15+J15+K15+L15</f>
        <v>0</v>
      </c>
    </row>
    <row r="16" spans="3:14">
      <c r="C16" t="s">
        <v>19</v>
      </c>
      <c r="D16">
        <f>685.3136*$D$7</f>
        <v>0</v>
      </c>
      <c r="E16">
        <f>945.3187*$E$7</f>
        <v>0</v>
      </c>
      <c r="F16">
        <f>-25.5094*$F$7</f>
        <v>0</v>
      </c>
      <c r="G16">
        <f>71.8371*$G$7</f>
        <v>0</v>
      </c>
      <c r="H16">
        <f>0*$H$7</f>
        <v>0</v>
      </c>
      <c r="I16">
        <f>97.7278*$I$7</f>
        <v>0</v>
      </c>
      <c r="J16">
        <f>-68.65*$J$7</f>
        <v>0</v>
      </c>
      <c r="K16">
        <f>91.5334*$K$7</f>
        <v>0</v>
      </c>
      <c r="L16">
        <f>0.0997*$L$7</f>
        <v>0</v>
      </c>
      <c r="M16">
        <f>0+D16+E16+G16+H16+I16+J16+K16+L16</f>
        <v>0</v>
      </c>
      <c r="N16">
        <f>0+D16+F16+G16+H16+I16+J16+K16+L16</f>
        <v>0</v>
      </c>
    </row>
    <row r="17" spans="3:14">
      <c r="C17" t="s">
        <v>19</v>
      </c>
      <c r="D17">
        <f>656.2503*$D$7</f>
        <v>0</v>
      </c>
      <c r="E17">
        <f>907.9639*$E$7</f>
        <v>0</v>
      </c>
      <c r="F17">
        <f>-25.0297*$F$7</f>
        <v>0</v>
      </c>
      <c r="G17">
        <f>68.296*$G$7</f>
        <v>0</v>
      </c>
      <c r="H17">
        <f>0*$H$7</f>
        <v>0</v>
      </c>
      <c r="I17">
        <f>93.6554*$I$7</f>
        <v>0</v>
      </c>
      <c r="J17">
        <f>-74.0907*$J$7</f>
        <v>0</v>
      </c>
      <c r="K17">
        <f>98.7875*$K$7</f>
        <v>0</v>
      </c>
      <c r="L17">
        <f>0.1013*$L$7</f>
        <v>0</v>
      </c>
      <c r="M17">
        <f>0+D17+E17+G17+H17+I17+J17+K17+L17</f>
        <v>0</v>
      </c>
      <c r="N17">
        <f>0+D17+F17+G17+H17+I17+J17+K17+L17</f>
        <v>0</v>
      </c>
    </row>
    <row r="18" spans="3:14">
      <c r="C18" t="s">
        <v>20</v>
      </c>
      <c r="D18">
        <f>791.5565*$D$7</f>
        <v>0</v>
      </c>
      <c r="E18">
        <f>1089.3064*$E$7</f>
        <v>0</v>
      </c>
      <c r="F18">
        <f>-26.7326*$F$7</f>
        <v>0</v>
      </c>
      <c r="G18">
        <f>81.2758*$G$7</f>
        <v>0</v>
      </c>
      <c r="H18">
        <f>0*$H$7</f>
        <v>0</v>
      </c>
      <c r="I18">
        <f>112.5359*$I$7</f>
        <v>0</v>
      </c>
      <c r="J18">
        <f>-19.1871*$J$7</f>
        <v>0</v>
      </c>
      <c r="K18">
        <f>25.5828*$K$7</f>
        <v>0</v>
      </c>
      <c r="L18">
        <f>0.0844*$L$7</f>
        <v>0</v>
      </c>
      <c r="M18">
        <f>0+D18+E18+G18+H18+I18+J18+K18+L18</f>
        <v>0</v>
      </c>
      <c r="N18">
        <f>0+D18+F18+G18+H18+I18+J18+K18+L18</f>
        <v>0</v>
      </c>
    </row>
    <row r="19" spans="3:14">
      <c r="C19" t="s">
        <v>20</v>
      </c>
      <c r="D19">
        <f>779.0078*$D$7</f>
        <v>0</v>
      </c>
      <c r="E19">
        <f>1070.0689*$E$7</f>
        <v>0</v>
      </c>
      <c r="F19">
        <f>-26.3755*$F$7</f>
        <v>0</v>
      </c>
      <c r="G19">
        <f>78.4476*$G$7</f>
        <v>0</v>
      </c>
      <c r="H19">
        <f>0*$H$7</f>
        <v>0</v>
      </c>
      <c r="I19">
        <f>110.8423*$I$7</f>
        <v>0</v>
      </c>
      <c r="J19">
        <f>-32.1437*$J$7</f>
        <v>0</v>
      </c>
      <c r="K19">
        <f>42.8583*$K$7</f>
        <v>0</v>
      </c>
      <c r="L19">
        <f>0.0998*$L$7</f>
        <v>0</v>
      </c>
      <c r="M19">
        <f>0+D19+E19+G19+H19+I19+J19+K19+L19</f>
        <v>0</v>
      </c>
      <c r="N19">
        <f>0+D19+F19+G19+H19+I19+J19+K19+L19</f>
        <v>0</v>
      </c>
    </row>
    <row r="20" spans="3:14">
      <c r="C20" t="s">
        <v>21</v>
      </c>
      <c r="D20">
        <f>878.5952*$D$7</f>
        <v>0</v>
      </c>
      <c r="E20">
        <f>1203.1446*$E$7</f>
        <v>0</v>
      </c>
      <c r="F20">
        <f>-28.4995*$F$7</f>
        <v>0</v>
      </c>
      <c r="G20">
        <f>93.3998*$G$7</f>
        <v>0</v>
      </c>
      <c r="H20">
        <f>0*$H$7</f>
        <v>0</v>
      </c>
      <c r="I20">
        <f>125.1552*$I$7</f>
        <v>0</v>
      </c>
      <c r="J20">
        <f>-39.1376*$J$7</f>
        <v>0</v>
      </c>
      <c r="K20">
        <f>52.1834*$K$7</f>
        <v>0</v>
      </c>
      <c r="L20">
        <f>0.084*$L$7</f>
        <v>0</v>
      </c>
      <c r="M20">
        <f>0+D20+E20+G20+H20+I20+J20+K20+L20</f>
        <v>0</v>
      </c>
      <c r="N20">
        <f>0+D20+F20+G20+H20+I20+J20+K20+L20</f>
        <v>0</v>
      </c>
    </row>
    <row r="21" spans="3:14">
      <c r="C21" t="s">
        <v>21</v>
      </c>
      <c r="D21">
        <f>865.1906*$D$7</f>
        <v>0</v>
      </c>
      <c r="E21">
        <f>1180.8986*$E$7</f>
        <v>0</v>
      </c>
      <c r="F21">
        <f>-28.2573*$F$7</f>
        <v>0</v>
      </c>
      <c r="G21">
        <f>91.7265*$G$7</f>
        <v>0</v>
      </c>
      <c r="H21">
        <f>0*$H$7</f>
        <v>0</v>
      </c>
      <c r="I21">
        <f>123.2421*$I$7</f>
        <v>0</v>
      </c>
      <c r="J21">
        <f>-42.1329*$J$7</f>
        <v>0</v>
      </c>
      <c r="K21">
        <f>56.1772*$K$7</f>
        <v>0</v>
      </c>
      <c r="L21">
        <f>0.086*$L$7</f>
        <v>0</v>
      </c>
      <c r="M21">
        <f>0+D21+E21+G21+H21+I21+J21+K21+L21</f>
        <v>0</v>
      </c>
      <c r="N21">
        <f>0+D21+F21+G21+H21+I21+J21+K21+L21</f>
        <v>0</v>
      </c>
    </row>
    <row r="22" spans="3:14">
      <c r="C22" t="s">
        <v>22</v>
      </c>
      <c r="D22">
        <f>942.6636*$D$7</f>
        <v>0</v>
      </c>
      <c r="E22">
        <f>1295.0533*$E$7</f>
        <v>0</v>
      </c>
      <c r="F22">
        <f>-30.8776*$F$7</f>
        <v>0</v>
      </c>
      <c r="G22">
        <f>102.2132*$G$7</f>
        <v>0</v>
      </c>
      <c r="H22">
        <f>0*$H$7</f>
        <v>0</v>
      </c>
      <c r="I22">
        <f>134.3319*$I$7</f>
        <v>0</v>
      </c>
      <c r="J22">
        <f>-48.6865*$J$7</f>
        <v>0</v>
      </c>
      <c r="K22">
        <f>64.9153*$K$7</f>
        <v>0</v>
      </c>
      <c r="L22">
        <f>0.0706*$L$7</f>
        <v>0</v>
      </c>
      <c r="M22">
        <f>0+D22+E22+G22+H22+I22+J22+K22+L22</f>
        <v>0</v>
      </c>
      <c r="N22">
        <f>0+D22+F22+G22+H22+I22+J22+K22+L22</f>
        <v>0</v>
      </c>
    </row>
    <row r="23" spans="3:14">
      <c r="C23" t="s">
        <v>22</v>
      </c>
      <c r="D23">
        <f>928.8748*$D$7</f>
        <v>0</v>
      </c>
      <c r="E23">
        <f>1272.4427*$E$7</f>
        <v>0</v>
      </c>
      <c r="F23">
        <f>-30.2929*$F$7</f>
        <v>0</v>
      </c>
      <c r="G23">
        <f>100.4956*$G$7</f>
        <v>0</v>
      </c>
      <c r="H23">
        <f>0*$H$7</f>
        <v>0</v>
      </c>
      <c r="I23">
        <f>132.3658*$I$7</f>
        <v>0</v>
      </c>
      <c r="J23">
        <f>-49.6931*$J$7</f>
        <v>0</v>
      </c>
      <c r="K23">
        <f>66.2575*$K$7</f>
        <v>0</v>
      </c>
      <c r="L23">
        <f>0.0743*$L$7</f>
        <v>0</v>
      </c>
      <c r="M23">
        <f>0+D23+E23+G23+H23+I23+J23+K23+L23</f>
        <v>0</v>
      </c>
      <c r="N23">
        <f>0+D23+F23+G23+H23+I23+J23+K23+L23</f>
        <v>0</v>
      </c>
    </row>
    <row r="24" spans="3:14">
      <c r="C24" t="s">
        <v>23</v>
      </c>
      <c r="D24">
        <f>984.1327*$D$7</f>
        <v>0</v>
      </c>
      <c r="E24">
        <f>1355.7463*$E$7</f>
        <v>0</v>
      </c>
      <c r="F24">
        <f>-33.242*$F$7</f>
        <v>0</v>
      </c>
      <c r="G24">
        <f>106.0207*$G$7</f>
        <v>0</v>
      </c>
      <c r="H24">
        <f>0*$H$7</f>
        <v>0</v>
      </c>
      <c r="I24">
        <f>140.2558*$I$7</f>
        <v>0</v>
      </c>
      <c r="J24">
        <f>-49.9154*$J$7</f>
        <v>0</v>
      </c>
      <c r="K24">
        <f>66.5539*$K$7</f>
        <v>0</v>
      </c>
      <c r="L24">
        <f>0.0597*$L$7</f>
        <v>0</v>
      </c>
      <c r="M24">
        <f>0+D24+E24+G24+H24+I24+J24+K24+L24</f>
        <v>0</v>
      </c>
      <c r="N24">
        <f>0+D24+F24+G24+H24+I24+J24+K24+L24</f>
        <v>0</v>
      </c>
    </row>
    <row r="25" spans="3:14">
      <c r="C25" t="s">
        <v>23</v>
      </c>
      <c r="D25">
        <f>980.0674*$D$7</f>
        <v>0</v>
      </c>
      <c r="E25">
        <f>1348.522*$E$7</f>
        <v>0</v>
      </c>
      <c r="F25">
        <f>-32.9045*$F$7</f>
        <v>0</v>
      </c>
      <c r="G25">
        <f>105.6077*$G$7</f>
        <v>0</v>
      </c>
      <c r="H25">
        <f>0*$H$7</f>
        <v>0</v>
      </c>
      <c r="I25">
        <f>139.6922*$I$7</f>
        <v>0</v>
      </c>
      <c r="J25">
        <f>-50.2396*$J$7</f>
        <v>0</v>
      </c>
      <c r="K25">
        <f>66.9862*$K$7</f>
        <v>0</v>
      </c>
      <c r="L25">
        <f>0.0618*$L$7</f>
        <v>0</v>
      </c>
      <c r="M25">
        <f>0+D25+E25+G25+H25+I25+J25+K25+L25</f>
        <v>0</v>
      </c>
      <c r="N25">
        <f>0+D25+F25+G25+H25+I25+J25+K25+L25</f>
        <v>0</v>
      </c>
    </row>
    <row r="26" spans="3:14">
      <c r="C26" t="s">
        <v>24</v>
      </c>
      <c r="D26">
        <f>1013.0779*$D$7</f>
        <v>0</v>
      </c>
      <c r="E26">
        <f>1404.1194*$E$7</f>
        <v>0</v>
      </c>
      <c r="F26">
        <f>-36.0663*$F$7</f>
        <v>0</v>
      </c>
      <c r="G26">
        <f>106.2219*$G$7</f>
        <v>0</v>
      </c>
      <c r="H26">
        <f>0*$H$7</f>
        <v>0</v>
      </c>
      <c r="I26">
        <f>144.3575*$I$7</f>
        <v>0</v>
      </c>
      <c r="J26">
        <f>-43.4316*$J$7</f>
        <v>0</v>
      </c>
      <c r="K26">
        <f>57.9088*$K$7</f>
        <v>0</v>
      </c>
      <c r="L26">
        <f>0.0483*$L$7</f>
        <v>0</v>
      </c>
      <c r="M26">
        <f>0+D26+E26+G26+H26+I26+J26+K26+L26</f>
        <v>0</v>
      </c>
      <c r="N26">
        <f>0+D26+F26+G26+H26+I26+J26+K26+L26</f>
        <v>0</v>
      </c>
    </row>
    <row r="27" spans="3:14">
      <c r="C27" t="s">
        <v>24</v>
      </c>
      <c r="D27">
        <f>1009.9431*$D$7</f>
        <v>0</v>
      </c>
      <c r="E27">
        <f>1394.6239*$E$7</f>
        <v>0</v>
      </c>
      <c r="F27">
        <f>-35.7364*$F$7</f>
        <v>0</v>
      </c>
      <c r="G27">
        <f>105.8499*$G$7</f>
        <v>0</v>
      </c>
      <c r="H27">
        <f>0*$H$7</f>
        <v>0</v>
      </c>
      <c r="I27">
        <f>143.9345*$I$7</f>
        <v>0</v>
      </c>
      <c r="J27">
        <f>-42.8337*$J$7</f>
        <v>0</v>
      </c>
      <c r="K27">
        <f>57.1116*$K$7</f>
        <v>0</v>
      </c>
      <c r="L27">
        <f>0.0505*$L$7</f>
        <v>0</v>
      </c>
      <c r="M27">
        <f>0+D27+E27+G27+H27+I27+J27+K27+L27</f>
        <v>0</v>
      </c>
      <c r="N27">
        <f>0+D27+F27+G27+H27+I27+J27+K27+L27</f>
        <v>0</v>
      </c>
    </row>
    <row r="28" spans="3:14">
      <c r="C28" t="s">
        <v>25</v>
      </c>
      <c r="D28">
        <f>1020.4117*$D$7</f>
        <v>0</v>
      </c>
      <c r="E28">
        <f>1420.9743*$E$7</f>
        <v>0</v>
      </c>
      <c r="F28">
        <f>-39.1494*$F$7</f>
        <v>0</v>
      </c>
      <c r="G28">
        <f>102.2355*$G$7</f>
        <v>0</v>
      </c>
      <c r="H28">
        <f>0*$H$7</f>
        <v>0</v>
      </c>
      <c r="I28">
        <f>145.2959*$I$7</f>
        <v>0</v>
      </c>
      <c r="J28">
        <f>-32.6628*$J$7</f>
        <v>0</v>
      </c>
      <c r="K28">
        <f>43.5503*$K$7</f>
        <v>0</v>
      </c>
      <c r="L28">
        <f>0.0385*$L$7</f>
        <v>0</v>
      </c>
      <c r="M28">
        <f>0+D28+E28+G28+H28+I28+J28+K28+L28</f>
        <v>0</v>
      </c>
      <c r="N28">
        <f>0+D28+F28+G28+H28+I28+J28+K28+L28</f>
        <v>0</v>
      </c>
    </row>
    <row r="29" spans="3:14">
      <c r="C29" t="s">
        <v>25</v>
      </c>
      <c r="D29">
        <f>1022.2825*$D$7</f>
        <v>0</v>
      </c>
      <c r="E29">
        <f>1418.1876*$E$7</f>
        <v>0</v>
      </c>
      <c r="F29">
        <f>-39.1023*$F$7</f>
        <v>0</v>
      </c>
      <c r="G29">
        <f>102.231*$G$7</f>
        <v>0</v>
      </c>
      <c r="H29">
        <f>0*$H$7</f>
        <v>0</v>
      </c>
      <c r="I29">
        <f>145.5748*$I$7</f>
        <v>0</v>
      </c>
      <c r="J29">
        <f>-34.2402*$J$7</f>
        <v>0</v>
      </c>
      <c r="K29">
        <f>45.6536*$K$7</f>
        <v>0</v>
      </c>
      <c r="L29">
        <f>0.0569*$L$7</f>
        <v>0</v>
      </c>
      <c r="M29">
        <f>0+D29+E29+G29+H29+I29+J29+K29+L29</f>
        <v>0</v>
      </c>
      <c r="N29">
        <f>0+D29+F29+G29+H29+I29+J29+K29+L29</f>
        <v>0</v>
      </c>
    </row>
    <row r="30" spans="3:14">
      <c r="C30" t="s">
        <v>26</v>
      </c>
      <c r="D30">
        <f>994.1861*$D$7</f>
        <v>0</v>
      </c>
      <c r="E30">
        <f>1389.9258*$E$7</f>
        <v>0</v>
      </c>
      <c r="F30">
        <f>-42.4828*$F$7</f>
        <v>0</v>
      </c>
      <c r="G30">
        <f>104.3412*$G$7</f>
        <v>0</v>
      </c>
      <c r="H30">
        <f>0*$H$7</f>
        <v>0</v>
      </c>
      <c r="I30">
        <f>141.7144*$I$7</f>
        <v>0</v>
      </c>
      <c r="J30">
        <f>-45.6337*$J$7</f>
        <v>0</v>
      </c>
      <c r="K30">
        <f>60.845*$K$7</f>
        <v>0</v>
      </c>
      <c r="L30">
        <f>0.0446*$L$7</f>
        <v>0</v>
      </c>
      <c r="M30">
        <f>0+D30+E30+G30+H30+I30+J30+K30+L30</f>
        <v>0</v>
      </c>
      <c r="N30">
        <f>0+D30+F30+G30+H30+I30+J30+K30+L30</f>
        <v>0</v>
      </c>
    </row>
    <row r="31" spans="3:14">
      <c r="C31" t="s">
        <v>26</v>
      </c>
      <c r="D31">
        <f>999.873*$D$7</f>
        <v>0</v>
      </c>
      <c r="E31">
        <f>1399.1832*$E$7</f>
        <v>0</v>
      </c>
      <c r="F31">
        <f>-42.0963*$F$7</f>
        <v>0</v>
      </c>
      <c r="G31">
        <f>104.8599*$G$7</f>
        <v>0</v>
      </c>
      <c r="H31">
        <f>0*$H$7</f>
        <v>0</v>
      </c>
      <c r="I31">
        <f>142.5012*$I$7</f>
        <v>0</v>
      </c>
      <c r="J31">
        <f>-46.5488*$J$7</f>
        <v>0</v>
      </c>
      <c r="K31">
        <f>62.065*$K$7</f>
        <v>0</v>
      </c>
      <c r="L31">
        <f>0.0468*$L$7</f>
        <v>0</v>
      </c>
      <c r="M31">
        <f>0+D31+E31+G31+H31+I31+J31+K31+L31</f>
        <v>0</v>
      </c>
      <c r="N31">
        <f>0+D31+F31+G31+H31+I31+J31+K31+L31</f>
        <v>0</v>
      </c>
    </row>
    <row r="32" spans="3:14">
      <c r="C32" t="s">
        <v>27</v>
      </c>
      <c r="D32">
        <f>949.1412*$D$7</f>
        <v>0</v>
      </c>
      <c r="E32">
        <f>1341.7447*$E$7</f>
        <v>0</v>
      </c>
      <c r="F32">
        <f>-45.7335*$F$7</f>
        <v>0</v>
      </c>
      <c r="G32">
        <f>102.7631*$G$7</f>
        <v>0</v>
      </c>
      <c r="H32">
        <f>0*$H$7</f>
        <v>0</v>
      </c>
      <c r="I32">
        <f>135.3219*$I$7</f>
        <v>0</v>
      </c>
      <c r="J32">
        <f>-54.3223*$J$7</f>
        <v>0</v>
      </c>
      <c r="K32">
        <f>72.4297*$K$7</f>
        <v>0</v>
      </c>
      <c r="L32">
        <f>0.0341*$L$7</f>
        <v>0</v>
      </c>
      <c r="M32">
        <f>0+D32+E32+G32+H32+I32+J32+K32+L32</f>
        <v>0</v>
      </c>
      <c r="N32">
        <f>0+D32+F32+G32+H32+I32+J32+K32+L32</f>
        <v>0</v>
      </c>
    </row>
    <row r="33" spans="3:14">
      <c r="C33" t="s">
        <v>27</v>
      </c>
      <c r="D33">
        <f>955.7315*$D$7</f>
        <v>0</v>
      </c>
      <c r="E33">
        <f>1348.8024*$E$7</f>
        <v>0</v>
      </c>
      <c r="F33">
        <f>-45.3479*$F$7</f>
        <v>0</v>
      </c>
      <c r="G33">
        <f>103.3001*$G$7</f>
        <v>0</v>
      </c>
      <c r="H33">
        <f>0*$H$7</f>
        <v>0</v>
      </c>
      <c r="I33">
        <f>136.2472*$I$7</f>
        <v>0</v>
      </c>
      <c r="J33">
        <f>-54.5061*$J$7</f>
        <v>0</v>
      </c>
      <c r="K33">
        <f>72.6748*$K$7</f>
        <v>0</v>
      </c>
      <c r="L33">
        <f>0.0361*$L$7</f>
        <v>0</v>
      </c>
      <c r="M33">
        <f>0+D33+E33+G33+H33+I33+J33+K33+L33</f>
        <v>0</v>
      </c>
      <c r="N33">
        <f>0+D33+F33+G33+H33+I33+J33+K33+L33</f>
        <v>0</v>
      </c>
    </row>
    <row r="34" spans="3:14">
      <c r="C34" t="s">
        <v>28</v>
      </c>
      <c r="D34">
        <f>882.5169*$D$7</f>
        <v>0</v>
      </c>
      <c r="E34">
        <f>1262.0324*$E$7</f>
        <v>0</v>
      </c>
      <c r="F34">
        <f>-49.4656*$F$7</f>
        <v>0</v>
      </c>
      <c r="G34">
        <f>96.322*$G$7</f>
        <v>0</v>
      </c>
      <c r="H34">
        <f>0*$H$7</f>
        <v>0</v>
      </c>
      <c r="I34">
        <f>125.8077*$I$7</f>
        <v>0</v>
      </c>
      <c r="J34">
        <f>-54.8478*$J$7</f>
        <v>0</v>
      </c>
      <c r="K34">
        <f>73.1304*$K$7</f>
        <v>0</v>
      </c>
      <c r="L34">
        <f>0.0234*$L$7</f>
        <v>0</v>
      </c>
      <c r="M34">
        <f>0+D34+E34+G34+H34+I34+J34+K34+L34</f>
        <v>0</v>
      </c>
      <c r="N34">
        <f>0+D34+F34+G34+H34+I34+J34+K34+L34</f>
        <v>0</v>
      </c>
    </row>
    <row r="35" spans="3:14">
      <c r="C35" t="s">
        <v>28</v>
      </c>
      <c r="D35">
        <f>900.5098*$D$7</f>
        <v>0</v>
      </c>
      <c r="E35">
        <f>1284.7226*$E$7</f>
        <v>0</v>
      </c>
      <c r="F35">
        <f>-48.6535*$F$7</f>
        <v>0</v>
      </c>
      <c r="G35">
        <f>98.2378*$G$7</f>
        <v>0</v>
      </c>
      <c r="H35">
        <f>0*$H$7</f>
        <v>0</v>
      </c>
      <c r="I35">
        <f>128.3785*$I$7</f>
        <v>0</v>
      </c>
      <c r="J35">
        <f>-54.8392*$J$7</f>
        <v>0</v>
      </c>
      <c r="K35">
        <f>73.1189*$K$7</f>
        <v>0</v>
      </c>
      <c r="L35">
        <f>0.0268*$L$7</f>
        <v>0</v>
      </c>
      <c r="M35">
        <f>0+D35+E35+G35+H35+I35+J35+K35+L35</f>
        <v>0</v>
      </c>
      <c r="N35">
        <f>0+D35+F35+G35+H35+I35+J35+K35+L35</f>
        <v>0</v>
      </c>
    </row>
    <row r="36" spans="3:14">
      <c r="C36" t="s">
        <v>29</v>
      </c>
      <c r="D36">
        <f>804.8076*$D$7</f>
        <v>0</v>
      </c>
      <c r="E36">
        <f>1168.5656*$E$7</f>
        <v>0</v>
      </c>
      <c r="F36">
        <f>-55.2205*$F$7</f>
        <v>0</v>
      </c>
      <c r="G36">
        <f>86.3691*$G$7</f>
        <v>0</v>
      </c>
      <c r="H36">
        <f>0*$H$7</f>
        <v>0</v>
      </c>
      <c r="I36">
        <f>114.695*$I$7</f>
        <v>0</v>
      </c>
      <c r="J36">
        <f>-47.9856*$J$7</f>
        <v>0</v>
      </c>
      <c r="K36">
        <f>63.9808*$K$7</f>
        <v>0</v>
      </c>
      <c r="L36">
        <f>0.0144*$L$7</f>
        <v>0</v>
      </c>
      <c r="M36">
        <f>0+D36+E36+G36+H36+I36+J36+K36+L36</f>
        <v>0</v>
      </c>
      <c r="N36">
        <f>0+D36+F36+G36+H36+I36+J36+K36+L36</f>
        <v>0</v>
      </c>
    </row>
    <row r="37" spans="3:14">
      <c r="C37" t="s">
        <v>29</v>
      </c>
      <c r="D37">
        <f>820.7894*$D$7</f>
        <v>0</v>
      </c>
      <c r="E37">
        <f>1191.1276*$E$7</f>
        <v>0</v>
      </c>
      <c r="F37">
        <f>-54.4346*$F$7</f>
        <v>0</v>
      </c>
      <c r="G37">
        <f>88.0147*$G$7</f>
        <v>0</v>
      </c>
      <c r="H37">
        <f>0*$H$7</f>
        <v>0</v>
      </c>
      <c r="I37">
        <f>116.9902*$I$7</f>
        <v>0</v>
      </c>
      <c r="J37">
        <f>-47.0584*$J$7</f>
        <v>0</v>
      </c>
      <c r="K37">
        <f>62.7445*$K$7</f>
        <v>0</v>
      </c>
      <c r="L37">
        <f>0.0158*$L$7</f>
        <v>0</v>
      </c>
      <c r="M37">
        <f>0+D37+E37+G37+H37+I37+J37+K37+L37</f>
        <v>0</v>
      </c>
      <c r="N37">
        <f>0+D37+F37+G37+H37+I37+J37+K37+L37</f>
        <v>0</v>
      </c>
    </row>
    <row r="38" spans="3:14">
      <c r="C38" t="s">
        <v>30</v>
      </c>
      <c r="D38">
        <f>702.9755*$D$7</f>
        <v>0</v>
      </c>
      <c r="E38">
        <f>1049.074*$E$7</f>
        <v>0</v>
      </c>
      <c r="F38">
        <f>-62.7964*$F$7</f>
        <v>0</v>
      </c>
      <c r="G38">
        <f>71.8821*$G$7</f>
        <v>0</v>
      </c>
      <c r="H38">
        <f>0*$H$7</f>
        <v>0</v>
      </c>
      <c r="I38">
        <f>100.0688*$I$7</f>
        <v>0</v>
      </c>
      <c r="J38">
        <f>-37.5399*$J$7</f>
        <v>0</v>
      </c>
      <c r="K38">
        <f>50.0532*$K$7</f>
        <v>0</v>
      </c>
      <c r="L38">
        <f>0.0041*$L$7</f>
        <v>0</v>
      </c>
      <c r="M38">
        <f>0+D38+E38+G38+H38+I38+J38+K38+L38</f>
        <v>0</v>
      </c>
      <c r="N38">
        <f>0+D38+F38+G38+H38+I38+J38+K38+L38</f>
        <v>0</v>
      </c>
    </row>
    <row r="39" spans="3:14">
      <c r="C39" t="s">
        <v>30</v>
      </c>
      <c r="D39">
        <f>713.7357*$D$7</f>
        <v>0</v>
      </c>
      <c r="E39">
        <f>1068.5913*$E$7</f>
        <v>0</v>
      </c>
      <c r="F39">
        <f>-66.7441*$F$7</f>
        <v>0</v>
      </c>
      <c r="G39">
        <f>73.9809*$G$7</f>
        <v>0</v>
      </c>
      <c r="H39">
        <f>0*$H$7</f>
        <v>0</v>
      </c>
      <c r="I39">
        <f>101.569*$I$7</f>
        <v>0</v>
      </c>
      <c r="J39">
        <f>-31.1376*$J$7</f>
        <v>0</v>
      </c>
      <c r="K39">
        <f>41.5168*$K$7</f>
        <v>0</v>
      </c>
      <c r="L39">
        <f>0.0242*$L$7</f>
        <v>0</v>
      </c>
      <c r="M39">
        <f>0+D39+E39+G39+H39+I39+J39+K39+L39</f>
        <v>0</v>
      </c>
      <c r="N39">
        <f>0+D39+F39+G39+H39+I39+J39+K39+L39</f>
        <v>0</v>
      </c>
    </row>
    <row r="40" spans="3:14">
      <c r="C40" t="s">
        <v>31</v>
      </c>
      <c r="D40">
        <f>582.8936*$D$7</f>
        <v>0</v>
      </c>
      <c r="E40">
        <f>888.0814*$E$7</f>
        <v>0</v>
      </c>
      <c r="F40">
        <f>-63.3079*$F$7</f>
        <v>0</v>
      </c>
      <c r="G40">
        <f>63.987*$G$7</f>
        <v>0</v>
      </c>
      <c r="H40">
        <f>0*$H$7</f>
        <v>0</v>
      </c>
      <c r="I40">
        <f>83.0731*$I$7</f>
        <v>0</v>
      </c>
      <c r="J40">
        <f>-54.2403*$J$7</f>
        <v>0</v>
      </c>
      <c r="K40">
        <f>72.3203*$K$7</f>
        <v>0</v>
      </c>
      <c r="L40">
        <f>0.0121*$L$7</f>
        <v>0</v>
      </c>
      <c r="M40">
        <f>0+D40+E40+G40+H40+I40+J40+K40+L40</f>
        <v>0</v>
      </c>
      <c r="N40">
        <f>0+D40+F40+G40+H40+I40+J40+K40+L40</f>
        <v>0</v>
      </c>
    </row>
    <row r="41" spans="3:14">
      <c r="C41" t="s">
        <v>31</v>
      </c>
      <c r="D41">
        <f>612.7264*$D$7</f>
        <v>0</v>
      </c>
      <c r="E41">
        <f>927.2506*$E$7</f>
        <v>0</v>
      </c>
      <c r="F41">
        <f>-63.5284*$F$7</f>
        <v>0</v>
      </c>
      <c r="G41">
        <f>67.0648*$G$7</f>
        <v>0</v>
      </c>
      <c r="H41">
        <f>0*$H$7</f>
        <v>0</v>
      </c>
      <c r="I41">
        <f>87.2928*$I$7</f>
        <v>0</v>
      </c>
      <c r="J41">
        <f>-52.9237*$J$7</f>
        <v>0</v>
      </c>
      <c r="K41">
        <f>70.5649*$K$7</f>
        <v>0</v>
      </c>
      <c r="L41">
        <f>0.014*$L$7</f>
        <v>0</v>
      </c>
      <c r="M41">
        <f>0+D41+E41+G41+H41+I41+J41+K41+L41</f>
        <v>0</v>
      </c>
      <c r="N41">
        <f>0+D41+F41+G41+H41+I41+J41+K41+L41</f>
        <v>0</v>
      </c>
    </row>
    <row r="42" spans="3:14">
      <c r="C42" t="s">
        <v>32</v>
      </c>
      <c r="D42">
        <f>469.937*$D$7</f>
        <v>0</v>
      </c>
      <c r="E42">
        <f>723.4807*$E$7</f>
        <v>0</v>
      </c>
      <c r="F42">
        <f>-59.8744*$F$7</f>
        <v>0</v>
      </c>
      <c r="G42">
        <f>54.1894*$G$7</f>
        <v>0</v>
      </c>
      <c r="H42">
        <f>0*$H$7</f>
        <v>0</v>
      </c>
      <c r="I42">
        <f>67.0317*$I$7</f>
        <v>0</v>
      </c>
      <c r="J42">
        <f>-67.7173*$J$7</f>
        <v>0</v>
      </c>
      <c r="K42">
        <f>90.2897*$K$7</f>
        <v>0</v>
      </c>
      <c r="L42">
        <f>0.0012*$L$7</f>
        <v>0</v>
      </c>
      <c r="M42">
        <f>0+D42+E42+G42+H42+I42+J42+K42+L42</f>
        <v>0</v>
      </c>
      <c r="N42">
        <f>0+D42+F42+G42+H42+I42+J42+K42+L42</f>
        <v>0</v>
      </c>
    </row>
    <row r="43" spans="3:14">
      <c r="C43" t="s">
        <v>32</v>
      </c>
      <c r="D43">
        <f>491.0943*$D$7</f>
        <v>0</v>
      </c>
      <c r="E43">
        <f>752.8333*$E$7</f>
        <v>0</v>
      </c>
      <c r="F43">
        <f>-60.5583*$F$7</f>
        <v>0</v>
      </c>
      <c r="G43">
        <f>56.6172*$G$7</f>
        <v>0</v>
      </c>
      <c r="H43">
        <f>0*$H$7</f>
        <v>0</v>
      </c>
      <c r="I43">
        <f>70.0258*$I$7</f>
        <v>0</v>
      </c>
      <c r="J43">
        <f>-67.0484*$J$7</f>
        <v>0</v>
      </c>
      <c r="K43">
        <f>89.3979*$K$7</f>
        <v>0</v>
      </c>
      <c r="L43">
        <f>0.0031*$L$7</f>
        <v>0</v>
      </c>
      <c r="M43">
        <f>0+D43+E43+G43+H43+I43+J43+K43+L43</f>
        <v>0</v>
      </c>
      <c r="N43">
        <f>0+D43+F43+G43+H43+I43+J43+K43+L43</f>
        <v>0</v>
      </c>
    </row>
    <row r="44" spans="3:14">
      <c r="C44" t="s">
        <v>33</v>
      </c>
      <c r="D44">
        <f>330.5256*$D$7</f>
        <v>0</v>
      </c>
      <c r="E44">
        <f>517.8362*$E$7</f>
        <v>0</v>
      </c>
      <c r="F44">
        <f>-56.7703*$F$7</f>
        <v>0</v>
      </c>
      <c r="G44">
        <f>39.5508*$G$7</f>
        <v>0</v>
      </c>
      <c r="H44">
        <f>0*$H$7</f>
        <v>0</v>
      </c>
      <c r="I44">
        <f>47.1922*$I$7</f>
        <v>0</v>
      </c>
      <c r="J44">
        <f>-77.5787*$J$7</f>
        <v>0</v>
      </c>
      <c r="K44">
        <f>103.4383*$K$7</f>
        <v>0</v>
      </c>
      <c r="L44">
        <f>-0.0093*$L$7</f>
        <v>0</v>
      </c>
      <c r="M44">
        <f>0+D44+E44+G44+H44+I44+J44+K44+L44</f>
        <v>0</v>
      </c>
      <c r="N44">
        <f>0+D44+F44+G44+H44+I44+J44+K44+L44</f>
        <v>0</v>
      </c>
    </row>
    <row r="45" spans="3:14">
      <c r="C45" t="s">
        <v>33</v>
      </c>
      <c r="D45">
        <f>346.0463*$D$7</f>
        <v>0</v>
      </c>
      <c r="E45">
        <f>537.6581*$E$7</f>
        <v>0</v>
      </c>
      <c r="F45">
        <f>-57.7022*$F$7</f>
        <v>0</v>
      </c>
      <c r="G45">
        <f>41.2872*$G$7</f>
        <v>0</v>
      </c>
      <c r="H45">
        <f>0*$H$7</f>
        <v>0</v>
      </c>
      <c r="I45">
        <f>49.3998*$I$7</f>
        <v>0</v>
      </c>
      <c r="J45">
        <f>-75.2431*$J$7</f>
        <v>0</v>
      </c>
      <c r="K45">
        <f>100.3241*$K$7</f>
        <v>0</v>
      </c>
      <c r="L45">
        <f>-0.0077*$L$7</f>
        <v>0</v>
      </c>
      <c r="M45">
        <f>0+D45+E45+G45+H45+I45+J45+K45+L45</f>
        <v>0</v>
      </c>
      <c r="N45">
        <f>0+D45+F45+G45+H45+I45+J45+K45+L45</f>
        <v>0</v>
      </c>
    </row>
    <row r="46" spans="3:14">
      <c r="C46" t="s">
        <v>34</v>
      </c>
      <c r="D46">
        <f>167.6042*$D$7</f>
        <v>0</v>
      </c>
      <c r="E46">
        <f>270.2404*$E$7</f>
        <v>0</v>
      </c>
      <c r="F46">
        <f>-54.23*$F$7</f>
        <v>0</v>
      </c>
      <c r="G46">
        <f>19.7746*$G$7</f>
        <v>0</v>
      </c>
      <c r="H46">
        <f>0*$H$7</f>
        <v>0</v>
      </c>
      <c r="I46">
        <f>23.9831*$I$7</f>
        <v>0</v>
      </c>
      <c r="J46">
        <f>-83.7011*$J$7</f>
        <v>0</v>
      </c>
      <c r="K46">
        <f>111.6015*$K$7</f>
        <v>0</v>
      </c>
      <c r="L46">
        <f>-0.0183*$L$7</f>
        <v>0</v>
      </c>
      <c r="M46">
        <f>0+D46+E46+G46+H46+I46+J46+K46+L46</f>
        <v>0</v>
      </c>
      <c r="N46">
        <f>0+D46+F46+G46+H46+I46+J46+K46+L46</f>
        <v>0</v>
      </c>
    </row>
    <row r="47" spans="3:14">
      <c r="C47" t="s">
        <v>34</v>
      </c>
      <c r="D47">
        <f>194.2462*$D$7</f>
        <v>0</v>
      </c>
      <c r="E47">
        <f>305.6318*$E$7</f>
        <v>0</v>
      </c>
      <c r="F47">
        <f>-56.8788*$F$7</f>
        <v>0</v>
      </c>
      <c r="G47">
        <f>23.0038*$G$7</f>
        <v>0</v>
      </c>
      <c r="H47">
        <f>0*$H$7</f>
        <v>0</v>
      </c>
      <c r="I47">
        <f>27.7885*$I$7</f>
        <v>0</v>
      </c>
      <c r="J47">
        <f>-78.8338*$J$7</f>
        <v>0</v>
      </c>
      <c r="K47">
        <f>105.1117*$K$7</f>
        <v>0</v>
      </c>
      <c r="L47">
        <f>-0.0165*$L$7</f>
        <v>0</v>
      </c>
      <c r="M47">
        <f>0+D47+E47+G47+H47+I47+J47+K47+L47</f>
        <v>0</v>
      </c>
      <c r="N47">
        <f>0+D47+F47+G47+H47+I47+J47+K47+L47</f>
        <v>0</v>
      </c>
    </row>
    <row r="48" spans="3:14">
      <c r="C48" t="s">
        <v>35</v>
      </c>
      <c r="D48">
        <f>-0.0757*$D$7</f>
        <v>0</v>
      </c>
      <c r="E48">
        <f>43.5705*$E$7</f>
        <v>0</v>
      </c>
      <c r="F48">
        <f>-80.2555*$F$7</f>
        <v>0</v>
      </c>
      <c r="G48">
        <f>-2.8658*$G$7</f>
        <v>0</v>
      </c>
      <c r="H48">
        <f>0*$H$7</f>
        <v>0</v>
      </c>
      <c r="I48">
        <f>0.0707*$I$7</f>
        <v>0</v>
      </c>
      <c r="J48">
        <f>-93.9877*$J$7</f>
        <v>0</v>
      </c>
      <c r="K48">
        <f>125.317*$K$7</f>
        <v>0</v>
      </c>
      <c r="L48">
        <f>-0.0246*$L$7</f>
        <v>0</v>
      </c>
      <c r="M48">
        <f>0+D48+E48+G48+H48+I48+J48+K48+L48</f>
        <v>0</v>
      </c>
      <c r="N48">
        <f>0+D48+F48+G48+H48+I48+J48+K48+L48</f>
        <v>0</v>
      </c>
    </row>
    <row r="49" spans="3:14">
      <c r="C49" t="s">
        <v>35</v>
      </c>
      <c r="D49">
        <f>-5.3845*$D$7</f>
        <v>0</v>
      </c>
      <c r="E49">
        <f>13.9381*$E$7</f>
        <v>0</v>
      </c>
      <c r="F49">
        <f>-65.8044*$F$7</f>
        <v>0</v>
      </c>
      <c r="G49">
        <f>-1.8107*$G$7</f>
        <v>0</v>
      </c>
      <c r="H49">
        <f>0*$H$7</f>
        <v>0</v>
      </c>
      <c r="I49">
        <f>-0.7553*$I$7</f>
        <v>0</v>
      </c>
      <c r="J49">
        <f>-82.8738*$J$7</f>
        <v>0</v>
      </c>
      <c r="K49">
        <f>110.4984*$K$7</f>
        <v>0</v>
      </c>
      <c r="L49">
        <f>-0.0074*$L$7</f>
        <v>0</v>
      </c>
      <c r="M49">
        <f>0+D49+E49+G49+H49+I49+J49+K49+L49</f>
        <v>0</v>
      </c>
      <c r="N49">
        <f>0+D49+F49+G49+H49+I49+J49+K49+L49</f>
        <v>0</v>
      </c>
    </row>
    <row r="50" spans="3:14">
      <c r="C50" t="s">
        <v>36</v>
      </c>
      <c r="D50">
        <f>-7.6935*$D$7</f>
        <v>0</v>
      </c>
      <c r="E50">
        <f>3.563*$E$7</f>
        <v>0</v>
      </c>
      <c r="F50">
        <f>-11.7271*$F$7</f>
        <v>0</v>
      </c>
      <c r="G50">
        <f>-0.8748*$G$7</f>
        <v>0</v>
      </c>
      <c r="H50">
        <f>0*$H$7</f>
        <v>0</v>
      </c>
      <c r="I50">
        <f>-1.1034*$I$7</f>
        <v>0</v>
      </c>
      <c r="J50">
        <f>-67.7972*$J$7</f>
        <v>0</v>
      </c>
      <c r="K50">
        <f>90.3963*$K$7</f>
        <v>0</v>
      </c>
      <c r="L50">
        <f>0.0009143*$L$7</f>
        <v>0</v>
      </c>
      <c r="M50">
        <f>0+D50+E50+G50+H50+I50+J50+K50+L50</f>
        <v>0</v>
      </c>
      <c r="N50">
        <f>0+D50+F50+G50+H50+I50+J50+K50+L50</f>
        <v>0</v>
      </c>
    </row>
    <row r="51" spans="3:14">
      <c r="C51" t="s">
        <v>36</v>
      </c>
      <c r="D51">
        <f>-8.5707*$D$7</f>
        <v>0</v>
      </c>
      <c r="E51">
        <f>0.8551*$E$7</f>
        <v>0</v>
      </c>
      <c r="F51">
        <f>-13.305*$F$7</f>
        <v>0</v>
      </c>
      <c r="G51">
        <f>-0.7079*$G$7</f>
        <v>0</v>
      </c>
      <c r="H51">
        <f>0*$H$7</f>
        <v>0</v>
      </c>
      <c r="I51">
        <f>-1.2388*$I$7</f>
        <v>0</v>
      </c>
      <c r="J51">
        <f>-66.0235*$J$7</f>
        <v>0</v>
      </c>
      <c r="K51">
        <f>88.0313*$K$7</f>
        <v>0</v>
      </c>
      <c r="L51">
        <f>-0.2968*$L$7</f>
        <v>0</v>
      </c>
      <c r="M51">
        <f>0+D51+E51+G51+H51+I51+J51+K51+L51</f>
        <v>0</v>
      </c>
      <c r="N51">
        <f>0+D51+F51+G51+H51+I51+J51+K51+L51</f>
        <v>0</v>
      </c>
    </row>
    <row r="52" spans="3:14">
      <c r="C52" t="s">
        <v>37</v>
      </c>
      <c r="D52">
        <f>-6.453*$D$7</f>
        <v>0</v>
      </c>
      <c r="E52">
        <f>13.172*$E$7</f>
        <v>0</v>
      </c>
      <c r="F52">
        <f>-18.6596*$F$7</f>
        <v>0</v>
      </c>
      <c r="G52">
        <f>-1.5599*$G$7</f>
        <v>0</v>
      </c>
      <c r="H52">
        <f>0*$H$7</f>
        <v>0</v>
      </c>
      <c r="I52">
        <f>-0.9236*$I$7</f>
        <v>0</v>
      </c>
      <c r="J52">
        <f>-80.244*$J$7</f>
        <v>0</v>
      </c>
      <c r="K52">
        <f>106.9921*$K$7</f>
        <v>0</v>
      </c>
      <c r="L52">
        <f>-0.0491*$L$7</f>
        <v>0</v>
      </c>
      <c r="M52">
        <f>0+D52+E52+G52+H52+I52+J52+K52+L52</f>
        <v>0</v>
      </c>
      <c r="N52">
        <f>0+D52+F52+G52+H52+I52+J52+K52+L52</f>
        <v>0</v>
      </c>
    </row>
    <row r="53" spans="3:14">
      <c r="C53" t="s">
        <v>37</v>
      </c>
      <c r="D53">
        <f>18.1559*$D$7</f>
        <v>0</v>
      </c>
      <c r="E53">
        <f>103.4002*$E$7</f>
        <v>0</v>
      </c>
      <c r="F53">
        <f>-75.996*$F$7</f>
        <v>0</v>
      </c>
      <c r="G53">
        <f>-5.0088*$G$7</f>
        <v>0</v>
      </c>
      <c r="H53">
        <f>0*$H$7</f>
        <v>0</v>
      </c>
      <c r="I53">
        <f>2.8255*$I$7</f>
        <v>0</v>
      </c>
      <c r="J53">
        <f>-120.8556*$J$7</f>
        <v>0</v>
      </c>
      <c r="K53">
        <f>161.1408*$K$7</f>
        <v>0</v>
      </c>
      <c r="L53">
        <f>4.7067*$L$7</f>
        <v>0</v>
      </c>
      <c r="M53">
        <f>0+D53+E53+G53+H53+I53+J53+K53+L53</f>
        <v>0</v>
      </c>
      <c r="N53">
        <f>0+D53+F53+G53+H53+I53+J53+K53+L53</f>
        <v>0</v>
      </c>
    </row>
    <row r="54" spans="3:14">
      <c r="C54" t="s">
        <v>38</v>
      </c>
      <c r="D54">
        <f>202.0267*$D$7</f>
        <v>0</v>
      </c>
      <c r="E54">
        <f>314.1163*$E$7</f>
        <v>0</v>
      </c>
      <c r="F54">
        <f>-9.7666*$F$7</f>
        <v>0</v>
      </c>
      <c r="G54">
        <f>20.702*$G$7</f>
        <v>0</v>
      </c>
      <c r="H54">
        <f>0*$H$7</f>
        <v>0</v>
      </c>
      <c r="I54">
        <f>29.022*$I$7</f>
        <v>0</v>
      </c>
      <c r="J54">
        <f>-100.4622*$J$7</f>
        <v>0</v>
      </c>
      <c r="K54">
        <f>133.9496*$K$7</f>
        <v>0</v>
      </c>
      <c r="L54">
        <f>3.9032*$L$7</f>
        <v>0</v>
      </c>
      <c r="M54">
        <f>0+D54+E54+G54+H54+I54+J54+K54+L54</f>
        <v>0</v>
      </c>
      <c r="N54">
        <f>0+D54+F54+G54+H54+I54+J54+K54+L54</f>
        <v>0</v>
      </c>
    </row>
    <row r="55" spans="3:14">
      <c r="C55" t="s">
        <v>38</v>
      </c>
      <c r="D55">
        <f>176.2487*$D$7</f>
        <v>0</v>
      </c>
      <c r="E55">
        <f>281.0925*$E$7</f>
        <v>0</v>
      </c>
      <c r="F55">
        <f>-9.027*$F$7</f>
        <v>0</v>
      </c>
      <c r="G55">
        <f>17.6059*$G$7</f>
        <v>0</v>
      </c>
      <c r="H55">
        <f>0*$H$7</f>
        <v>0</v>
      </c>
      <c r="I55">
        <f>25.3365*$I$7</f>
        <v>0</v>
      </c>
      <c r="J55">
        <f>-104.8217*$J$7</f>
        <v>0</v>
      </c>
      <c r="K55">
        <f>139.7623*$K$7</f>
        <v>0</v>
      </c>
      <c r="L55">
        <f>3.8712*$L$7</f>
        <v>0</v>
      </c>
      <c r="M55">
        <f>0+D55+E55+G55+H55+I55+J55+K55+L55</f>
        <v>0</v>
      </c>
      <c r="N55">
        <f>0+D55+F55+G55+H55+I55+J55+K55+L55</f>
        <v>0</v>
      </c>
    </row>
    <row r="56" spans="3:14">
      <c r="C56" t="s">
        <v>39</v>
      </c>
      <c r="D56">
        <f>344.9828*$D$7</f>
        <v>0</v>
      </c>
      <c r="E56">
        <f>535.9211*$E$7</f>
        <v>0</v>
      </c>
      <c r="F56">
        <f>-13.3705*$F$7</f>
        <v>0</v>
      </c>
      <c r="G56">
        <f>38.9024*$G$7</f>
        <v>0</v>
      </c>
      <c r="H56">
        <f>0*$H$7</f>
        <v>0</v>
      </c>
      <c r="I56">
        <f>49.3426*$I$7</f>
        <v>0</v>
      </c>
      <c r="J56">
        <f>-91.9795*$J$7</f>
        <v>0</v>
      </c>
      <c r="K56">
        <f>122.6393*$K$7</f>
        <v>0</v>
      </c>
      <c r="L56">
        <f>3.0534*$L$7</f>
        <v>0</v>
      </c>
      <c r="M56">
        <f>0+D56+E56+G56+H56+I56+J56+K56+L56</f>
        <v>0</v>
      </c>
      <c r="N56">
        <f>0+D56+F56+G56+H56+I56+J56+K56+L56</f>
        <v>0</v>
      </c>
    </row>
    <row r="57" spans="3:14">
      <c r="C57" t="s">
        <v>39</v>
      </c>
      <c r="D57">
        <f>330.3631*$D$7</f>
        <v>0</v>
      </c>
      <c r="E57">
        <f>516.5308*$E$7</f>
        <v>0</v>
      </c>
      <c r="F57">
        <f>-12.8573*$F$7</f>
        <v>0</v>
      </c>
      <c r="G57">
        <f>37.2201*$G$7</f>
        <v>0</v>
      </c>
      <c r="H57">
        <f>0*$H$7</f>
        <v>0</v>
      </c>
      <c r="I57">
        <f>47.2637*$I$7</f>
        <v>0</v>
      </c>
      <c r="J57">
        <f>-94.4055*$J$7</f>
        <v>0</v>
      </c>
      <c r="K57">
        <f>125.8741*$K$7</f>
        <v>0</v>
      </c>
      <c r="L57">
        <f>3.1296*$L$7</f>
        <v>0</v>
      </c>
      <c r="M57">
        <f>0+D57+E57+G57+H57+I57+J57+K57+L57</f>
        <v>0</v>
      </c>
      <c r="N57">
        <f>0+D57+F57+G57+H57+I57+J57+K57+L57</f>
        <v>0</v>
      </c>
    </row>
    <row r="58" spans="3:14">
      <c r="C58" t="s">
        <v>40</v>
      </c>
      <c r="D58">
        <f>481.8554*$D$7</f>
        <v>0</v>
      </c>
      <c r="E58">
        <f>745.4722*$E$7</f>
        <v>0</v>
      </c>
      <c r="F58">
        <f>-18.94*$F$7</f>
        <v>0</v>
      </c>
      <c r="G58">
        <f>54.0014*$G$7</f>
        <v>0</v>
      </c>
      <c r="H58">
        <f>0*$H$7</f>
        <v>0</v>
      </c>
      <c r="I58">
        <f>68.7822*$I$7</f>
        <v>0</v>
      </c>
      <c r="J58">
        <f>-80.4163*$J$7</f>
        <v>0</v>
      </c>
      <c r="K58">
        <f>107.2217*$K$7</f>
        <v>0</v>
      </c>
      <c r="L58">
        <f>2.3088*$L$7</f>
        <v>0</v>
      </c>
      <c r="M58">
        <f>0+D58+E58+G58+H58+I58+J58+K58+L58</f>
        <v>0</v>
      </c>
      <c r="N58">
        <f>0+D58+F58+G58+H58+I58+J58+K58+L58</f>
        <v>0</v>
      </c>
    </row>
    <row r="59" spans="3:14">
      <c r="C59" t="s">
        <v>40</v>
      </c>
      <c r="D59">
        <f>461.9743*$D$7</f>
        <v>0</v>
      </c>
      <c r="E59">
        <f>716.6578*$E$7</f>
        <v>0</v>
      </c>
      <c r="F59">
        <f>-17.9436*$F$7</f>
        <v>0</v>
      </c>
      <c r="G59">
        <f>51.6366*$G$7</f>
        <v>0</v>
      </c>
      <c r="H59">
        <f>0*$H$7</f>
        <v>0</v>
      </c>
      <c r="I59">
        <f>65.971*$I$7</f>
        <v>0</v>
      </c>
      <c r="J59">
        <f>-81.328*$J$7</f>
        <v>0</v>
      </c>
      <c r="K59">
        <f>108.4374*$K$7</f>
        <v>0</v>
      </c>
      <c r="L59">
        <f>2.4319*$L$7</f>
        <v>0</v>
      </c>
      <c r="M59">
        <f>0+D59+E59+G59+H59+I59+J59+K59+L59</f>
        <v>0</v>
      </c>
      <c r="N59">
        <f>0+D59+F59+G59+H59+I59+J59+K59+L59</f>
        <v>0</v>
      </c>
    </row>
    <row r="60" spans="3:14">
      <c r="C60" t="s">
        <v>41</v>
      </c>
      <c r="D60">
        <f>596.1128*$D$7</f>
        <v>0</v>
      </c>
      <c r="E60">
        <f>917.1034*$E$7</f>
        <v>0</v>
      </c>
      <c r="F60">
        <f>-27.3061*$F$7</f>
        <v>0</v>
      </c>
      <c r="G60">
        <f>64.1678*$G$7</f>
        <v>0</v>
      </c>
      <c r="H60">
        <f>0*$H$7</f>
        <v>0</v>
      </c>
      <c r="I60">
        <f>84.9825*$I$7</f>
        <v>0</v>
      </c>
      <c r="J60">
        <f>-63.8191*$J$7</f>
        <v>0</v>
      </c>
      <c r="K60">
        <f>85.0922*$K$7</f>
        <v>0</v>
      </c>
      <c r="L60">
        <f>1.621*$L$7</f>
        <v>0</v>
      </c>
      <c r="M60">
        <f>0+D60+E60+G60+H60+I60+J60+K60+L60</f>
        <v>0</v>
      </c>
      <c r="N60">
        <f>0+D60+F60+G60+H60+I60+J60+K60+L60</f>
        <v>0</v>
      </c>
    </row>
    <row r="61" spans="3:14">
      <c r="C61" t="s">
        <v>41</v>
      </c>
      <c r="D61">
        <f>568.1039*$D$7</f>
        <v>0</v>
      </c>
      <c r="E61">
        <f>878.3153*$E$7</f>
        <v>0</v>
      </c>
      <c r="F61">
        <f>-26.1016*$F$7</f>
        <v>0</v>
      </c>
      <c r="G61">
        <f>61.2061*$G$7</f>
        <v>0</v>
      </c>
      <c r="H61">
        <f>0*$H$7</f>
        <v>0</v>
      </c>
      <c r="I61">
        <f>81.0231*$I$7</f>
        <v>0</v>
      </c>
      <c r="J61">
        <f>-65.2973*$J$7</f>
        <v>0</v>
      </c>
      <c r="K61">
        <f>87.063*$K$7</f>
        <v>0</v>
      </c>
      <c r="L61">
        <f>1.7807*$L$7</f>
        <v>0</v>
      </c>
      <c r="M61">
        <f>0+D61+E61+G61+H61+I61+J61+K61+L61</f>
        <v>0</v>
      </c>
      <c r="N61">
        <f>0+D61+F61+G61+H61+I61+J61+K61+L61</f>
        <v>0</v>
      </c>
    </row>
    <row r="62" spans="3:14">
      <c r="C62" t="s">
        <v>42</v>
      </c>
      <c r="D62">
        <f>690.4554*$D$7</f>
        <v>0</v>
      </c>
      <c r="E62">
        <f>1057.3323*$E$7</f>
        <v>0</v>
      </c>
      <c r="F62">
        <f>-38.0542*$F$7</f>
        <v>0</v>
      </c>
      <c r="G62">
        <f>70.7693*$G$7</f>
        <v>0</v>
      </c>
      <c r="H62">
        <f>0*$H$7</f>
        <v>0</v>
      </c>
      <c r="I62">
        <f>98.2973*$I$7</f>
        <v>0</v>
      </c>
      <c r="J62">
        <f>-40.2814*$J$7</f>
        <v>0</v>
      </c>
      <c r="K62">
        <f>53.7085*$K$7</f>
        <v>0</v>
      </c>
      <c r="L62">
        <f>1.0028*$L$7</f>
        <v>0</v>
      </c>
      <c r="M62">
        <f>0+D62+E62+G62+H62+I62+J62+K62+L62</f>
        <v>0</v>
      </c>
      <c r="N62">
        <f>0+D62+F62+G62+H62+I62+J62+K62+L62</f>
        <v>0</v>
      </c>
    </row>
    <row r="63" spans="3:14">
      <c r="C63" t="s">
        <v>42</v>
      </c>
      <c r="D63">
        <f>681.2011*$D$7</f>
        <v>0</v>
      </c>
      <c r="E63">
        <f>1036.4574*$E$7</f>
        <v>0</v>
      </c>
      <c r="F63">
        <f>-31.5604*$F$7</f>
        <v>0</v>
      </c>
      <c r="G63">
        <f>68.7384*$G$7</f>
        <v>0</v>
      </c>
      <c r="H63">
        <f>0*$H$7</f>
        <v>0</v>
      </c>
      <c r="I63">
        <f>97.0126*$I$7</f>
        <v>0</v>
      </c>
      <c r="J63">
        <f>-46.9459*$J$7</f>
        <v>0</v>
      </c>
      <c r="K63">
        <f>62.5945*$K$7</f>
        <v>0</v>
      </c>
      <c r="L63">
        <f>1.7638*$L$7</f>
        <v>0</v>
      </c>
      <c r="M63">
        <f>0+D63+E63+G63+H63+I63+J63+K63+L63</f>
        <v>0</v>
      </c>
      <c r="N63">
        <f>0+D63+F63+G63+H63+I63+J63+K63+L63</f>
        <v>0</v>
      </c>
    </row>
    <row r="64" spans="3:14">
      <c r="C64" t="s">
        <v>43</v>
      </c>
      <c r="D64">
        <f>790.7879*$D$7</f>
        <v>0</v>
      </c>
      <c r="E64">
        <f>1178.6742*$E$7</f>
        <v>0</v>
      </c>
      <c r="F64">
        <f>-31.545*$F$7</f>
        <v>0</v>
      </c>
      <c r="G64">
        <f>84.1644*$G$7</f>
        <v>0</v>
      </c>
      <c r="H64">
        <f>0*$H$7</f>
        <v>0</v>
      </c>
      <c r="I64">
        <f>112.7666*$I$7</f>
        <v>0</v>
      </c>
      <c r="J64">
        <f>-57.0283*$J$7</f>
        <v>0</v>
      </c>
      <c r="K64">
        <f>76.0377*$K$7</f>
        <v>0</v>
      </c>
      <c r="L64">
        <f>0.6301*$L$7</f>
        <v>0</v>
      </c>
      <c r="M64">
        <f>0+D64+E64+G64+H64+I64+J64+K64+L64</f>
        <v>0</v>
      </c>
      <c r="N64">
        <f>0+D64+F64+G64+H64+I64+J64+K64+L64</f>
        <v>0</v>
      </c>
    </row>
    <row r="65" spans="3:14">
      <c r="C65" t="s">
        <v>43</v>
      </c>
      <c r="D65">
        <f>776.1882*$D$7</f>
        <v>0</v>
      </c>
      <c r="E65">
        <f>1156.0318*$E$7</f>
        <v>0</v>
      </c>
      <c r="F65">
        <f>-31.1992*$F$7</f>
        <v>0</v>
      </c>
      <c r="G65">
        <f>82.6112*$G$7</f>
        <v>0</v>
      </c>
      <c r="H65">
        <f>0*$H$7</f>
        <v>0</v>
      </c>
      <c r="I65">
        <f>110.6676*$I$7</f>
        <v>0</v>
      </c>
      <c r="J65">
        <f>-57.9921*$J$7</f>
        <v>0</v>
      </c>
      <c r="K65">
        <f>77.3228*$K$7</f>
        <v>0</v>
      </c>
      <c r="L65">
        <f>0.8089*$L$7</f>
        <v>0</v>
      </c>
      <c r="M65">
        <f>0+D65+E65+G65+H65+I65+J65+K65+L65</f>
        <v>0</v>
      </c>
      <c r="N65">
        <f>0+D65+F65+G65+H65+I65+J65+K65+L65</f>
        <v>0</v>
      </c>
    </row>
    <row r="66" spans="3:14">
      <c r="C66" t="s">
        <v>44</v>
      </c>
      <c r="D66">
        <f>863.7362*$D$7</f>
        <v>0</v>
      </c>
      <c r="E66">
        <f>1271.3385*$E$7</f>
        <v>0</v>
      </c>
      <c r="F66">
        <f>-32.476*$F$7</f>
        <v>0</v>
      </c>
      <c r="G66">
        <f>93.719*$G$7</f>
        <v>0</v>
      </c>
      <c r="H66">
        <f>0*$H$7</f>
        <v>0</v>
      </c>
      <c r="I66">
        <f>123.1985*$I$7</f>
        <v>0</v>
      </c>
      <c r="J66">
        <f>-65.9951*$J$7</f>
        <v>0</v>
      </c>
      <c r="K66">
        <f>87.9935*$K$7</f>
        <v>0</v>
      </c>
      <c r="L66">
        <f>-0.3975*$L$7</f>
        <v>0</v>
      </c>
      <c r="M66">
        <f>0+D66+E66+G66+H66+I66+J66+K66+L66</f>
        <v>0</v>
      </c>
      <c r="N66">
        <f>0+D66+F66+G66+H66+I66+J66+K66+L66</f>
        <v>0</v>
      </c>
    </row>
    <row r="67" spans="3:14">
      <c r="C67" t="s">
        <v>44</v>
      </c>
      <c r="D67">
        <f>847.7701*$D$7</f>
        <v>0</v>
      </c>
      <c r="E67">
        <f>1248.5512*$E$7</f>
        <v>0</v>
      </c>
      <c r="F67">
        <f>-31.9293*$F$7</f>
        <v>0</v>
      </c>
      <c r="G67">
        <f>91.9694*$G$7</f>
        <v>0</v>
      </c>
      <c r="H67">
        <f>0*$H$7</f>
        <v>0</v>
      </c>
      <c r="I67">
        <f>120.9138*$I$7</f>
        <v>0</v>
      </c>
      <c r="J67">
        <f>-65.8057*$J$7</f>
        <v>0</v>
      </c>
      <c r="K67">
        <f>87.7409*$K$7</f>
        <v>0</v>
      </c>
      <c r="L67">
        <f>-0.0557*$L$7</f>
        <v>0</v>
      </c>
      <c r="M67">
        <f>0+D67+E67+G67+H67+I67+J67+K67+L67</f>
        <v>0</v>
      </c>
      <c r="N67">
        <f>0+D67+F67+G67+H67+I67+J67+K67+L67</f>
        <v>0</v>
      </c>
    </row>
    <row r="68" spans="3:14">
      <c r="C68" t="s">
        <v>45</v>
      </c>
      <c r="D68">
        <f>912.7928*$D$7</f>
        <v>0</v>
      </c>
      <c r="E68">
        <f>1336.0637*$E$7</f>
        <v>0</v>
      </c>
      <c r="F68">
        <f>-34.3897*$F$7</f>
        <v>0</v>
      </c>
      <c r="G68">
        <f>98.1396*$G$7</f>
        <v>0</v>
      </c>
      <c r="H68">
        <f>0*$H$7</f>
        <v>0</v>
      </c>
      <c r="I68">
        <f>130.1996*$I$7</f>
        <v>0</v>
      </c>
      <c r="J68">
        <f>-67.109*$J$7</f>
        <v>0</v>
      </c>
      <c r="K68">
        <f>89.4786*$K$7</f>
        <v>0</v>
      </c>
      <c r="L68">
        <f>-1.3237*$L$7</f>
        <v>0</v>
      </c>
      <c r="M68">
        <f>0+D68+E68+G68+H68+I68+J68+K68+L68</f>
        <v>0</v>
      </c>
      <c r="N68">
        <f>0+D68+F68+G68+H68+I68+J68+K68+L68</f>
        <v>0</v>
      </c>
    </row>
    <row r="69" spans="3:14">
      <c r="C69" t="s">
        <v>45</v>
      </c>
      <c r="D69">
        <f>907.4239*$D$7</f>
        <v>0</v>
      </c>
      <c r="E69">
        <f>1328.7661*$E$7</f>
        <v>0</v>
      </c>
      <c r="F69">
        <f>-34.082*$F$7</f>
        <v>0</v>
      </c>
      <c r="G69">
        <f>97.692*$G$7</f>
        <v>0</v>
      </c>
      <c r="H69">
        <f>0*$H$7</f>
        <v>0</v>
      </c>
      <c r="I69">
        <f>129.4467*$I$7</f>
        <v>0</v>
      </c>
      <c r="J69">
        <f>-66.8633*$J$7</f>
        <v>0</v>
      </c>
      <c r="K69">
        <f>89.1511*$K$7</f>
        <v>0</v>
      </c>
      <c r="L69">
        <f>-1.0944*$L$7</f>
        <v>0</v>
      </c>
      <c r="M69">
        <f>0+D69+E69+G69+H69+I69+J69+K69+L69</f>
        <v>0</v>
      </c>
      <c r="N69">
        <f>0+D69+F69+G69+H69+I69+J69+K69+L69</f>
        <v>0</v>
      </c>
    </row>
    <row r="70" spans="3:14">
      <c r="C70" t="s">
        <v>46</v>
      </c>
      <c r="D70">
        <f>949.8447*$D$7</f>
        <v>0</v>
      </c>
      <c r="E70">
        <f>1386.5813*$E$7</f>
        <v>0</v>
      </c>
      <c r="F70">
        <f>-40.3791*$F$7</f>
        <v>0</v>
      </c>
      <c r="G70">
        <f>98.9383*$G$7</f>
        <v>0</v>
      </c>
      <c r="H70">
        <f>0*$H$7</f>
        <v>0</v>
      </c>
      <c r="I70">
        <f>135.4592*$I$7</f>
        <v>0</v>
      </c>
      <c r="J70">
        <f>-61.1672*$J$7</f>
        <v>0</v>
      </c>
      <c r="K70">
        <f>81.5563*$K$7</f>
        <v>0</v>
      </c>
      <c r="L70">
        <f>-2.4166*$L$7</f>
        <v>0</v>
      </c>
      <c r="M70">
        <f>0+D70+E70+G70+H70+I70+J70+K70+L70</f>
        <v>0</v>
      </c>
      <c r="N70">
        <f>0+D70+F70+G70+H70+I70+J70+K70+L70</f>
        <v>0</v>
      </c>
    </row>
    <row r="71" spans="3:14">
      <c r="C71" t="s">
        <v>46</v>
      </c>
      <c r="D71">
        <f>945.368*$D$7</f>
        <v>0</v>
      </c>
      <c r="E71">
        <f>1377.0929*$E$7</f>
        <v>0</v>
      </c>
      <c r="F71">
        <f>-39.8984*$F$7</f>
        <v>0</v>
      </c>
      <c r="G71">
        <f>98.4989*$G$7</f>
        <v>0</v>
      </c>
      <c r="H71">
        <f>0*$H$7</f>
        <v>0</v>
      </c>
      <c r="I71">
        <f>134.8438*$I$7</f>
        <v>0</v>
      </c>
      <c r="J71">
        <f>-60.2784*$J$7</f>
        <v>0</v>
      </c>
      <c r="K71">
        <f>80.3712*$K$7</f>
        <v>0</v>
      </c>
      <c r="L71">
        <f>-2.1779*$L$7</f>
        <v>0</v>
      </c>
      <c r="M71">
        <f>0+D71+E71+G71+H71+I71+J71+K71+L71</f>
        <v>0</v>
      </c>
      <c r="N71">
        <f>0+D71+F71+G71+H71+I71+J71+K71+L71</f>
        <v>0</v>
      </c>
    </row>
    <row r="72" spans="3:14">
      <c r="C72" t="s">
        <v>47</v>
      </c>
      <c r="D72">
        <f>964.9632*$D$7</f>
        <v>0</v>
      </c>
      <c r="E72">
        <f>1404.6823*$E$7</f>
        <v>0</v>
      </c>
      <c r="F72">
        <f>-49.2417*$F$7</f>
        <v>0</v>
      </c>
      <c r="G72">
        <f>95.5115*$G$7</f>
        <v>0</v>
      </c>
      <c r="H72">
        <f>0*$H$7</f>
        <v>0</v>
      </c>
      <c r="I72">
        <f>137.513*$I$7</f>
        <v>0</v>
      </c>
      <c r="J72">
        <f>-51.208*$J$7</f>
        <v>0</v>
      </c>
      <c r="K72">
        <f>68.2773*$K$7</f>
        <v>0</v>
      </c>
      <c r="L72">
        <f>-3.5443*$L$7</f>
        <v>0</v>
      </c>
      <c r="M72">
        <f>0+D72+E72+G72+H72+I72+J72+K72+L72</f>
        <v>0</v>
      </c>
      <c r="N72">
        <f>0+D72+F72+G72+H72+I72+J72+K72+L72</f>
        <v>0</v>
      </c>
    </row>
    <row r="73" spans="3:14">
      <c r="C73" t="s">
        <v>47</v>
      </c>
      <c r="D73">
        <f>965.1445*$D$7</f>
        <v>0</v>
      </c>
      <c r="E73">
        <f>1403.8201*$E$7</f>
        <v>0</v>
      </c>
      <c r="F73">
        <f>-48.2447*$F$7</f>
        <v>0</v>
      </c>
      <c r="G73">
        <f>95.4822*$G$7</f>
        <v>0</v>
      </c>
      <c r="H73">
        <f>0*$H$7</f>
        <v>0</v>
      </c>
      <c r="I73">
        <f>137.5407*$I$7</f>
        <v>0</v>
      </c>
      <c r="J73">
        <f>-51.5343*$J$7</f>
        <v>0</v>
      </c>
      <c r="K73">
        <f>68.7124*$K$7</f>
        <v>0</v>
      </c>
      <c r="L73">
        <f>-2.8448*$L$7</f>
        <v>0</v>
      </c>
      <c r="M73">
        <f>0+D73+E73+G73+H73+I73+J73+K73+L73</f>
        <v>0</v>
      </c>
      <c r="N73">
        <f>0+D73+F73+G73+H73+I73+J73+K73+L73</f>
        <v>0</v>
      </c>
    </row>
    <row r="74" spans="3:14">
      <c r="C74" t="s">
        <v>48</v>
      </c>
      <c r="D74">
        <f>946.0888*$D$7</f>
        <v>0</v>
      </c>
      <c r="E74">
        <f>1377.8346*$E$7</f>
        <v>0</v>
      </c>
      <c r="F74">
        <f>-47.7513*$F$7</f>
        <v>0</v>
      </c>
      <c r="G74">
        <f>98.638*$G$7</f>
        <v>0</v>
      </c>
      <c r="H74">
        <f>0*$H$7</f>
        <v>0</v>
      </c>
      <c r="I74">
        <f>134.944*$I$7</f>
        <v>0</v>
      </c>
      <c r="J74">
        <f>-59.8127*$J$7</f>
        <v>0</v>
      </c>
      <c r="K74">
        <f>79.7503*$K$7</f>
        <v>0</v>
      </c>
      <c r="L74">
        <f>-3.9426*$L$7</f>
        <v>0</v>
      </c>
      <c r="M74">
        <f>0+D74+E74+G74+H74+I74+J74+K74+L74</f>
        <v>0</v>
      </c>
      <c r="N74">
        <f>0+D74+F74+G74+H74+I74+J74+K74+L74</f>
        <v>0</v>
      </c>
    </row>
    <row r="75" spans="3:14">
      <c r="C75" t="s">
        <v>48</v>
      </c>
      <c r="D75">
        <f>950.4999*$D$7</f>
        <v>0</v>
      </c>
      <c r="E75">
        <f>1387.1619*$E$7</f>
        <v>0</v>
      </c>
      <c r="F75">
        <f>-47.2803*$F$7</f>
        <v>0</v>
      </c>
      <c r="G75">
        <f>99.0376*$G$7</f>
        <v>0</v>
      </c>
      <c r="H75">
        <f>0*$H$7</f>
        <v>0</v>
      </c>
      <c r="I75">
        <f>135.5513*$I$7</f>
        <v>0</v>
      </c>
      <c r="J75">
        <f>-60.9316*$J$7</f>
        <v>0</v>
      </c>
      <c r="K75">
        <f>81.2422*$K$7</f>
        <v>0</v>
      </c>
      <c r="L75">
        <f>-3.7101*$L$7</f>
        <v>0</v>
      </c>
      <c r="M75">
        <f>0+D75+E75+G75+H75+I75+J75+K75+L75</f>
        <v>0</v>
      </c>
      <c r="N75">
        <f>0+D75+F75+G75+H75+I75+J75+K75+L75</f>
        <v>0</v>
      </c>
    </row>
    <row r="76" spans="3:14">
      <c r="C76" t="s">
        <v>49</v>
      </c>
      <c r="D76">
        <f>908.5954*$D$7</f>
        <v>0</v>
      </c>
      <c r="E76">
        <f>1330.8251*$E$7</f>
        <v>0</v>
      </c>
      <c r="F76">
        <f>-49.1421*$F$7</f>
        <v>0</v>
      </c>
      <c r="G76">
        <f>97.9657*$G$7</f>
        <v>0</v>
      </c>
      <c r="H76">
        <f>0*$H$7</f>
        <v>0</v>
      </c>
      <c r="I76">
        <f>129.6077*$I$7</f>
        <v>0</v>
      </c>
      <c r="J76">
        <f>-65.779*$J$7</f>
        <v>0</v>
      </c>
      <c r="K76">
        <f>87.7053*$K$7</f>
        <v>0</v>
      </c>
      <c r="L76">
        <f>-4.8999*$L$7</f>
        <v>0</v>
      </c>
      <c r="M76">
        <f>0+D76+E76+G76+H76+I76+J76+K76+L76</f>
        <v>0</v>
      </c>
      <c r="N76">
        <f>0+D76+F76+G76+H76+I76+J76+K76+L76</f>
        <v>0</v>
      </c>
    </row>
    <row r="77" spans="3:14">
      <c r="C77" t="s">
        <v>49</v>
      </c>
      <c r="D77">
        <f>913.9238*$D$7</f>
        <v>0</v>
      </c>
      <c r="E77">
        <f>1337.9966*$E$7</f>
        <v>0</v>
      </c>
      <c r="F77">
        <f>-48.6896*$F$7</f>
        <v>0</v>
      </c>
      <c r="G77">
        <f>98.3725*$G$7</f>
        <v>0</v>
      </c>
      <c r="H77">
        <f>0*$H$7</f>
        <v>0</v>
      </c>
      <c r="I77">
        <f>130.3562*$I$7</f>
        <v>0</v>
      </c>
      <c r="J77">
        <f>-66.2787*$J$7</f>
        <v>0</v>
      </c>
      <c r="K77">
        <f>88.3716*$K$7</f>
        <v>0</v>
      </c>
      <c r="L77">
        <f>-4.6898*$L$7</f>
        <v>0</v>
      </c>
      <c r="M77">
        <f>0+D77+E77+G77+H77+I77+J77+K77+L77</f>
        <v>0</v>
      </c>
      <c r="N77">
        <f>0+D77+F77+G77+H77+I77+J77+K77+L77</f>
        <v>0</v>
      </c>
    </row>
    <row r="78" spans="3:14">
      <c r="C78" t="s">
        <v>50</v>
      </c>
      <c r="D78">
        <f>849.3939*$D$7</f>
        <v>0</v>
      </c>
      <c r="E78">
        <f>1251.8188*$E$7</f>
        <v>0</v>
      </c>
      <c r="F78">
        <f>-53.3978*$F$7</f>
        <v>0</v>
      </c>
      <c r="G78">
        <f>92.3889*$G$7</f>
        <v>0</v>
      </c>
      <c r="H78">
        <f>0*$H$7</f>
        <v>0</v>
      </c>
      <c r="I78">
        <f>121.1353*$I$7</f>
        <v>0</v>
      </c>
      <c r="J78">
        <f>-64.025*$J$7</f>
        <v>0</v>
      </c>
      <c r="K78">
        <f>85.3667*$K$7</f>
        <v>0</v>
      </c>
      <c r="L78">
        <f>-5.9539*$L$7</f>
        <v>0</v>
      </c>
      <c r="M78">
        <f>0+D78+E78+G78+H78+I78+J78+K78+L78</f>
        <v>0</v>
      </c>
      <c r="N78">
        <f>0+D78+F78+G78+H78+I78+J78+K78+L78</f>
        <v>0</v>
      </c>
    </row>
    <row r="79" spans="3:14">
      <c r="C79" t="s">
        <v>50</v>
      </c>
      <c r="D79">
        <f>865.338*$D$7</f>
        <v>0</v>
      </c>
      <c r="E79">
        <f>1274.4267*$E$7</f>
        <v>0</v>
      </c>
      <c r="F79">
        <f>-52.4816*$F$7</f>
        <v>0</v>
      </c>
      <c r="G79">
        <f>94.0746*$G$7</f>
        <v>0</v>
      </c>
      <c r="H79">
        <f>0*$H$7</f>
        <v>0</v>
      </c>
      <c r="I79">
        <f>123.4193*$I$7</f>
        <v>0</v>
      </c>
      <c r="J79">
        <f>-64.6412*$J$7</f>
        <v>0</v>
      </c>
      <c r="K79">
        <f>86.1883*$K$7</f>
        <v>0</v>
      </c>
      <c r="L79">
        <f>-5.6581*$L$7</f>
        <v>0</v>
      </c>
      <c r="M79">
        <f>0+D79+E79+G79+H79+I79+J79+K79+L79</f>
        <v>0</v>
      </c>
      <c r="N79">
        <f>0+D79+F79+G79+H79+I79+J79+K79+L79</f>
        <v>0</v>
      </c>
    </row>
    <row r="80" spans="3:14">
      <c r="C80" t="s">
        <v>51</v>
      </c>
      <c r="D80">
        <f>778.21*$D$7</f>
        <v>0</v>
      </c>
      <c r="E80">
        <f>1159.9367*$E$7</f>
        <v>0</v>
      </c>
      <c r="F80">
        <f>-58.4777*$F$7</f>
        <v>0</v>
      </c>
      <c r="G80">
        <f>83.1718*$G$7</f>
        <v>0</v>
      </c>
      <c r="H80">
        <f>0*$H$7</f>
        <v>0</v>
      </c>
      <c r="I80">
        <f>110.9419*$I$7</f>
        <v>0</v>
      </c>
      <c r="J80">
        <f>-55.5107*$J$7</f>
        <v>0</v>
      </c>
      <c r="K80">
        <f>74.0143*$K$7</f>
        <v>0</v>
      </c>
      <c r="L80">
        <f>-6.9384*$L$7</f>
        <v>0</v>
      </c>
      <c r="M80">
        <f>0+D80+E80+G80+H80+I80+J80+K80+L80</f>
        <v>0</v>
      </c>
      <c r="N80">
        <f>0+D80+F80+G80+H80+I80+J80+K80+L80</f>
        <v>0</v>
      </c>
    </row>
    <row r="81" spans="3:14">
      <c r="C81" t="s">
        <v>51</v>
      </c>
      <c r="D81">
        <f>792.9617*$D$7</f>
        <v>0</v>
      </c>
      <c r="E81">
        <f>1182.579*$E$7</f>
        <v>0</v>
      </c>
      <c r="F81">
        <f>-57.9714*$F$7</f>
        <v>0</v>
      </c>
      <c r="G81">
        <f>84.6718*$G$7</f>
        <v>0</v>
      </c>
      <c r="H81">
        <f>0*$H$7</f>
        <v>0</v>
      </c>
      <c r="I81">
        <f>113.0653*$I$7</f>
        <v>0</v>
      </c>
      <c r="J81">
        <f>-55.0187*$J$7</f>
        <v>0</v>
      </c>
      <c r="K81">
        <f>73.3583*$K$7</f>
        <v>0</v>
      </c>
      <c r="L81">
        <f>-6.8748*$L$7</f>
        <v>0</v>
      </c>
      <c r="M81">
        <f>0+D81+E81+G81+H81+I81+J81+K81+L81</f>
        <v>0</v>
      </c>
      <c r="N81">
        <f>0+D81+F81+G81+H81+I81+J81+K81+L81</f>
        <v>0</v>
      </c>
    </row>
    <row r="82" spans="3:14">
      <c r="C82" t="s">
        <v>52</v>
      </c>
      <c r="D82">
        <f>683.5349*$D$7</f>
        <v>0</v>
      </c>
      <c r="E82">
        <f>1041.2336*$E$7</f>
        <v>0</v>
      </c>
      <c r="F82">
        <f>-64.468*$F$7</f>
        <v>0</v>
      </c>
      <c r="G82">
        <f>69.4739*$G$7</f>
        <v>0</v>
      </c>
      <c r="H82">
        <f>0*$H$7</f>
        <v>0</v>
      </c>
      <c r="I82">
        <f>97.3257*$I$7</f>
        <v>0</v>
      </c>
      <c r="J82">
        <f>-43.4686*$J$7</f>
        <v>0</v>
      </c>
      <c r="K82">
        <f>57.9582*$K$7</f>
        <v>0</v>
      </c>
      <c r="L82">
        <f>-7.943*$L$7</f>
        <v>0</v>
      </c>
      <c r="M82">
        <f>0+D82+E82+G82+H82+I82+J82+K82+L82</f>
        <v>0</v>
      </c>
      <c r="N82">
        <f>0+D82+F82+G82+H82+I82+J82+K82+L82</f>
        <v>0</v>
      </c>
    </row>
    <row r="83" spans="3:14">
      <c r="C83" t="s">
        <v>52</v>
      </c>
      <c r="D83">
        <f>693.837*$D$7</f>
        <v>0</v>
      </c>
      <c r="E83">
        <f>1062.4716*$E$7</f>
        <v>0</v>
      </c>
      <c r="F83">
        <f>-72.3526*$F$7</f>
        <v>0</v>
      </c>
      <c r="G83">
        <f>71.5174*$G$7</f>
        <v>0</v>
      </c>
      <c r="H83">
        <f>0*$H$7</f>
        <v>0</v>
      </c>
      <c r="I83">
        <f>98.7636*$I$7</f>
        <v>0</v>
      </c>
      <c r="J83">
        <f>-37.4304*$J$7</f>
        <v>0</v>
      </c>
      <c r="K83">
        <f>49.9072*$K$7</f>
        <v>0</v>
      </c>
      <c r="L83">
        <f>-8.1782*$L$7</f>
        <v>0</v>
      </c>
      <c r="M83">
        <f>0+D83+E83+G83+H83+I83+J83+K83+L83</f>
        <v>0</v>
      </c>
      <c r="N83">
        <f>0+D83+F83+G83+H83+I83+J83+K83+L83</f>
        <v>0</v>
      </c>
    </row>
    <row r="84" spans="3:14">
      <c r="C84" t="s">
        <v>53</v>
      </c>
      <c r="D84">
        <f>567.9304*$D$7</f>
        <v>0</v>
      </c>
      <c r="E84">
        <f>881.9648*$E$7</f>
        <v>0</v>
      </c>
      <c r="F84">
        <f>-65.035*$F$7</f>
        <v>0</v>
      </c>
      <c r="G84">
        <f>62.1516*$G$7</f>
        <v>0</v>
      </c>
      <c r="H84">
        <f>0*$H$7</f>
        <v>0</v>
      </c>
      <c r="I84">
        <f>80.9601*$I$7</f>
        <v>0</v>
      </c>
      <c r="J84">
        <f>-58.641*$J$7</f>
        <v>0</v>
      </c>
      <c r="K84">
        <f>78.188*$K$7</f>
        <v>0</v>
      </c>
      <c r="L84">
        <f>-5.9254*$L$7</f>
        <v>0</v>
      </c>
      <c r="M84">
        <f>0+D84+E84+G84+H84+I84+J84+K84+L84</f>
        <v>0</v>
      </c>
      <c r="N84">
        <f>0+D84+F84+G84+H84+I84+J84+K84+L84</f>
        <v>0</v>
      </c>
    </row>
    <row r="85" spans="3:14">
      <c r="C85" t="s">
        <v>53</v>
      </c>
      <c r="D85">
        <f>596.4454*$D$7</f>
        <v>0</v>
      </c>
      <c r="E85">
        <f>921.0553*$E$7</f>
        <v>0</v>
      </c>
      <c r="F85">
        <f>-65.5798*$F$7</f>
        <v>0</v>
      </c>
      <c r="G85">
        <f>65.0631*$G$7</f>
        <v>0</v>
      </c>
      <c r="H85">
        <f>0*$H$7</f>
        <v>0</v>
      </c>
      <c r="I85">
        <f>84.9956*$I$7</f>
        <v>0</v>
      </c>
      <c r="J85">
        <f>-57.856*$J$7</f>
        <v>0</v>
      </c>
      <c r="K85">
        <f>77.1414*$K$7</f>
        <v>0</v>
      </c>
      <c r="L85">
        <f>-6.1307*$L$7</f>
        <v>0</v>
      </c>
      <c r="M85">
        <f>0+D85+E85+G85+H85+I85+J85+K85+L85</f>
        <v>0</v>
      </c>
      <c r="N85">
        <f>0+D85+F85+G85+H85+I85+J85+K85+L85</f>
        <v>0</v>
      </c>
    </row>
    <row r="86" spans="3:14">
      <c r="C86" t="s">
        <v>54</v>
      </c>
      <c r="D86">
        <f>458.2151*$D$7</f>
        <v>0</v>
      </c>
      <c r="E86">
        <f>717.5792*$E$7</f>
        <v>0</v>
      </c>
      <c r="F86">
        <f>-60.1911*$F$7</f>
        <v>0</v>
      </c>
      <c r="G86">
        <f>52.7686*$G$7</f>
        <v>0</v>
      </c>
      <c r="H86">
        <f>0*$H$7</f>
        <v>0</v>
      </c>
      <c r="I86">
        <f>65.3746*$I$7</f>
        <v>0</v>
      </c>
      <c r="J86">
        <f>-70.9217*$J$7</f>
        <v>0</v>
      </c>
      <c r="K86">
        <f>94.5622*$K$7</f>
        <v>0</v>
      </c>
      <c r="L86">
        <f>-3.7708*$L$7</f>
        <v>0</v>
      </c>
      <c r="M86">
        <f>0+D86+E86+G86+H86+I86+J86+K86+L86</f>
        <v>0</v>
      </c>
      <c r="N86">
        <f>0+D86+F86+G86+H86+I86+J86+K86+L86</f>
        <v>0</v>
      </c>
    </row>
    <row r="87" spans="3:14">
      <c r="C87" t="s">
        <v>54</v>
      </c>
      <c r="D87">
        <f>478.6466*$D$7</f>
        <v>0</v>
      </c>
      <c r="E87">
        <f>746.9255*$E$7</f>
        <v>0</v>
      </c>
      <c r="F87">
        <f>-61.0015*$F$7</f>
        <v>0</v>
      </c>
      <c r="G87">
        <f>55.0989*$G$7</f>
        <v>0</v>
      </c>
      <c r="H87">
        <f>0*$H$7</f>
        <v>0</v>
      </c>
      <c r="I87">
        <f>68.2679*$I$7</f>
        <v>0</v>
      </c>
      <c r="J87">
        <f>-70.6243*$J$7</f>
        <v>0</v>
      </c>
      <c r="K87">
        <f>94.1657*$K$7</f>
        <v>0</v>
      </c>
      <c r="L87">
        <f>-4.0189*$L$7</f>
        <v>0</v>
      </c>
      <c r="M87">
        <f>0+D87+E87+G87+H87+I87+J87+K87+L87</f>
        <v>0</v>
      </c>
      <c r="N87">
        <f>0+D87+F87+G87+H87+I87+J87+K87+L87</f>
        <v>0</v>
      </c>
    </row>
    <row r="88" spans="3:14">
      <c r="C88" t="s">
        <v>55</v>
      </c>
      <c r="D88">
        <f>322.467*$D$7</f>
        <v>0</v>
      </c>
      <c r="E88">
        <f>513.0471*$E$7</f>
        <v>0</v>
      </c>
      <c r="F88">
        <f>-56.1992*$F$7</f>
        <v>0</v>
      </c>
      <c r="G88">
        <f>38.5909*$G$7</f>
        <v>0</v>
      </c>
      <c r="H88">
        <f>0*$H$7</f>
        <v>0</v>
      </c>
      <c r="I88">
        <f>46.051*$I$7</f>
        <v>0</v>
      </c>
      <c r="J88">
        <f>-79.5164*$J$7</f>
        <v>0</v>
      </c>
      <c r="K88">
        <f>106.0219*$K$7</f>
        <v>0</v>
      </c>
      <c r="L88">
        <f>-1.7777*$L$7</f>
        <v>0</v>
      </c>
      <c r="M88">
        <f>0+D88+E88+G88+H88+I88+J88+K88+L88</f>
        <v>0</v>
      </c>
      <c r="N88">
        <f>0+D88+F88+G88+H88+I88+J88+K88+L88</f>
        <v>0</v>
      </c>
    </row>
    <row r="89" spans="3:14">
      <c r="C89" t="s">
        <v>55</v>
      </c>
      <c r="D89">
        <f>337.5651*$D$7</f>
        <v>0</v>
      </c>
      <c r="E89">
        <f>532.8367*$E$7</f>
        <v>0</v>
      </c>
      <c r="F89">
        <f>-57.0259*$F$7</f>
        <v>0</v>
      </c>
      <c r="G89">
        <f>40.264*$G$7</f>
        <v>0</v>
      </c>
      <c r="H89">
        <f>0*$H$7</f>
        <v>0</v>
      </c>
      <c r="I89">
        <f>48.2005*$I$7</f>
        <v>0</v>
      </c>
      <c r="J89">
        <f>-77.4819*$J$7</f>
        <v>0</v>
      </c>
      <c r="K89">
        <f>103.3091*$K$7</f>
        <v>0</v>
      </c>
      <c r="L89">
        <f>-2.1444*$L$7</f>
        <v>0</v>
      </c>
      <c r="M89">
        <f>0+D89+E89+G89+H89+I89+J89+K89+L89</f>
        <v>0</v>
      </c>
      <c r="N89">
        <f>0+D89+F89+G89+H89+I89+J89+K89+L89</f>
        <v>0</v>
      </c>
    </row>
    <row r="90" spans="3:14">
      <c r="C90" t="s">
        <v>56</v>
      </c>
      <c r="D90">
        <f>163.2259*$D$7</f>
        <v>0</v>
      </c>
      <c r="E90">
        <f>267.4303*$E$7</f>
        <v>0</v>
      </c>
      <c r="F90">
        <f>-54.1464*$F$7</f>
        <v>0</v>
      </c>
      <c r="G90">
        <f>19.2785*$G$7</f>
        <v>0</v>
      </c>
      <c r="H90">
        <f>0*$H$7</f>
        <v>0</v>
      </c>
      <c r="I90">
        <f>23.3601*$I$7</f>
        <v>0</v>
      </c>
      <c r="J90">
        <f>-84.3501*$J$7</f>
        <v>0</v>
      </c>
      <c r="K90">
        <f>112.4668*$K$7</f>
        <v>0</v>
      </c>
      <c r="L90">
        <f>-0.1517*$L$7</f>
        <v>0</v>
      </c>
      <c r="M90">
        <f>0+D90+E90+G90+H90+I90+J90+K90+L90</f>
        <v>0</v>
      </c>
      <c r="N90">
        <f>0+D90+F90+G90+H90+I90+J90+K90+L90</f>
        <v>0</v>
      </c>
    </row>
    <row r="91" spans="3:14">
      <c r="C91" t="s">
        <v>56</v>
      </c>
      <c r="D91">
        <f>189.4015*$D$7</f>
        <v>0</v>
      </c>
      <c r="E91">
        <f>302.5642*$E$7</f>
        <v>0</v>
      </c>
      <c r="F91">
        <f>-56.5773*$F$7</f>
        <v>0</v>
      </c>
      <c r="G91">
        <f>22.4338*$G$7</f>
        <v>0</v>
      </c>
      <c r="H91">
        <f>0*$H$7</f>
        <v>0</v>
      </c>
      <c r="I91">
        <f>27.1016*$I$7</f>
        <v>0</v>
      </c>
      <c r="J91">
        <f>-79.8539*$J$7</f>
        <v>0</v>
      </c>
      <c r="K91">
        <f>106.4719*$K$7</f>
        <v>0</v>
      </c>
      <c r="L91">
        <f>-0.8685*$L$7</f>
        <v>0</v>
      </c>
      <c r="M91">
        <f>0+D91+E91+G91+H91+I91+J91+K91+L91</f>
        <v>0</v>
      </c>
      <c r="N91">
        <f>0+D91+F91+G91+H91+I91+J91+K91+L91</f>
        <v>0</v>
      </c>
    </row>
    <row r="92" spans="3:14">
      <c r="C92" t="s">
        <v>57</v>
      </c>
      <c r="D92">
        <f>-1.6737*$D$7</f>
        <v>0</v>
      </c>
      <c r="E92">
        <f>49.8937*$E$7</f>
        <v>0</v>
      </c>
      <c r="F92">
        <f>-85.1718*$F$7</f>
        <v>0</v>
      </c>
      <c r="G92">
        <f>-2.9873*$G$7</f>
        <v>0</v>
      </c>
      <c r="H92">
        <f>0*$H$7</f>
        <v>0</v>
      </c>
      <c r="I92">
        <f>-0.1627*$I$7</f>
        <v>0</v>
      </c>
      <c r="J92">
        <f>-93.346*$J$7</f>
        <v>0</v>
      </c>
      <c r="K92">
        <f>124.4614*$K$7</f>
        <v>0</v>
      </c>
      <c r="L92">
        <f>1.2493*$L$7</f>
        <v>0</v>
      </c>
      <c r="M92">
        <f>0+D92+E92+G92+H92+I92+J92+K92+L92</f>
        <v>0</v>
      </c>
      <c r="N92">
        <f>0+D92+F92+G92+H92+I92+J92+K92+L92</f>
        <v>0</v>
      </c>
    </row>
    <row r="93" spans="3:14">
      <c r="C93" t="s">
        <v>57</v>
      </c>
      <c r="D93">
        <f>-6.1145*$D$7</f>
        <v>0</v>
      </c>
      <c r="E93">
        <f>16.2012*$E$7</f>
        <v>0</v>
      </c>
      <c r="F93">
        <f>-67.433*$F$7</f>
        <v>0</v>
      </c>
      <c r="G93">
        <f>-1.865*$G$7</f>
        <v>0</v>
      </c>
      <c r="H93">
        <f>0*$H$7</f>
        <v>0</v>
      </c>
      <c r="I93">
        <f>-0.8617*$I$7</f>
        <v>0</v>
      </c>
      <c r="J93">
        <f>-82.592*$J$7</f>
        <v>0</v>
      </c>
      <c r="K93">
        <f>110.1227*$K$7</f>
        <v>0</v>
      </c>
      <c r="L93">
        <f>0.6497*$L$7</f>
        <v>0</v>
      </c>
      <c r="M93">
        <f>0+D93+E93+G93+H93+I93+J93+K93+L93</f>
        <v>0</v>
      </c>
      <c r="N93">
        <f>0+D93+F93+G93+H93+I93+J93+K93+L93</f>
        <v>0</v>
      </c>
    </row>
    <row r="94" spans="3:14">
      <c r="C94" t="s">
        <v>58</v>
      </c>
      <c r="D94">
        <f>-7.525*$D$7</f>
        <v>0</v>
      </c>
      <c r="E94">
        <f>3.5335*$E$7</f>
        <v>0</v>
      </c>
      <c r="F94">
        <f>-11.5602*$F$7</f>
        <v>0</v>
      </c>
      <c r="G94">
        <f>-0.8533*$G$7</f>
        <v>0</v>
      </c>
      <c r="H94">
        <f>0*$H$7</f>
        <v>0</v>
      </c>
      <c r="I94">
        <f>-1.0797*$I$7</f>
        <v>0</v>
      </c>
      <c r="J94">
        <f>-67.7425*$J$7</f>
        <v>0</v>
      </c>
      <c r="K94">
        <f>90.3233*$K$7</f>
        <v>0</v>
      </c>
      <c r="L94">
        <f>0.1653*$L$7</f>
        <v>0</v>
      </c>
      <c r="M94">
        <f>0+D94+E94+G94+H94+I94+J94+K94+L94</f>
        <v>0</v>
      </c>
      <c r="N94">
        <f>0+D94+F94+G94+H94+I94+J94+K94+L94</f>
        <v>0</v>
      </c>
    </row>
    <row r="95" spans="3:14">
      <c r="C95" t="s">
        <v>58</v>
      </c>
      <c r="D95">
        <f>-4.1677*$D$7</f>
        <v>0</v>
      </c>
      <c r="E95">
        <f>0.9311*$E$7</f>
        <v>0</v>
      </c>
      <c r="F95">
        <f>-8.9372*$F$7</f>
        <v>0</v>
      </c>
      <c r="G95">
        <f>-0.4431*$G$7</f>
        <v>0</v>
      </c>
      <c r="H95">
        <f>0*$H$7</f>
        <v>0</v>
      </c>
      <c r="I95">
        <f>-0.6013*$I$7</f>
        <v>0</v>
      </c>
      <c r="J95">
        <f>-66.2339*$J$7</f>
        <v>0</v>
      </c>
      <c r="K95">
        <f>88.3118*$K$7</f>
        <v>0</v>
      </c>
      <c r="L95">
        <f>0.565*$L$7</f>
        <v>0</v>
      </c>
      <c r="M95">
        <f>0+D95+E95+G95+H95+I95+J95+K95+L95</f>
        <v>0</v>
      </c>
      <c r="N95">
        <f>0+D95+F95+G95+H95+I95+J95+K95+L95</f>
        <v>0</v>
      </c>
    </row>
    <row r="96" spans="3:14">
      <c r="C96" t="s">
        <v>59</v>
      </c>
      <c r="D96">
        <f>-3.0921*$D$7</f>
        <v>0</v>
      </c>
      <c r="E96">
        <f>6.0785*$E$7</f>
        <v>0</v>
      </c>
      <c r="F96">
        <f>-8.9947*$F$7</f>
        <v>0</v>
      </c>
      <c r="G96">
        <f>-1.2438*$G$7</f>
        <v>0</v>
      </c>
      <c r="H96">
        <f>0*$H$7</f>
        <v>0</v>
      </c>
      <c r="I96">
        <f>-0.4456*$I$7</f>
        <v>0</v>
      </c>
      <c r="J96">
        <f>-82.3747*$J$7</f>
        <v>0</v>
      </c>
      <c r="K96">
        <f>109.8329*$K$7</f>
        <v>0</v>
      </c>
      <c r="L96">
        <f>4.428*$L$7</f>
        <v>0</v>
      </c>
      <c r="M96">
        <f>0+D96+E96+G96+H96+I96+J96+K96+L96</f>
        <v>0</v>
      </c>
      <c r="N96">
        <f>0+D96+F96+G96+H96+I96+J96+K96+L96</f>
        <v>0</v>
      </c>
    </row>
    <row r="97" spans="3:14">
      <c r="C97" t="s">
        <v>59</v>
      </c>
      <c r="D97">
        <f>16.4211*$D$7</f>
        <v>0</v>
      </c>
      <c r="E97">
        <f>51.322*$E$7</f>
        <v>0</v>
      </c>
      <c r="F97">
        <f>-33.4182*$F$7</f>
        <v>0</v>
      </c>
      <c r="G97">
        <f>-3.5085*$G$7</f>
        <v>0</v>
      </c>
      <c r="H97">
        <f>0*$H$7</f>
        <v>0</v>
      </c>
      <c r="I97">
        <f>2.4828*$I$7</f>
        <v>0</v>
      </c>
      <c r="J97">
        <f>-105.0545*$J$7</f>
        <v>0</v>
      </c>
      <c r="K97">
        <f>140.0727*$K$7</f>
        <v>0</v>
      </c>
      <c r="L97">
        <f>2.1124*$L$7</f>
        <v>0</v>
      </c>
      <c r="M97">
        <f>0+D97+E97+G97+H97+I97+J97+K97+L97</f>
        <v>0</v>
      </c>
      <c r="N97">
        <f>0+D97+F97+G97+H97+I97+J97+K97+L97</f>
        <v>0</v>
      </c>
    </row>
    <row r="98" spans="3:14">
      <c r="C98" t="s">
        <v>60</v>
      </c>
      <c r="D98">
        <f>91.9975*$D$7</f>
        <v>0</v>
      </c>
      <c r="E98">
        <f>208.0254*$E$7</f>
        <v>0</v>
      </c>
      <c r="F98">
        <f>-10.3809*$F$7</f>
        <v>0</v>
      </c>
      <c r="G98">
        <f>12.3374*$G$7</f>
        <v>0</v>
      </c>
      <c r="H98">
        <f>0*$H$7</f>
        <v>0</v>
      </c>
      <c r="I98">
        <f>13.1825*$I$7</f>
        <v>0</v>
      </c>
      <c r="J98">
        <f>-83.2542*$J$7</f>
        <v>0</v>
      </c>
      <c r="K98">
        <f>111.0055*$K$7</f>
        <v>0</v>
      </c>
      <c r="L98">
        <f>-11.428*$L$7</f>
        <v>0</v>
      </c>
      <c r="M98">
        <f>0+D98+E98+G98+H98+I98+J98+K98+L98</f>
        <v>0</v>
      </c>
      <c r="N98">
        <f>0+D98+F98+G98+H98+I98+J98+K98+L98</f>
        <v>0</v>
      </c>
    </row>
    <row r="99" spans="3:14">
      <c r="C99" t="s">
        <v>60</v>
      </c>
      <c r="D99">
        <f>81.5384*$D$7</f>
        <v>0</v>
      </c>
      <c r="E99">
        <f>188.7729*$E$7</f>
        <v>0</v>
      </c>
      <c r="F99">
        <f>-9.9148*$F$7</f>
        <v>0</v>
      </c>
      <c r="G99">
        <f>10.4701*$G$7</f>
        <v>0</v>
      </c>
      <c r="H99">
        <f>0*$H$7</f>
        <v>0</v>
      </c>
      <c r="I99">
        <f>11.6989*$I$7</f>
        <v>0</v>
      </c>
      <c r="J99">
        <f>-90.9935*$J$7</f>
        <v>0</v>
      </c>
      <c r="K99">
        <f>121.3247*$K$7</f>
        <v>0</v>
      </c>
      <c r="L99">
        <f>-9.2972*$L$7</f>
        <v>0</v>
      </c>
      <c r="M99">
        <f>0+D99+E99+G99+H99+I99+J99+K99+L99</f>
        <v>0</v>
      </c>
      <c r="N99">
        <f>0+D99+F99+G99+H99+I99+J99+K99+L99</f>
        <v>0</v>
      </c>
    </row>
    <row r="100" spans="3:14">
      <c r="C100" t="s">
        <v>61</v>
      </c>
      <c r="D100">
        <f>143.3435*$D$7</f>
        <v>0</v>
      </c>
      <c r="E100">
        <f>324.4284*$E$7</f>
        <v>0</v>
      </c>
      <c r="F100">
        <f>-12.7181*$F$7</f>
        <v>0</v>
      </c>
      <c r="G100">
        <f>22.093*$G$7</f>
        <v>0</v>
      </c>
      <c r="H100">
        <f>0*$H$7</f>
        <v>0</v>
      </c>
      <c r="I100">
        <f>20.3981*$I$7</f>
        <v>0</v>
      </c>
      <c r="J100">
        <f>-71.7597*$J$7</f>
        <v>0</v>
      </c>
      <c r="K100">
        <f>95.6797*$K$7</f>
        <v>0</v>
      </c>
      <c r="L100">
        <f>-23.957*$L$7</f>
        <v>0</v>
      </c>
      <c r="M100">
        <f>0+D100+E100+G100+H100+I100+J100+K100+L100</f>
        <v>0</v>
      </c>
      <c r="N100">
        <f>0+D100+F100+G100+H100+I100+J100+K100+L100</f>
        <v>0</v>
      </c>
    </row>
    <row r="101" spans="3:14">
      <c r="C101" t="s">
        <v>61</v>
      </c>
      <c r="D101">
        <f>137.8407*$D$7</f>
        <v>0</v>
      </c>
      <c r="E101">
        <f>314.001*$E$7</f>
        <v>0</v>
      </c>
      <c r="F101">
        <f>-12.4379*$F$7</f>
        <v>0</v>
      </c>
      <c r="G101">
        <f>21.1165*$G$7</f>
        <v>0</v>
      </c>
      <c r="H101">
        <f>0*$H$7</f>
        <v>0</v>
      </c>
      <c r="I101">
        <f>19.6298*$I$7</f>
        <v>0</v>
      </c>
      <c r="J101">
        <f>-79.7791*$J$7</f>
        <v>0</v>
      </c>
      <c r="K101">
        <f>106.3721*$K$7</f>
        <v>0</v>
      </c>
      <c r="L101">
        <f>-23.1945*$L$7</f>
        <v>0</v>
      </c>
      <c r="M101">
        <f>0+D101+E101+G101+H101+I101+J101+K101+L101</f>
        <v>0</v>
      </c>
      <c r="N101">
        <f>0+D101+F101+G101+H101+I101+J101+K101+L101</f>
        <v>0</v>
      </c>
    </row>
    <row r="102" spans="3:14">
      <c r="C102" t="s">
        <v>62</v>
      </c>
      <c r="D102">
        <f>185.8064*$D$7</f>
        <v>0</v>
      </c>
      <c r="E102">
        <f>420.4523*$E$7</f>
        <v>0</v>
      </c>
      <c r="F102">
        <f>-16.2593*$F$7</f>
        <v>0</v>
      </c>
      <c r="G102">
        <f>28.7879*$G$7</f>
        <v>0</v>
      </c>
      <c r="H102">
        <f>0*$H$7</f>
        <v>0</v>
      </c>
      <c r="I102">
        <f>26.3207*$I$7</f>
        <v>0</v>
      </c>
      <c r="J102">
        <f>-47.1377*$J$7</f>
        <v>0</v>
      </c>
      <c r="K102">
        <f>62.8502*$K$7</f>
        <v>0</v>
      </c>
      <c r="L102">
        <f>-39.7143*$L$7</f>
        <v>0</v>
      </c>
      <c r="M102">
        <f>0+D102+E102+G102+H102+I102+J102+K102+L102</f>
        <v>0</v>
      </c>
      <c r="N102">
        <f>0+D102+F102+G102+H102+I102+J102+K102+L102</f>
        <v>0</v>
      </c>
    </row>
    <row r="103" spans="3:14">
      <c r="C103" t="s">
        <v>62</v>
      </c>
      <c r="D103">
        <f>179.925*$D$7</f>
        <v>0</v>
      </c>
      <c r="E103">
        <f>407.6055*$E$7</f>
        <v>0</v>
      </c>
      <c r="F103">
        <f>-15.8386*$F$7</f>
        <v>0</v>
      </c>
      <c r="G103">
        <f>27.7146*$G$7</f>
        <v>0</v>
      </c>
      <c r="H103">
        <f>0*$H$7</f>
        <v>0</v>
      </c>
      <c r="I103">
        <f>25.5207*$I$7</f>
        <v>0</v>
      </c>
      <c r="J103">
        <f>-52.0374*$J$7</f>
        <v>0</v>
      </c>
      <c r="K103">
        <f>69.3831*$K$7</f>
        <v>0</v>
      </c>
      <c r="L103">
        <f>-38.6975*$L$7</f>
        <v>0</v>
      </c>
      <c r="M103">
        <f>0+D103+E103+G103+H103+I103+J103+K103+L103</f>
        <v>0</v>
      </c>
      <c r="N103">
        <f>0+D103+F103+G103+H103+I103+J103+K103+L103</f>
        <v>0</v>
      </c>
    </row>
    <row r="104" spans="3:14">
      <c r="C104" t="s">
        <v>63</v>
      </c>
      <c r="D104">
        <f>211.2409*$D$7</f>
        <v>0</v>
      </c>
      <c r="E104">
        <f>480.2631*$E$7</f>
        <v>0</v>
      </c>
      <c r="F104">
        <f>-23.2831*$F$7</f>
        <v>0</v>
      </c>
      <c r="G104">
        <f>31.3011*$G$7</f>
        <v>0</v>
      </c>
      <c r="H104">
        <f>0*$H$7</f>
        <v>0</v>
      </c>
      <c r="I104">
        <f>29.801*$I$7</f>
        <v>0</v>
      </c>
      <c r="J104">
        <f>-16.2875*$J$7</f>
        <v>0</v>
      </c>
      <c r="K104">
        <f>21.7167*$K$7</f>
        <v>0</v>
      </c>
      <c r="L104">
        <f>-55.8352*$L$7</f>
        <v>0</v>
      </c>
      <c r="M104">
        <f>0+D104+E104+G104+H104+I104+J104+K104+L104</f>
        <v>0</v>
      </c>
      <c r="N104">
        <f>0+D104+F104+G104+H104+I104+J104+K104+L104</f>
        <v>0</v>
      </c>
    </row>
    <row r="105" spans="3:14">
      <c r="C105" t="s">
        <v>63</v>
      </c>
      <c r="D105">
        <f>207.8531*$D$7</f>
        <v>0</v>
      </c>
      <c r="E105">
        <f>471.8272*$E$7</f>
        <v>0</v>
      </c>
      <c r="F105">
        <f>-23.0529*$F$7</f>
        <v>0</v>
      </c>
      <c r="G105">
        <f>30.6658*$G$7</f>
        <v>0</v>
      </c>
      <c r="H105">
        <f>0*$H$7</f>
        <v>0</v>
      </c>
      <c r="I105">
        <f>29.3582*$I$7</f>
        <v>0</v>
      </c>
      <c r="J105">
        <f>-18.9074*$J$7</f>
        <v>0</v>
      </c>
      <c r="K105">
        <f>25.2098*$K$7</f>
        <v>0</v>
      </c>
      <c r="L105">
        <f>-55.5427*$L$7</f>
        <v>0</v>
      </c>
      <c r="M105">
        <f>0+D105+E105+G105+H105+I105+J105+K105+L105</f>
        <v>0</v>
      </c>
      <c r="N105">
        <f>0+D105+F105+G105+H105+I105+J105+K105+L105</f>
        <v>0</v>
      </c>
    </row>
    <row r="106" spans="3:14">
      <c r="C106" t="s">
        <v>64</v>
      </c>
      <c r="D106">
        <f>222.0886*$D$7</f>
        <v>0</v>
      </c>
      <c r="E106">
        <f>507.8872*$E$7</f>
        <v>0</v>
      </c>
      <c r="F106">
        <f>-30.3042*$F$7</f>
        <v>0</v>
      </c>
      <c r="G106">
        <f>30.6852*$G$7</f>
        <v>0</v>
      </c>
      <c r="H106">
        <f>0*$H$7</f>
        <v>0</v>
      </c>
      <c r="I106">
        <f>31.1347*$I$7</f>
        <v>0</v>
      </c>
      <c r="J106">
        <f>15.7829*$J$7</f>
        <v>0</v>
      </c>
      <c r="K106">
        <f>-21.0439*$K$7</f>
        <v>0</v>
      </c>
      <c r="L106">
        <f>-71.2172*$L$7</f>
        <v>0</v>
      </c>
      <c r="M106">
        <f>0+D106+E106+G106+H106+I106+J106+K106+L106</f>
        <v>0</v>
      </c>
      <c r="N106">
        <f>0+D106+F106+G106+H106+I106+J106+K106+L106</f>
        <v>0</v>
      </c>
    </row>
    <row r="107" spans="3:14">
      <c r="C107" t="s">
        <v>64</v>
      </c>
      <c r="D107">
        <f>223.8291*$D$7</f>
        <v>0</v>
      </c>
      <c r="E107">
        <f>504.1635*$E$7</f>
        <v>0</v>
      </c>
      <c r="F107">
        <f>-26.8471*$F$7</f>
        <v>0</v>
      </c>
      <c r="G107">
        <f>30.7894*$G$7</f>
        <v>0</v>
      </c>
      <c r="H107">
        <f>0*$H$7</f>
        <v>0</v>
      </c>
      <c r="I107">
        <f>31.3597*$I$7</f>
        <v>0</v>
      </c>
      <c r="J107">
        <f>17.4529*$J$7</f>
        <v>0</v>
      </c>
      <c r="K107">
        <f>-23.2705*$K$7</f>
        <v>0</v>
      </c>
      <c r="L107">
        <f>-71.4979*$L$7</f>
        <v>0</v>
      </c>
      <c r="M107">
        <f>0+D107+E107+G107+H107+I107+J107+K107+L107</f>
        <v>0</v>
      </c>
      <c r="N107">
        <f>0+D107+F107+G107+H107+I107+J107+K107+L107</f>
        <v>0</v>
      </c>
    </row>
    <row r="108" spans="3:14">
      <c r="C108" t="s">
        <v>65</v>
      </c>
      <c r="D108">
        <f>214.4109*$D$7</f>
        <v>0</v>
      </c>
      <c r="E108">
        <f>483.2327*$E$7</f>
        <v>0</v>
      </c>
      <c r="F108">
        <f>-22.5371*$F$7</f>
        <v>0</v>
      </c>
      <c r="G108">
        <f>32.9392*$G$7</f>
        <v>0</v>
      </c>
      <c r="H108">
        <f>0*$H$7</f>
        <v>0</v>
      </c>
      <c r="I108">
        <f>30.2291*$I$7</f>
        <v>0</v>
      </c>
      <c r="J108">
        <f>-11.8756*$J$7</f>
        <v>0</v>
      </c>
      <c r="K108">
        <f>15.8341*$K$7</f>
        <v>0</v>
      </c>
      <c r="L108">
        <f>-55.7797*$L$7</f>
        <v>0</v>
      </c>
      <c r="M108">
        <f>0+D108+E108+G108+H108+I108+J108+K108+L108</f>
        <v>0</v>
      </c>
      <c r="N108">
        <f>0+D108+F108+G108+H108+I108+J108+K108+L108</f>
        <v>0</v>
      </c>
    </row>
    <row r="109" spans="3:14">
      <c r="C109" t="s">
        <v>65</v>
      </c>
      <c r="D109">
        <f>216.7518*$D$7</f>
        <v>0</v>
      </c>
      <c r="E109">
        <f>490.3252*$E$7</f>
        <v>0</v>
      </c>
      <c r="F109">
        <f>-22.866*$F$7</f>
        <v>0</v>
      </c>
      <c r="G109">
        <f>33.1894*$G$7</f>
        <v>0</v>
      </c>
      <c r="H109">
        <f>0*$H$7</f>
        <v>0</v>
      </c>
      <c r="I109">
        <f>30.5404*$I$7</f>
        <v>0</v>
      </c>
      <c r="J109">
        <f>-12.0441*$J$7</f>
        <v>0</v>
      </c>
      <c r="K109">
        <f>16.0588*$K$7</f>
        <v>0</v>
      </c>
      <c r="L109">
        <f>-56.2777*$L$7</f>
        <v>0</v>
      </c>
      <c r="M109">
        <f>0+D109+E109+G109+H109+I109+J109+K109+L109</f>
        <v>0</v>
      </c>
      <c r="N109">
        <f>0+D109+F109+G109+H109+I109+J109+K109+L109</f>
        <v>0</v>
      </c>
    </row>
    <row r="110" spans="3:14">
      <c r="C110" t="s">
        <v>66</v>
      </c>
      <c r="D110">
        <f>186.0487*$D$7</f>
        <v>0</v>
      </c>
      <c r="E110">
        <f>423.1889*$E$7</f>
        <v>0</v>
      </c>
      <c r="F110">
        <f>-16.7517*$F$7</f>
        <v>0</v>
      </c>
      <c r="G110">
        <f>30.9079*$G$7</f>
        <v>0</v>
      </c>
      <c r="H110">
        <f>0*$H$7</f>
        <v>0</v>
      </c>
      <c r="I110">
        <f>26.3016*$I$7</f>
        <v>0</v>
      </c>
      <c r="J110">
        <f>-41.8826*$J$7</f>
        <v>0</v>
      </c>
      <c r="K110">
        <f>55.8434*$K$7</f>
        <v>0</v>
      </c>
      <c r="L110">
        <f>-38.8027*$L$7</f>
        <v>0</v>
      </c>
      <c r="M110">
        <f>0+D110+E110+G110+H110+I110+J110+K110+L110</f>
        <v>0</v>
      </c>
      <c r="N110">
        <f>0+D110+F110+G110+H110+I110+J110+K110+L110</f>
        <v>0</v>
      </c>
    </row>
    <row r="111" spans="3:14">
      <c r="C111" t="s">
        <v>66</v>
      </c>
      <c r="D111">
        <f>191.7198*$D$7</f>
        <v>0</v>
      </c>
      <c r="E111">
        <f>435.8959*$E$7</f>
        <v>0</v>
      </c>
      <c r="F111">
        <f>-17.4642*$F$7</f>
        <v>0</v>
      </c>
      <c r="G111">
        <f>31.7043*$G$7</f>
        <v>0</v>
      </c>
      <c r="H111">
        <f>0*$H$7</f>
        <v>0</v>
      </c>
      <c r="I111">
        <f>27.0842*$I$7</f>
        <v>0</v>
      </c>
      <c r="J111">
        <f>-38.5699*$J$7</f>
        <v>0</v>
      </c>
      <c r="K111">
        <f>51.4265*$K$7</f>
        <v>0</v>
      </c>
      <c r="L111">
        <f>-40.153*$L$7</f>
        <v>0</v>
      </c>
      <c r="M111">
        <f>0+D111+E111+G111+H111+I111+J111+K111+L111</f>
        <v>0</v>
      </c>
      <c r="N111">
        <f>0+D111+F111+G111+H111+I111+J111+K111+L111</f>
        <v>0</v>
      </c>
    </row>
    <row r="112" spans="3:14">
      <c r="C112" t="s">
        <v>67</v>
      </c>
      <c r="D112">
        <f>139.8164*$D$7</f>
        <v>0</v>
      </c>
      <c r="E112">
        <f>324.5201*$E$7</f>
        <v>0</v>
      </c>
      <c r="F112">
        <f>-11.8301*$F$7</f>
        <v>0</v>
      </c>
      <c r="G112">
        <f>24.3745*$G$7</f>
        <v>0</v>
      </c>
      <c r="H112">
        <f>0*$H$7</f>
        <v>0</v>
      </c>
      <c r="I112">
        <f>19.7879*$I$7</f>
        <v>0</v>
      </c>
      <c r="J112">
        <f>-64.2952*$J$7</f>
        <v>0</v>
      </c>
      <c r="K112">
        <f>85.7269*$K$7</f>
        <v>0</v>
      </c>
      <c r="L112">
        <f>-22.8012*$L$7</f>
        <v>0</v>
      </c>
      <c r="M112">
        <f>0+D112+E112+G112+H112+I112+J112+K112+L112</f>
        <v>0</v>
      </c>
      <c r="N112">
        <f>0+D112+F112+G112+H112+I112+J112+K112+L112</f>
        <v>0</v>
      </c>
    </row>
    <row r="113" spans="3:14">
      <c r="C113" t="s">
        <v>67</v>
      </c>
      <c r="D113">
        <f>148.3164*$D$7</f>
        <v>0</v>
      </c>
      <c r="E113">
        <f>340.7152*$E$7</f>
        <v>0</v>
      </c>
      <c r="F113">
        <f>-12.654*$F$7</f>
        <v>0</v>
      </c>
      <c r="G113">
        <f>25.8712*$G$7</f>
        <v>0</v>
      </c>
      <c r="H113">
        <f>0*$H$7</f>
        <v>0</v>
      </c>
      <c r="I113">
        <f>20.9784*$I$7</f>
        <v>0</v>
      </c>
      <c r="J113">
        <f>-53.6665*$J$7</f>
        <v>0</v>
      </c>
      <c r="K113">
        <f>71.5554*$K$7</f>
        <v>0</v>
      </c>
      <c r="L113">
        <f>-24.2154*$L$7</f>
        <v>0</v>
      </c>
      <c r="M113">
        <f>0+D113+E113+G113+H113+I113+J113+K113+L113</f>
        <v>0</v>
      </c>
      <c r="N113">
        <f>0+D113+F113+G113+H113+I113+J113+K113+L113</f>
        <v>0</v>
      </c>
    </row>
    <row r="114" spans="3:14">
      <c r="C114" t="s">
        <v>68</v>
      </c>
      <c r="D114">
        <f>78.9058*$D$7</f>
        <v>0</v>
      </c>
      <c r="E114">
        <f>190.7582*$E$7</f>
        <v>0</v>
      </c>
      <c r="F114">
        <f>-7.0216*$F$7</f>
        <v>0</v>
      </c>
      <c r="G114">
        <f>13.8271*$G$7</f>
        <v>0</v>
      </c>
      <c r="H114">
        <f>0*$H$7</f>
        <v>0</v>
      </c>
      <c r="I114">
        <f>11.1661*$I$7</f>
        <v>0</v>
      </c>
      <c r="J114">
        <f>-58.8091*$J$7</f>
        <v>0</v>
      </c>
      <c r="K114">
        <f>78.4122*$K$7</f>
        <v>0</v>
      </c>
      <c r="L114">
        <f>-8.1084*$L$7</f>
        <v>0</v>
      </c>
      <c r="M114">
        <f>0+D114+E114+G114+H114+I114+J114+K114+L114</f>
        <v>0</v>
      </c>
      <c r="N114">
        <f>0+D114+F114+G114+H114+I114+J114+K114+L114</f>
        <v>0</v>
      </c>
    </row>
    <row r="115" spans="3:14">
      <c r="C115" t="s">
        <v>68</v>
      </c>
      <c r="D115">
        <f>85.9064*$D$7</f>
        <v>0</v>
      </c>
      <c r="E115">
        <f>202.2687*$E$7</f>
        <v>0</v>
      </c>
      <c r="F115">
        <f>-7.9425*$F$7</f>
        <v>0</v>
      </c>
      <c r="G115">
        <f>15.1146*$G$7</f>
        <v>0</v>
      </c>
      <c r="H115">
        <f>0*$H$7</f>
        <v>0</v>
      </c>
      <c r="I115">
        <f>12.1493*$I$7</f>
        <v>0</v>
      </c>
      <c r="J115">
        <f>-50.3762*$J$7</f>
        <v>0</v>
      </c>
      <c r="K115">
        <f>67.1682*$K$7</f>
        <v>0</v>
      </c>
      <c r="L115">
        <f>-9.1782*$L$7</f>
        <v>0</v>
      </c>
      <c r="M115">
        <f>0+D115+E115+G115+H115+I115+J115+K115+L115</f>
        <v>0</v>
      </c>
      <c r="N115">
        <f>0+D115+F115+G115+H115+I115+J115+K115+L115</f>
        <v>0</v>
      </c>
    </row>
    <row r="116" spans="3:14">
      <c r="C116" t="s">
        <v>69</v>
      </c>
      <c r="D116">
        <f>-5.6708*$D$7</f>
        <v>0</v>
      </c>
      <c r="E116">
        <f>7.9871*$E$7</f>
        <v>0</v>
      </c>
      <c r="F116">
        <f>-19.0371*$F$7</f>
        <v>0</v>
      </c>
      <c r="G116">
        <f>-2.8203*$G$7</f>
        <v>0</v>
      </c>
      <c r="H116">
        <f>0*$H$7</f>
        <v>0</v>
      </c>
      <c r="I116">
        <f>-0.8168*$I$7</f>
        <v>0</v>
      </c>
      <c r="J116">
        <f>-66.6085*$J$7</f>
        <v>0</v>
      </c>
      <c r="K116">
        <f>88.8114*$K$7</f>
        <v>0</v>
      </c>
      <c r="L116">
        <f>6.4378*$L$7</f>
        <v>0</v>
      </c>
      <c r="M116">
        <f>0+D116+E116+G116+H116+I116+J116+K116+L116</f>
        <v>0</v>
      </c>
      <c r="N116">
        <f>0+D116+F116+G116+H116+I116+J116+K116+L116</f>
        <v>0</v>
      </c>
    </row>
    <row r="121" spans="3:14">
      <c r="C121" t="s">
        <v>70</v>
      </c>
    </row>
    <row r="123" spans="3:14">
      <c r="C123" t="s">
        <v>2</v>
      </c>
    </row>
    <row r="124" spans="3:14">
      <c r="C124" t="s">
        <v>3</v>
      </c>
      <c r="D124" t="s">
        <v>4</v>
      </c>
      <c r="E124" t="s">
        <v>5</v>
      </c>
      <c r="F124" t="s">
        <v>6</v>
      </c>
      <c r="G124" t="s">
        <v>7</v>
      </c>
      <c r="H124" t="s">
        <v>8</v>
      </c>
      <c r="I124" t="s">
        <v>9</v>
      </c>
      <c r="J124" t="s">
        <v>10</v>
      </c>
      <c r="K124" t="s">
        <v>11</v>
      </c>
      <c r="L124" t="s">
        <v>12</v>
      </c>
      <c r="M124" t="s">
        <v>13</v>
      </c>
      <c r="N124" t="s">
        <v>14</v>
      </c>
    </row>
    <row r="125" spans="3:14">
      <c r="C125" t="s">
        <v>80</v>
      </c>
      <c r="D125">
        <f>-227.726*$D$123</f>
        <v>0</v>
      </c>
      <c r="E125">
        <f>40.544*$E$123</f>
        <v>0</v>
      </c>
      <c r="F125">
        <f>-368.696*$F$123</f>
        <v>0</v>
      </c>
      <c r="G125">
        <f>-37.354*$G$123</f>
        <v>0</v>
      </c>
      <c r="H125">
        <f>0*$H$123</f>
        <v>0</v>
      </c>
      <c r="I125">
        <f>-31.264*$I$123</f>
        <v>0</v>
      </c>
      <c r="J125">
        <f>-82.765*$J$123</f>
        <v>0</v>
      </c>
      <c r="K125">
        <f>110.354*$K$123</f>
        <v>0</v>
      </c>
      <c r="L125">
        <f>0.027*$L$123</f>
        <v>0</v>
      </c>
      <c r="M125">
        <f>0+D125+E125+G125+H125+I125+J125+K125+L125</f>
        <v>0</v>
      </c>
      <c r="N125">
        <f>0+D125+F125+G125+H125+I125+J125+K125+L125</f>
        <v>0</v>
      </c>
    </row>
    <row r="126" spans="3:14">
      <c r="C126" t="s">
        <v>16</v>
      </c>
      <c r="D126">
        <f>-207.371*$D$123</f>
        <v>0</v>
      </c>
      <c r="E126">
        <f>42.834*$E$123</f>
        <v>0</v>
      </c>
      <c r="F126">
        <f>-358.947*$F$123</f>
        <v>0</v>
      </c>
      <c r="G126">
        <f>-34.611*$G$123</f>
        <v>0</v>
      </c>
      <c r="H126">
        <f>0*$H$123</f>
        <v>0</v>
      </c>
      <c r="I126">
        <f>-29.791*$I$123</f>
        <v>0</v>
      </c>
      <c r="J126">
        <f>-75.42*$J$123</f>
        <v>0</v>
      </c>
      <c r="K126">
        <f>100.56*$K$123</f>
        <v>0</v>
      </c>
      <c r="L126">
        <f>0.026*$L$123</f>
        <v>0</v>
      </c>
      <c r="M126">
        <f>0+D126+E126+G126+H126+I126+J126+K126+L126</f>
        <v>0</v>
      </c>
      <c r="N126">
        <f>0+D126+F126+G126+H126+I126+J126+K126+L126</f>
        <v>0</v>
      </c>
    </row>
    <row r="127" spans="3:14">
      <c r="C127" t="s">
        <v>16</v>
      </c>
      <c r="D127">
        <f>-205.904*$D$123</f>
        <v>0</v>
      </c>
      <c r="E127">
        <f>42.918*$E$123</f>
        <v>0</v>
      </c>
      <c r="F127">
        <f>-346.318*$F$123</f>
        <v>0</v>
      </c>
      <c r="G127">
        <f>-31.112*$G$123</f>
        <v>0</v>
      </c>
      <c r="H127">
        <f>0*$H$123</f>
        <v>0</v>
      </c>
      <c r="I127">
        <f>-28.188*$I$123</f>
        <v>0</v>
      </c>
      <c r="J127">
        <f>-67.969*$J$123</f>
        <v>0</v>
      </c>
      <c r="K127">
        <f>90.625*$K$123</f>
        <v>0</v>
      </c>
      <c r="L127">
        <f>0.025*$L$123</f>
        <v>0</v>
      </c>
      <c r="M127">
        <f>0+D127+E127+G127+H127+I127+J127+K127+L127</f>
        <v>0</v>
      </c>
      <c r="N127">
        <f>0+D127+F127+G127+H127+I127+J127+K127+L127</f>
        <v>0</v>
      </c>
    </row>
    <row r="128" spans="3:14">
      <c r="C128" t="s">
        <v>17</v>
      </c>
      <c r="D128">
        <f>-185.661*$D$123</f>
        <v>0</v>
      </c>
      <c r="E128">
        <f>43.575*$E$123</f>
        <v>0</v>
      </c>
      <c r="F128">
        <f>-336.216*$F$123</f>
        <v>0</v>
      </c>
      <c r="G128">
        <f>-28.117*$G$123</f>
        <v>0</v>
      </c>
      <c r="H128">
        <f>0*$H$123</f>
        <v>0</v>
      </c>
      <c r="I128">
        <f>-26.748*$I$123</f>
        <v>0</v>
      </c>
      <c r="J128">
        <f>-59.573*$J$123</f>
        <v>0</v>
      </c>
      <c r="K128">
        <f>79.431*$K$123</f>
        <v>0</v>
      </c>
      <c r="L128">
        <f>0.024*$L$123</f>
        <v>0</v>
      </c>
      <c r="M128">
        <f>0+D128+E128+G128+H128+I128+J128+K128+L128</f>
        <v>0</v>
      </c>
      <c r="N128">
        <f>0+D128+F128+G128+H128+I128+J128+K128+L128</f>
        <v>0</v>
      </c>
    </row>
    <row r="129" spans="3:14">
      <c r="C129" t="s">
        <v>17</v>
      </c>
      <c r="D129">
        <f>-183.506*$D$123</f>
        <v>0</v>
      </c>
      <c r="E129">
        <f>47.82*$E$123</f>
        <v>0</v>
      </c>
      <c r="F129">
        <f>-322.592*$F$123</f>
        <v>0</v>
      </c>
      <c r="G129">
        <f>-24.754*$G$123</f>
        <v>0</v>
      </c>
      <c r="H129">
        <f>0*$H$123</f>
        <v>0</v>
      </c>
      <c r="I129">
        <f>-25.033*$I$123</f>
        <v>0</v>
      </c>
      <c r="J129">
        <f>-54.934*$J$123</f>
        <v>0</v>
      </c>
      <c r="K129">
        <f>73.245*$K$123</f>
        <v>0</v>
      </c>
      <c r="L129">
        <f>0.023*$L$123</f>
        <v>0</v>
      </c>
      <c r="M129">
        <f>0+D129+E129+G129+H129+I129+J129+K129+L129</f>
        <v>0</v>
      </c>
      <c r="N129">
        <f>0+D129+F129+G129+H129+I129+J129+K129+L129</f>
        <v>0</v>
      </c>
    </row>
    <row r="130" spans="3:14">
      <c r="C130" t="s">
        <v>18</v>
      </c>
      <c r="D130">
        <f>-163.023*$D$123</f>
        <v>0</v>
      </c>
      <c r="E130">
        <f>51.529*$E$123</f>
        <v>0</v>
      </c>
      <c r="F130">
        <f>-312.399*$F$123</f>
        <v>0</v>
      </c>
      <c r="G130">
        <f>-21.949*$G$123</f>
        <v>0</v>
      </c>
      <c r="H130">
        <f>0*$H$123</f>
        <v>0</v>
      </c>
      <c r="I130">
        <f>-23.546*$I$123</f>
        <v>0</v>
      </c>
      <c r="J130">
        <f>-51.428*$J$123</f>
        <v>0</v>
      </c>
      <c r="K130">
        <f>68.571*$K$123</f>
        <v>0</v>
      </c>
      <c r="L130">
        <f>0.022*$L$123</f>
        <v>0</v>
      </c>
      <c r="M130">
        <f>0+D130+E130+G130+H130+I130+J130+K130+L130</f>
        <v>0</v>
      </c>
      <c r="N130">
        <f>0+D130+F130+G130+H130+I130+J130+K130+L130</f>
        <v>0</v>
      </c>
    </row>
    <row r="131" spans="3:14">
      <c r="C131" t="s">
        <v>18</v>
      </c>
      <c r="D131">
        <f>-160.22*$D$123</f>
        <v>0</v>
      </c>
      <c r="E131">
        <f>57.646*$E$123</f>
        <v>0</v>
      </c>
      <c r="F131">
        <f>-297.816*$F$123</f>
        <v>0</v>
      </c>
      <c r="G131">
        <f>-18.787*$G$123</f>
        <v>0</v>
      </c>
      <c r="H131">
        <f>0*$H$123</f>
        <v>0</v>
      </c>
      <c r="I131">
        <f>-21.728*$I$123</f>
        <v>0</v>
      </c>
      <c r="J131">
        <f>-49.376*$J$123</f>
        <v>0</v>
      </c>
      <c r="K131">
        <f>65.835*$K$123</f>
        <v>0</v>
      </c>
      <c r="L131">
        <f>0.022*$L$123</f>
        <v>0</v>
      </c>
      <c r="M131">
        <f>0+D131+E131+G131+H131+I131+J131+K131+L131</f>
        <v>0</v>
      </c>
      <c r="N131">
        <f>0+D131+F131+G131+H131+I131+J131+K131+L131</f>
        <v>0</v>
      </c>
    </row>
    <row r="132" spans="3:14">
      <c r="C132" t="s">
        <v>19</v>
      </c>
      <c r="D132">
        <f>-139.456*$D$123</f>
        <v>0</v>
      </c>
      <c r="E132">
        <f>61.859*$E$123</f>
        <v>0</v>
      </c>
      <c r="F132">
        <f>-287.228*$F$123</f>
        <v>0</v>
      </c>
      <c r="G132">
        <f>-16.295*$G$123</f>
        <v>0</v>
      </c>
      <c r="H132">
        <f>0*$H$123</f>
        <v>0</v>
      </c>
      <c r="I132">
        <f>-20.179*$I$123</f>
        <v>0</v>
      </c>
      <c r="J132">
        <f>-47.039*$J$123</f>
        <v>0</v>
      </c>
      <c r="K132">
        <f>62.718*$K$123</f>
        <v>0</v>
      </c>
      <c r="L132">
        <f>0.02*$L$123</f>
        <v>0</v>
      </c>
      <c r="M132">
        <f>0+D132+E132+G132+H132+I132+J132+K132+L132</f>
        <v>0</v>
      </c>
      <c r="N132">
        <f>0+D132+F132+G132+H132+I132+J132+K132+L132</f>
        <v>0</v>
      </c>
    </row>
    <row r="133" spans="3:14">
      <c r="C133" t="s">
        <v>19</v>
      </c>
      <c r="D133">
        <f>-146.645*$D$123</f>
        <v>0</v>
      </c>
      <c r="E133">
        <f>62.332*$E$123</f>
        <v>0</v>
      </c>
      <c r="F133">
        <f>-283.541*$F$123</f>
        <v>0</v>
      </c>
      <c r="G133">
        <f>-14.469*$G$123</f>
        <v>0</v>
      </c>
      <c r="H133">
        <f>0*$H$123</f>
        <v>0</v>
      </c>
      <c r="I133">
        <f>-19.777*$I$123</f>
        <v>0</v>
      </c>
      <c r="J133">
        <f>-55.789*$J$123</f>
        <v>0</v>
      </c>
      <c r="K133">
        <f>74.386*$K$123</f>
        <v>0</v>
      </c>
      <c r="L133">
        <f>0.018*$L$123</f>
        <v>0</v>
      </c>
      <c r="M133">
        <f>0+D133+E133+G133+H133+I133+J133+K133+L133</f>
        <v>0</v>
      </c>
      <c r="N133">
        <f>0+D133+F133+G133+H133+I133+J133+K133+L133</f>
        <v>0</v>
      </c>
    </row>
    <row r="134" spans="3:14">
      <c r="C134" t="s">
        <v>20</v>
      </c>
      <c r="D134">
        <f>-125.679*$D$123</f>
        <v>0</v>
      </c>
      <c r="E134">
        <f>66.349*$E$123</f>
        <v>0</v>
      </c>
      <c r="F134">
        <f>-272.902*$F$123</f>
        <v>0</v>
      </c>
      <c r="G134">
        <f>-12.346*$G$123</f>
        <v>0</v>
      </c>
      <c r="H134">
        <f>0*$H$123</f>
        <v>0</v>
      </c>
      <c r="I134">
        <f>-18.183*$I$123</f>
        <v>0</v>
      </c>
      <c r="J134">
        <f>-53.067*$J$123</f>
        <v>0</v>
      </c>
      <c r="K134">
        <f>70.757*$K$123</f>
        <v>0</v>
      </c>
      <c r="L134">
        <f>0.017*$L$123</f>
        <v>0</v>
      </c>
      <c r="M134">
        <f>0+D134+E134+G134+H134+I134+J134+K134+L134</f>
        <v>0</v>
      </c>
      <c r="N134">
        <f>0+D134+F134+G134+H134+I134+J134+K134+L134</f>
        <v>0</v>
      </c>
    </row>
    <row r="135" spans="3:14">
      <c r="C135" t="s">
        <v>20</v>
      </c>
      <c r="D135">
        <f>-110.985*$D$123</f>
        <v>0</v>
      </c>
      <c r="E135">
        <f>63.537*$E$123</f>
        <v>0</v>
      </c>
      <c r="F135">
        <f>-241.378*$F$123</f>
        <v>0</v>
      </c>
      <c r="G135">
        <f>-16.11*$G$123</f>
        <v>0</v>
      </c>
      <c r="H135">
        <f>0*$H$123</f>
        <v>0</v>
      </c>
      <c r="I135">
        <f>-15.242*$I$123</f>
        <v>0</v>
      </c>
      <c r="J135">
        <f>4.501*$J$123</f>
        <v>0</v>
      </c>
      <c r="K135">
        <f>-6.001*$K$123</f>
        <v>0</v>
      </c>
      <c r="L135">
        <f>0.017*$L$123</f>
        <v>0</v>
      </c>
      <c r="M135">
        <f>0+D135+E135+G135+H135+I135+J135+K135+L135</f>
        <v>0</v>
      </c>
      <c r="N135">
        <f>0+D135+F135+G135+H135+I135+J135+K135+L135</f>
        <v>0</v>
      </c>
    </row>
    <row r="136" spans="3:14">
      <c r="C136" t="s">
        <v>21</v>
      </c>
      <c r="D136">
        <f>-89.845*$D$123</f>
        <v>0</v>
      </c>
      <c r="E136">
        <f>69.176*$E$123</f>
        <v>0</v>
      </c>
      <c r="F136">
        <f>-232.296*$F$123</f>
        <v>0</v>
      </c>
      <c r="G136">
        <f>-14.094*$G$123</f>
        <v>0</v>
      </c>
      <c r="H136">
        <f>0*$H$123</f>
        <v>0</v>
      </c>
      <c r="I136">
        <f>-13.616*$I$123</f>
        <v>0</v>
      </c>
      <c r="J136">
        <f>5.92*$J$123</f>
        <v>0</v>
      </c>
      <c r="K136">
        <f>-7.894*$K$123</f>
        <v>0</v>
      </c>
      <c r="L136">
        <f>0.016*$L$123</f>
        <v>0</v>
      </c>
      <c r="M136">
        <f>0+D136+E136+G136+H136+I136+J136+K136+L136</f>
        <v>0</v>
      </c>
      <c r="N136">
        <f>0+D136+F136+G136+H136+I136+J136+K136+L136</f>
        <v>0</v>
      </c>
    </row>
    <row r="137" spans="3:14">
      <c r="C137" t="s">
        <v>21</v>
      </c>
      <c r="D137">
        <f>-88.795*$D$123</f>
        <v>0</v>
      </c>
      <c r="E137">
        <f>76.512*$E$123</f>
        <v>0</v>
      </c>
      <c r="F137">
        <f>-221.405*$F$123</f>
        <v>0</v>
      </c>
      <c r="G137">
        <f>-11.612*$G$123</f>
        <v>0</v>
      </c>
      <c r="H137">
        <f>0*$H$123</f>
        <v>0</v>
      </c>
      <c r="I137">
        <f>-12.015*$I$123</f>
        <v>0</v>
      </c>
      <c r="J137">
        <f>4.54*$J$123</f>
        <v>0</v>
      </c>
      <c r="K137">
        <f>-6.053*$K$123</f>
        <v>0</v>
      </c>
      <c r="L137">
        <f>0.016*$L$123</f>
        <v>0</v>
      </c>
      <c r="M137">
        <f>0+D137+E137+G137+H137+I137+J137+K137+L137</f>
        <v>0</v>
      </c>
      <c r="N137">
        <f>0+D137+F137+G137+H137+I137+J137+K137+L137</f>
        <v>0</v>
      </c>
    </row>
    <row r="138" spans="3:14">
      <c r="C138" t="s">
        <v>22</v>
      </c>
      <c r="D138">
        <f>-67.508*$D$123</f>
        <v>0</v>
      </c>
      <c r="E138">
        <f>82.994*$E$123</f>
        <v>0</v>
      </c>
      <c r="F138">
        <f>-212.152*$F$123</f>
        <v>0</v>
      </c>
      <c r="G138">
        <f>-9.384*$G$123</f>
        <v>0</v>
      </c>
      <c r="H138">
        <f>0*$H$123</f>
        <v>0</v>
      </c>
      <c r="I138">
        <f>-10.371*$I$123</f>
        <v>0</v>
      </c>
      <c r="J138">
        <f>3.529*$J$123</f>
        <v>0</v>
      </c>
      <c r="K138">
        <f>-4.706*$K$123</f>
        <v>0</v>
      </c>
      <c r="L138">
        <f>0.016*$L$123</f>
        <v>0</v>
      </c>
      <c r="M138">
        <f>0+D138+E138+G138+H138+I138+J138+K138+L138</f>
        <v>0</v>
      </c>
      <c r="N138">
        <f>0+D138+F138+G138+H138+I138+J138+K138+L138</f>
        <v>0</v>
      </c>
    </row>
    <row r="139" spans="3:14">
      <c r="C139" t="s">
        <v>22</v>
      </c>
      <c r="D139">
        <f>-66.233*$D$123</f>
        <v>0</v>
      </c>
      <c r="E139">
        <f>90.744*$E$123</f>
        <v>0</v>
      </c>
      <c r="F139">
        <f>-201.182*$F$123</f>
        <v>0</v>
      </c>
      <c r="G139">
        <f>-6.853*$G$123</f>
        <v>0</v>
      </c>
      <c r="H139">
        <f>0*$H$123</f>
        <v>0</v>
      </c>
      <c r="I139">
        <f>-8.749*$I$123</f>
        <v>0</v>
      </c>
      <c r="J139">
        <f>0.884*$J$123</f>
        <v>0</v>
      </c>
      <c r="K139">
        <f>-1.179*$K$123</f>
        <v>0</v>
      </c>
      <c r="L139">
        <f>0.015*$L$123</f>
        <v>0</v>
      </c>
      <c r="M139">
        <f>0+D139+E139+G139+H139+I139+J139+K139+L139</f>
        <v>0</v>
      </c>
      <c r="N139">
        <f>0+D139+F139+G139+H139+I139+J139+K139+L139</f>
        <v>0</v>
      </c>
    </row>
    <row r="140" spans="3:14">
      <c r="C140" t="s">
        <v>23</v>
      </c>
      <c r="D140">
        <f>-44.873*$D$123</f>
        <v>0</v>
      </c>
      <c r="E140">
        <f>97.397*$E$123</f>
        <v>0</v>
      </c>
      <c r="F140">
        <f>-191.616*$F$123</f>
        <v>0</v>
      </c>
      <c r="G140">
        <f>-4.525*$G$123</f>
        <v>0</v>
      </c>
      <c r="H140">
        <f>0*$H$123</f>
        <v>0</v>
      </c>
      <c r="I140">
        <f>-7.101*$I$123</f>
        <v>0</v>
      </c>
      <c r="J140">
        <f>-1.559*$J$123</f>
        <v>0</v>
      </c>
      <c r="K140">
        <f>2.079*$K$123</f>
        <v>0</v>
      </c>
      <c r="L140">
        <f>0.015*$L$123</f>
        <v>0</v>
      </c>
      <c r="M140">
        <f>0+D140+E140+G140+H140+I140+J140+K140+L140</f>
        <v>0</v>
      </c>
      <c r="N140">
        <f>0+D140+F140+G140+H140+I140+J140+K140+L140</f>
        <v>0</v>
      </c>
    </row>
    <row r="141" spans="3:14">
      <c r="C141" t="s">
        <v>23</v>
      </c>
      <c r="D141">
        <f>-43.626*$D$123</f>
        <v>0</v>
      </c>
      <c r="E141">
        <f>105.239*$E$123</f>
        <v>0</v>
      </c>
      <c r="F141">
        <f>-180.559*$F$123</f>
        <v>0</v>
      </c>
      <c r="G141">
        <f>-2.026*$G$123</f>
        <v>0</v>
      </c>
      <c r="H141">
        <f>0*$H$123</f>
        <v>0</v>
      </c>
      <c r="I141">
        <f>-5.464*$I$123</f>
        <v>0</v>
      </c>
      <c r="J141">
        <f>-4.644*$J$123</f>
        <v>0</v>
      </c>
      <c r="K141">
        <f>6.192*$K$123</f>
        <v>0</v>
      </c>
      <c r="L141">
        <f>0.014*$L$123</f>
        <v>0</v>
      </c>
      <c r="M141">
        <f>0+D141+E141+G141+H141+I141+J141+K141+L141</f>
        <v>0</v>
      </c>
      <c r="N141">
        <f>0+D141+F141+G141+H141+I141+J141+K141+L141</f>
        <v>0</v>
      </c>
    </row>
    <row r="142" spans="3:14">
      <c r="C142" t="s">
        <v>24</v>
      </c>
      <c r="D142">
        <f>-22.183*$D$123</f>
        <v>0</v>
      </c>
      <c r="E142">
        <f>111.738*$E$123</f>
        <v>0</v>
      </c>
      <c r="F142">
        <f>-170.518*$F$123</f>
        <v>0</v>
      </c>
      <c r="G142">
        <f>0.123*$G$123</f>
        <v>0</v>
      </c>
      <c r="H142">
        <f>0*$H$123</f>
        <v>0</v>
      </c>
      <c r="I142">
        <f>-3.792*$I$123</f>
        <v>0</v>
      </c>
      <c r="J142">
        <f>-6.625*$J$123</f>
        <v>0</v>
      </c>
      <c r="K142">
        <f>8.833*$K$123</f>
        <v>0</v>
      </c>
      <c r="L142">
        <f>0.014*$L$123</f>
        <v>0</v>
      </c>
      <c r="M142">
        <f>0+D142+E142+G142+H142+I142+J142+K142+L142</f>
        <v>0</v>
      </c>
      <c r="N142">
        <f>0+D142+F142+G142+H142+I142+J142+K142+L142</f>
        <v>0</v>
      </c>
    </row>
    <row r="143" spans="3:14">
      <c r="C143" t="s">
        <v>24</v>
      </c>
      <c r="D143">
        <f>-20.904*$D$123</f>
        <v>0</v>
      </c>
      <c r="E143">
        <f>119.917*$E$123</f>
        <v>0</v>
      </c>
      <c r="F143">
        <f>-159.42*$F$123</f>
        <v>0</v>
      </c>
      <c r="G143">
        <f>2.504*$G$123</f>
        <v>0</v>
      </c>
      <c r="H143">
        <f>0*$H$123</f>
        <v>0</v>
      </c>
      <c r="I143">
        <f>-2.148*$I$123</f>
        <v>0</v>
      </c>
      <c r="J143">
        <f>-9.311*$J$123</f>
        <v>0</v>
      </c>
      <c r="K143">
        <f>12.415*$K$123</f>
        <v>0</v>
      </c>
      <c r="L143">
        <f>0.013*$L$123</f>
        <v>0</v>
      </c>
      <c r="M143">
        <f>0+D143+E143+G143+H143+I143+J143+K143+L143</f>
        <v>0</v>
      </c>
      <c r="N143">
        <f>0+D143+F143+G143+H143+I143+J143+K143+L143</f>
        <v>0</v>
      </c>
    </row>
    <row r="144" spans="3:14">
      <c r="C144" t="s">
        <v>25</v>
      </c>
      <c r="D144">
        <f>0.492*$D$123</f>
        <v>0</v>
      </c>
      <c r="E144">
        <f>127.181*$E$123</f>
        <v>0</v>
      </c>
      <c r="F144">
        <f>-149.304*$F$123</f>
        <v>0</v>
      </c>
      <c r="G144">
        <f>4.365*$G$123</f>
        <v>0</v>
      </c>
      <c r="H144">
        <f>0*$H$123</f>
        <v>0</v>
      </c>
      <c r="I144">
        <f>-0.474*$I$123</f>
        <v>0</v>
      </c>
      <c r="J144">
        <f>-9.748*$J$123</f>
        <v>0</v>
      </c>
      <c r="K144">
        <f>12.998*$K$123</f>
        <v>0</v>
      </c>
      <c r="L144">
        <f>0.012*$L$123</f>
        <v>0</v>
      </c>
      <c r="M144">
        <f>0+D144+E144+G144+H144+I144+J144+K144+L144</f>
        <v>0</v>
      </c>
      <c r="N144">
        <f>0+D144+F144+G144+H144+I144+J144+K144+L144</f>
        <v>0</v>
      </c>
    </row>
    <row r="145" spans="3:14">
      <c r="C145" t="s">
        <v>25</v>
      </c>
      <c r="D145">
        <f>17.731*$D$123</f>
        <v>0</v>
      </c>
      <c r="E145">
        <f>142.684*$E$123</f>
        <v>0</v>
      </c>
      <c r="F145">
        <f>-121.162*$F$123</f>
        <v>0</v>
      </c>
      <c r="G145">
        <f>-2.861*$G$123</f>
        <v>0</v>
      </c>
      <c r="H145">
        <f>0*$H$123</f>
        <v>0</v>
      </c>
      <c r="I145">
        <f>3.058*$I$123</f>
        <v>0</v>
      </c>
      <c r="J145">
        <f>10.689*$J$123</f>
        <v>0</v>
      </c>
      <c r="K145">
        <f>-14.252*$K$123</f>
        <v>0</v>
      </c>
      <c r="L145">
        <f>0.013*$L$123</f>
        <v>0</v>
      </c>
      <c r="M145">
        <f>0+D145+E145+G145+H145+I145+J145+K145+L145</f>
        <v>0</v>
      </c>
      <c r="N145">
        <f>0+D145+F145+G145+H145+I145+J145+K145+L145</f>
        <v>0</v>
      </c>
    </row>
    <row r="146" spans="3:14">
      <c r="C146" t="s">
        <v>26</v>
      </c>
      <c r="D146">
        <f>39.136*$D$123</f>
        <v>0</v>
      </c>
      <c r="E146">
        <f>152.785*$E$123</f>
        <v>0</v>
      </c>
      <c r="F146">
        <f>-113.612*$F$123</f>
        <v>0</v>
      </c>
      <c r="G146">
        <f>-1.011*$G$123</f>
        <v>0</v>
      </c>
      <c r="H146">
        <f>0*$H$123</f>
        <v>0</v>
      </c>
      <c r="I146">
        <f>4.734*$I$123</f>
        <v>0</v>
      </c>
      <c r="J146">
        <f>10.139*$J$123</f>
        <v>0</v>
      </c>
      <c r="K146">
        <f>-13.519*$K$123</f>
        <v>0</v>
      </c>
      <c r="L146">
        <f>0.013*$L$123</f>
        <v>0</v>
      </c>
      <c r="M146">
        <f>0+D146+E146+G146+H146+I146+J146+K146+L146</f>
        <v>0</v>
      </c>
      <c r="N146">
        <f>0+D146+F146+G146+H146+I146+J146+K146+L146</f>
        <v>0</v>
      </c>
    </row>
    <row r="147" spans="3:14">
      <c r="C147" t="s">
        <v>26</v>
      </c>
      <c r="D147">
        <f>40.462*$D$123</f>
        <v>0</v>
      </c>
      <c r="E147">
        <f>163.735*$E$123</f>
        <v>0</v>
      </c>
      <c r="F147">
        <f>-104.806*$F$123</f>
        <v>0</v>
      </c>
      <c r="G147">
        <f>1.357*$G$123</f>
        <v>0</v>
      </c>
      <c r="H147">
        <f>0*$H$123</f>
        <v>0</v>
      </c>
      <c r="I147">
        <f>6.386*$I$123</f>
        <v>0</v>
      </c>
      <c r="J147">
        <f>7.308*$J$123</f>
        <v>0</v>
      </c>
      <c r="K147">
        <f>-9.743*$K$123</f>
        <v>0</v>
      </c>
      <c r="L147">
        <f>0.013*$L$123</f>
        <v>0</v>
      </c>
      <c r="M147">
        <f>0+D147+E147+G147+H147+I147+J147+K147+L147</f>
        <v>0</v>
      </c>
      <c r="N147">
        <f>0+D147+F147+G147+H147+I147+J147+K147+L147</f>
        <v>0</v>
      </c>
    </row>
    <row r="148" spans="3:14">
      <c r="C148" t="s">
        <v>27</v>
      </c>
      <c r="D148">
        <f>61.962*$D$123</f>
        <v>0</v>
      </c>
      <c r="E148">
        <f>173.678*$E$123</f>
        <v>0</v>
      </c>
      <c r="F148">
        <f>-98.414*$F$123</f>
        <v>0</v>
      </c>
      <c r="G148">
        <f>3.482*$G$123</f>
        <v>0</v>
      </c>
      <c r="H148">
        <f>0*$H$123</f>
        <v>0</v>
      </c>
      <c r="I148">
        <f>8.068*$I$123</f>
        <v>0</v>
      </c>
      <c r="J148">
        <f>5.081*$J$123</f>
        <v>0</v>
      </c>
      <c r="K148">
        <f>-6.774*$K$123</f>
        <v>0</v>
      </c>
      <c r="L148">
        <f>0.013*$L$123</f>
        <v>0</v>
      </c>
      <c r="M148">
        <f>0+D148+E148+G148+H148+I148+J148+K148+L148</f>
        <v>0</v>
      </c>
      <c r="N148">
        <f>0+D148+F148+G148+H148+I148+J148+K148+L148</f>
        <v>0</v>
      </c>
    </row>
    <row r="149" spans="3:14">
      <c r="C149" t="s">
        <v>27</v>
      </c>
      <c r="D149">
        <f>63.295*$D$123</f>
        <v>0</v>
      </c>
      <c r="E149">
        <f>184.655*$E$123</f>
        <v>0</v>
      </c>
      <c r="F149">
        <f>-90.913*$F$123</f>
        <v>0</v>
      </c>
      <c r="G149">
        <f>5.948*$G$123</f>
        <v>0</v>
      </c>
      <c r="H149">
        <f>0*$H$123</f>
        <v>0</v>
      </c>
      <c r="I149">
        <f>9.719*$I$123</f>
        <v>0</v>
      </c>
      <c r="J149">
        <f>1.656*$J$123</f>
        <v>0</v>
      </c>
      <c r="K149">
        <f>-2.209*$K$123</f>
        <v>0</v>
      </c>
      <c r="L149">
        <f>0.013*$L$123</f>
        <v>0</v>
      </c>
      <c r="M149">
        <f>0+D149+E149+G149+H149+I149+J149+K149+L149</f>
        <v>0</v>
      </c>
      <c r="N149">
        <f>0+D149+F149+G149+H149+I149+J149+K149+L149</f>
        <v>0</v>
      </c>
    </row>
    <row r="150" spans="3:14">
      <c r="C150" t="s">
        <v>28</v>
      </c>
      <c r="D150">
        <f>84.739*$D$123</f>
        <v>0</v>
      </c>
      <c r="E150">
        <f>194.316*$E$123</f>
        <v>0</v>
      </c>
      <c r="F150">
        <f>-84.683*$F$123</f>
        <v>0</v>
      </c>
      <c r="G150">
        <f>8.234*$G$123</f>
        <v>0</v>
      </c>
      <c r="H150">
        <f>0*$H$123</f>
        <v>0</v>
      </c>
      <c r="I150">
        <f>11.382*$I$123</f>
        <v>0</v>
      </c>
      <c r="J150">
        <f>-1.23*$J$123</f>
        <v>0</v>
      </c>
      <c r="K150">
        <f>1.64*$K$123</f>
        <v>0</v>
      </c>
      <c r="L150">
        <f>0.013*$L$123</f>
        <v>0</v>
      </c>
      <c r="M150">
        <f>0+D150+E150+G150+H150+I150+J150+K150+L150</f>
        <v>0</v>
      </c>
      <c r="N150">
        <f>0+D150+F150+G150+H150+I150+J150+K150+L150</f>
        <v>0</v>
      </c>
    </row>
    <row r="151" spans="3:14">
      <c r="C151" t="s">
        <v>28</v>
      </c>
      <c r="D151">
        <f>86.095*$D$123</f>
        <v>0</v>
      </c>
      <c r="E151">
        <f>205.322*$E$123</f>
        <v>0</v>
      </c>
      <c r="F151">
        <f>-77.116*$F$123</f>
        <v>0</v>
      </c>
      <c r="G151">
        <f>10.703*$G$123</f>
        <v>0</v>
      </c>
      <c r="H151">
        <f>0*$H$123</f>
        <v>0</v>
      </c>
      <c r="I151">
        <f>13.021*$I$123</f>
        <v>0</v>
      </c>
      <c r="J151">
        <f>-4.506*$J$123</f>
        <v>0</v>
      </c>
      <c r="K151">
        <f>6.007*$K$123</f>
        <v>0</v>
      </c>
      <c r="L151">
        <f>0.013*$L$123</f>
        <v>0</v>
      </c>
      <c r="M151">
        <f>0+D151+E151+G151+H151+I151+J151+K151+L151</f>
        <v>0</v>
      </c>
      <c r="N151">
        <f>0+D151+F151+G151+H151+I151+J151+K151+L151</f>
        <v>0</v>
      </c>
    </row>
    <row r="152" spans="3:14">
      <c r="C152" t="s">
        <v>29</v>
      </c>
      <c r="D152">
        <f>107.399*$D$123</f>
        <v>0</v>
      </c>
      <c r="E152">
        <f>214.829*$E$123</f>
        <v>0</v>
      </c>
      <c r="F152">
        <f>-71.085*$F$123</f>
        <v>0</v>
      </c>
      <c r="G152">
        <f>12.841*$G$123</f>
        <v>0</v>
      </c>
      <c r="H152">
        <f>0*$H$123</f>
        <v>0</v>
      </c>
      <c r="I152">
        <f>14.673*$I$123</f>
        <v>0</v>
      </c>
      <c r="J152">
        <f>-6.412*$J$123</f>
        <v>0</v>
      </c>
      <c r="K152">
        <f>8.549*$K$123</f>
        <v>0</v>
      </c>
      <c r="L152">
        <f>0.013*$L$123</f>
        <v>0</v>
      </c>
      <c r="M152">
        <f>0+D152+E152+G152+H152+I152+J152+K152+L152</f>
        <v>0</v>
      </c>
      <c r="N152">
        <f>0+D152+F152+G152+H152+I152+J152+K152+L152</f>
        <v>0</v>
      </c>
    </row>
    <row r="153" spans="3:14">
      <c r="C153" t="s">
        <v>29</v>
      </c>
      <c r="D153">
        <f>108.474*$D$123</f>
        <v>0</v>
      </c>
      <c r="E153">
        <f>225.847*$E$123</f>
        <v>0</v>
      </c>
      <c r="F153">
        <f>-63.671*$F$123</f>
        <v>0</v>
      </c>
      <c r="G153">
        <f>15.223*$G$123</f>
        <v>0</v>
      </c>
      <c r="H153">
        <f>0*$H$123</f>
        <v>0</v>
      </c>
      <c r="I153">
        <f>16.285*$I$123</f>
        <v>0</v>
      </c>
      <c r="J153">
        <f>-8.806*$J$123</f>
        <v>0</v>
      </c>
      <c r="K153">
        <f>11.741*$K$123</f>
        <v>0</v>
      </c>
      <c r="L153">
        <f>0.013*$L$123</f>
        <v>0</v>
      </c>
      <c r="M153">
        <f>0+D153+E153+G153+H153+I153+J153+K153+L153</f>
        <v>0</v>
      </c>
      <c r="N153">
        <f>0+D153+F153+G153+H153+I153+J153+K153+L153</f>
        <v>0</v>
      </c>
    </row>
    <row r="154" spans="3:14">
      <c r="C154" t="s">
        <v>30</v>
      </c>
      <c r="D154">
        <f>129.533*$D$123</f>
        <v>0</v>
      </c>
      <c r="E154">
        <f>235.266*$E$123</f>
        <v>0</v>
      </c>
      <c r="F154">
        <f>-58.001*$F$123</f>
        <v>0</v>
      </c>
      <c r="G154">
        <f>17.112*$G$123</f>
        <v>0</v>
      </c>
      <c r="H154">
        <f>0*$H$123</f>
        <v>0</v>
      </c>
      <c r="I154">
        <f>17.91*$I$123</f>
        <v>0</v>
      </c>
      <c r="J154">
        <f>-8.76*$J$123</f>
        <v>0</v>
      </c>
      <c r="K154">
        <f>11.68*$K$123</f>
        <v>0</v>
      </c>
      <c r="L154">
        <f>0.012*$L$123</f>
        <v>0</v>
      </c>
      <c r="M154">
        <f>0+D154+E154+G154+H154+I154+J154+K154+L154</f>
        <v>0</v>
      </c>
      <c r="N154">
        <f>0+D154+F154+G154+H154+I154+J154+K154+L154</f>
        <v>0</v>
      </c>
    </row>
    <row r="155" spans="3:14">
      <c r="C155" t="s">
        <v>30</v>
      </c>
      <c r="D155">
        <f>135.706*$D$123</f>
        <v>0</v>
      </c>
      <c r="E155">
        <f>262.902*$E$123</f>
        <v>0</v>
      </c>
      <c r="F155">
        <f>-59.127*$F$123</f>
        <v>0</v>
      </c>
      <c r="G155">
        <f>10.46*$G$123</f>
        <v>0</v>
      </c>
      <c r="H155">
        <f>0*$H$123</f>
        <v>0</v>
      </c>
      <c r="I155">
        <f>19.784*$I$123</f>
        <v>0</v>
      </c>
      <c r="J155">
        <f>24.008*$J$123</f>
        <v>0</v>
      </c>
      <c r="K155">
        <f>-32.011*$K$123</f>
        <v>0</v>
      </c>
      <c r="L155">
        <f>0.014*$L$123</f>
        <v>0</v>
      </c>
      <c r="M155">
        <f>0+D155+E155+G155+H155+I155+J155+K155+L155</f>
        <v>0</v>
      </c>
      <c r="N155">
        <f>0+D155+F155+G155+H155+I155+J155+K155+L155</f>
        <v>0</v>
      </c>
    </row>
    <row r="156" spans="3:14">
      <c r="C156" t="s">
        <v>31</v>
      </c>
      <c r="D156">
        <f>154.512*$D$123</f>
        <v>0</v>
      </c>
      <c r="E156">
        <f>272.913*$E$123</f>
        <v>0</v>
      </c>
      <c r="F156">
        <f>-54.473*$F$123</f>
        <v>0</v>
      </c>
      <c r="G156">
        <f>12.152*$G$123</f>
        <v>0</v>
      </c>
      <c r="H156">
        <f>0*$H$123</f>
        <v>0</v>
      </c>
      <c r="I156">
        <f>21.213*$I$123</f>
        <v>0</v>
      </c>
      <c r="J156">
        <f>24.921*$J$123</f>
        <v>0</v>
      </c>
      <c r="K156">
        <f>-33.228*$K$123</f>
        <v>0</v>
      </c>
      <c r="L156">
        <f>0.014*$L$123</f>
        <v>0</v>
      </c>
      <c r="M156">
        <f>0+D156+E156+G156+H156+I156+J156+K156+L156</f>
        <v>0</v>
      </c>
      <c r="N156">
        <f>0+D156+F156+G156+H156+I156+J156+K156+L156</f>
        <v>0</v>
      </c>
    </row>
    <row r="157" spans="3:14">
      <c r="C157" t="s">
        <v>31</v>
      </c>
      <c r="D157">
        <f>148.95*$D$123</f>
        <v>0</v>
      </c>
      <c r="E157">
        <f>275.266*$E$123</f>
        <v>0</v>
      </c>
      <c r="F157">
        <f>-50.978*$F$123</f>
        <v>0</v>
      </c>
      <c r="G157">
        <f>13.638*$G$123</f>
        <v>0</v>
      </c>
      <c r="H157">
        <f>0*$H$123</f>
        <v>0</v>
      </c>
      <c r="I157">
        <f>21.735*$I$123</f>
        <v>0</v>
      </c>
      <c r="J157">
        <f>14.662*$J$123</f>
        <v>0</v>
      </c>
      <c r="K157">
        <f>-19.549*$K$123</f>
        <v>0</v>
      </c>
      <c r="L157">
        <f>0.014*$L$123</f>
        <v>0</v>
      </c>
      <c r="M157">
        <f>0+D157+E157+G157+H157+I157+J157+K157+L157</f>
        <v>0</v>
      </c>
      <c r="N157">
        <f>0+D157+F157+G157+H157+I157+J157+K157+L157</f>
        <v>0</v>
      </c>
    </row>
    <row r="158" spans="3:14">
      <c r="C158" t="s">
        <v>32</v>
      </c>
      <c r="D158">
        <f>167.494*$D$123</f>
        <v>0</v>
      </c>
      <c r="E158">
        <f>285.261*$E$123</f>
        <v>0</v>
      </c>
      <c r="F158">
        <f>-45.147*$F$123</f>
        <v>0</v>
      </c>
      <c r="G158">
        <f>15.574*$G$123</f>
        <v>0</v>
      </c>
      <c r="H158">
        <f>0*$H$123</f>
        <v>0</v>
      </c>
      <c r="I158">
        <f>23.119*$I$123</f>
        <v>0</v>
      </c>
      <c r="J158">
        <f>14.513*$J$123</f>
        <v>0</v>
      </c>
      <c r="K158">
        <f>-19.351*$K$123</f>
        <v>0</v>
      </c>
      <c r="L158">
        <f>0.015*$L$123</f>
        <v>0</v>
      </c>
      <c r="M158">
        <f>0+D158+E158+G158+H158+I158+J158+K158+L158</f>
        <v>0</v>
      </c>
      <c r="N158">
        <f>0+D158+F158+G158+H158+I158+J158+K158+L158</f>
        <v>0</v>
      </c>
    </row>
    <row r="159" spans="3:14">
      <c r="C159" t="s">
        <v>32</v>
      </c>
      <c r="D159">
        <f>168.294*$D$123</f>
        <v>0</v>
      </c>
      <c r="E159">
        <f>297.579*$E$123</f>
        <v>0</v>
      </c>
      <c r="F159">
        <f>-37.677*$F$123</f>
        <v>0</v>
      </c>
      <c r="G159">
        <f>17.933*$G$123</f>
        <v>0</v>
      </c>
      <c r="H159">
        <f>0*$H$123</f>
        <v>0</v>
      </c>
      <c r="I159">
        <f>24.557*$I$123</f>
        <v>0</v>
      </c>
      <c r="J159">
        <f>12.364*$J$123</f>
        <v>0</v>
      </c>
      <c r="K159">
        <f>-16.485*$K$123</f>
        <v>0</v>
      </c>
      <c r="L159">
        <f>0.014*$L$123</f>
        <v>0</v>
      </c>
      <c r="M159">
        <f>0+D159+E159+G159+H159+I159+J159+K159+L159</f>
        <v>0</v>
      </c>
      <c r="N159">
        <f>0+D159+F159+G159+H159+I159+J159+K159+L159</f>
        <v>0</v>
      </c>
    </row>
    <row r="160" spans="3:14">
      <c r="C160" t="s">
        <v>33</v>
      </c>
      <c r="D160">
        <f>186.427*$D$123</f>
        <v>0</v>
      </c>
      <c r="E160">
        <f>307.294*$E$123</f>
        <v>0</v>
      </c>
      <c r="F160">
        <f>-32.053*$F$123</f>
        <v>0</v>
      </c>
      <c r="G160">
        <f>20.047*$G$123</f>
        <v>0</v>
      </c>
      <c r="H160">
        <f>0*$H$123</f>
        <v>0</v>
      </c>
      <c r="I160">
        <f>25.871*$I$123</f>
        <v>0</v>
      </c>
      <c r="J160">
        <f>12.044*$J$123</f>
        <v>0</v>
      </c>
      <c r="K160">
        <f>-16.059*$K$123</f>
        <v>0</v>
      </c>
      <c r="L160">
        <f>0.014*$L$123</f>
        <v>0</v>
      </c>
      <c r="M160">
        <f>0+D160+E160+G160+H160+I160+J160+K160+L160</f>
        <v>0</v>
      </c>
      <c r="N160">
        <f>0+D160+F160+G160+H160+I160+J160+K160+L160</f>
        <v>0</v>
      </c>
    </row>
    <row r="161" spans="3:14">
      <c r="C161" t="s">
        <v>33</v>
      </c>
      <c r="D161">
        <f>187.647*$D$123</f>
        <v>0</v>
      </c>
      <c r="E161">
        <f>320.953*$E$123</f>
        <v>0</v>
      </c>
      <c r="F161">
        <f>-27.596*$F$123</f>
        <v>0</v>
      </c>
      <c r="G161">
        <f>22.583*$G$123</f>
        <v>0</v>
      </c>
      <c r="H161">
        <f>0*$H$123</f>
        <v>0</v>
      </c>
      <c r="I161">
        <f>27.369*$I$123</f>
        <v>0</v>
      </c>
      <c r="J161">
        <f>11.84*$J$123</f>
        <v>0</v>
      </c>
      <c r="K161">
        <f>-15.787*$K$123</f>
        <v>0</v>
      </c>
      <c r="L161">
        <f>0.013*$L$123</f>
        <v>0</v>
      </c>
      <c r="M161">
        <f>0+D161+E161+G161+H161+I161+J161+K161+L161</f>
        <v>0</v>
      </c>
      <c r="N161">
        <f>0+D161+F161+G161+H161+I161+J161+K161+L161</f>
        <v>0</v>
      </c>
    </row>
    <row r="162" spans="3:14">
      <c r="C162" t="s">
        <v>34</v>
      </c>
      <c r="D162">
        <f>204.877*$D$123</f>
        <v>0</v>
      </c>
      <c r="E162">
        <f>330.477*$E$123</f>
        <v>0</v>
      </c>
      <c r="F162">
        <f>-24.949*$F$123</f>
        <v>0</v>
      </c>
      <c r="G162">
        <f>24.663*$G$123</f>
        <v>0</v>
      </c>
      <c r="H162">
        <f>0*$H$123</f>
        <v>0</v>
      </c>
      <c r="I162">
        <f>28.56*$I$123</f>
        <v>0</v>
      </c>
      <c r="J162">
        <f>13.764*$J$123</f>
        <v>0</v>
      </c>
      <c r="K162">
        <f>-18.352*$K$123</f>
        <v>0</v>
      </c>
      <c r="L162">
        <f>0.012*$L$123</f>
        <v>0</v>
      </c>
      <c r="M162">
        <f>0+D162+E162+G162+H162+I162+J162+K162+L162</f>
        <v>0</v>
      </c>
      <c r="N162">
        <f>0+D162+F162+G162+H162+I162+J162+K162+L162</f>
        <v>0</v>
      </c>
    </row>
    <row r="163" spans="3:14">
      <c r="C163" t="s">
        <v>34</v>
      </c>
      <c r="D163">
        <f>205.508*$D$123</f>
        <v>0</v>
      </c>
      <c r="E163">
        <f>344.604*$E$123</f>
        <v>0</v>
      </c>
      <c r="F163">
        <f>-20.889*$F$123</f>
        <v>0</v>
      </c>
      <c r="G163">
        <f>27.309*$G$123</f>
        <v>0</v>
      </c>
      <c r="H163">
        <f>0*$H$123</f>
        <v>0</v>
      </c>
      <c r="I163">
        <f>29.955*$I$123</f>
        <v>0</v>
      </c>
      <c r="J163">
        <f>16.163*$J$123</f>
        <v>0</v>
      </c>
      <c r="K163">
        <f>-21.55*$K$123</f>
        <v>0</v>
      </c>
      <c r="L163">
        <f>0.01*$L$123</f>
        <v>0</v>
      </c>
      <c r="M163">
        <f>0+D163+E163+G163+H163+I163+J163+K163+L163</f>
        <v>0</v>
      </c>
      <c r="N163">
        <f>0+D163+F163+G163+H163+I163+J163+K163+L163</f>
        <v>0</v>
      </c>
    </row>
    <row r="164" spans="3:14">
      <c r="C164" t="s">
        <v>35</v>
      </c>
      <c r="D164">
        <f>221.008*$D$123</f>
        <v>0</v>
      </c>
      <c r="E164">
        <f>354.269*$E$123</f>
        <v>0</v>
      </c>
      <c r="F164">
        <f>-18.083*$F$123</f>
        <v>0</v>
      </c>
      <c r="G164">
        <f>29.354*$G$123</f>
        <v>0</v>
      </c>
      <c r="H164">
        <f>0*$H$123</f>
        <v>0</v>
      </c>
      <c r="I164">
        <f>30.906*$I$123</f>
        <v>0</v>
      </c>
      <c r="J164">
        <f>23.815*$J$123</f>
        <v>0</v>
      </c>
      <c r="K164">
        <f>-31.754*$K$123</f>
        <v>0</v>
      </c>
      <c r="L164">
        <f>0.008836*$L$123</f>
        <v>0</v>
      </c>
      <c r="M164">
        <f>0+D164+E164+G164+H164+I164+J164+K164+L164</f>
        <v>0</v>
      </c>
      <c r="N164">
        <f>0+D164+F164+G164+H164+I164+J164+K164+L164</f>
        <v>0</v>
      </c>
    </row>
    <row r="165" spans="3:14">
      <c r="C165" t="s">
        <v>35</v>
      </c>
      <c r="D165">
        <f>0.562*$D$123</f>
        <v>0</v>
      </c>
      <c r="E165">
        <f>41.764*$E$123</f>
        <v>0</v>
      </c>
      <c r="F165">
        <f>-145.671*$F$123</f>
        <v>0</v>
      </c>
      <c r="G165">
        <f>-2.08*$G$123</f>
        <v>0</v>
      </c>
      <c r="H165">
        <f>0*$H$123</f>
        <v>0</v>
      </c>
      <c r="I165">
        <f>0.774*$I$123</f>
        <v>0</v>
      </c>
      <c r="J165">
        <f>-33.504*$J$123</f>
        <v>0</v>
      </c>
      <c r="K165">
        <f>44.671*$K$123</f>
        <v>0</v>
      </c>
      <c r="L165">
        <f>-0.018*$L$123</f>
        <v>0</v>
      </c>
      <c r="M165">
        <f>0+D165+E165+G165+H165+I165+J165+K165+L165</f>
        <v>0</v>
      </c>
      <c r="N165">
        <f>0+D165+F165+G165+H165+I165+J165+K165+L165</f>
        <v>0</v>
      </c>
    </row>
    <row r="166" spans="3:14">
      <c r="C166" t="s">
        <v>36</v>
      </c>
      <c r="D166">
        <f>9.7*$D$123</f>
        <v>0</v>
      </c>
      <c r="E166">
        <f>41.764*$E$123</f>
        <v>0</v>
      </c>
      <c r="F166">
        <f>-145.671*$F$123</f>
        <v>0</v>
      </c>
      <c r="G166">
        <f>-2.08*$G$123</f>
        <v>0</v>
      </c>
      <c r="H166">
        <f>0*$H$123</f>
        <v>0</v>
      </c>
      <c r="I166">
        <f>0.774*$I$123</f>
        <v>0</v>
      </c>
      <c r="J166">
        <f>-33.504*$J$123</f>
        <v>0</v>
      </c>
      <c r="K166">
        <f>44.671*$K$123</f>
        <v>0</v>
      </c>
      <c r="L166">
        <f>-0.018*$L$123</f>
        <v>0</v>
      </c>
      <c r="M166">
        <f>0+D166+E166+G166+H166+I166+J166+K166+L166</f>
        <v>0</v>
      </c>
      <c r="N166">
        <f>0+D166+F166+G166+H166+I166+J166+K166+L166</f>
        <v>0</v>
      </c>
    </row>
    <row r="167" spans="3:14">
      <c r="C167" t="s">
        <v>36</v>
      </c>
      <c r="D167">
        <f>-9.275*$D$123</f>
        <v>0</v>
      </c>
      <c r="E167">
        <f>32.303*$E$123</f>
        <v>0</v>
      </c>
      <c r="F167">
        <f>-45.256*$F$123</f>
        <v>0</v>
      </c>
      <c r="G167">
        <f>1.893*$G$123</f>
        <v>0</v>
      </c>
      <c r="H167">
        <f>0*$H$123</f>
        <v>0</v>
      </c>
      <c r="I167">
        <f>-0.701*$I$123</f>
        <v>0</v>
      </c>
      <c r="J167">
        <f>31.601*$J$123</f>
        <v>0</v>
      </c>
      <c r="K167">
        <f>-42.135*$K$123</f>
        <v>0</v>
      </c>
      <c r="L167">
        <f>-0.55*$L$123</f>
        <v>0</v>
      </c>
      <c r="M167">
        <f>0+D167+E167+G167+H167+I167+J167+K167+L167</f>
        <v>0</v>
      </c>
      <c r="N167">
        <f>0+D167+F167+G167+H167+I167+J167+K167+L167</f>
        <v>0</v>
      </c>
    </row>
    <row r="168" spans="3:14">
      <c r="C168" t="s">
        <v>37</v>
      </c>
      <c r="D168">
        <f>-0.137*$D$123</f>
        <v>0</v>
      </c>
      <c r="E168">
        <f>32.303*$E$123</f>
        <v>0</v>
      </c>
      <c r="F168">
        <f>-45.256*$F$123</f>
        <v>0</v>
      </c>
      <c r="G168">
        <f>1.893*$G$123</f>
        <v>0</v>
      </c>
      <c r="H168">
        <f>0*$H$123</f>
        <v>0</v>
      </c>
      <c r="I168">
        <f>-0.701*$I$123</f>
        <v>0</v>
      </c>
      <c r="J168">
        <f>31.601*$J$123</f>
        <v>0</v>
      </c>
      <c r="K168">
        <f>-42.135*$K$123</f>
        <v>0</v>
      </c>
      <c r="L168">
        <f>-0.55*$L$123</f>
        <v>0</v>
      </c>
      <c r="M168">
        <f>0+D168+E168+G168+H168+I168+J168+K168+L168</f>
        <v>0</v>
      </c>
      <c r="N168">
        <f>0+D168+F168+G168+H168+I168+J168+K168+L168</f>
        <v>0</v>
      </c>
    </row>
    <row r="169" spans="3:14">
      <c r="C169" t="s">
        <v>37</v>
      </c>
      <c r="D169">
        <f>-209.203*$D$123</f>
        <v>0</v>
      </c>
      <c r="E169">
        <f>21.19*$E$123</f>
        <v>0</v>
      </c>
      <c r="F169">
        <f>-346.058*$F$123</f>
        <v>0</v>
      </c>
      <c r="G169">
        <f>-29.191*$G$123</f>
        <v>0</v>
      </c>
      <c r="H169">
        <f>0*$H$123</f>
        <v>0</v>
      </c>
      <c r="I169">
        <f>-29.188*$I$123</f>
        <v>0</v>
      </c>
      <c r="J169">
        <f>-29.8*$J$123</f>
        <v>0</v>
      </c>
      <c r="K169">
        <f>39.733*$K$123</f>
        <v>0</v>
      </c>
      <c r="L169">
        <f>0.908*$L$123</f>
        <v>0</v>
      </c>
      <c r="M169">
        <f>0+D169+E169+G169+H169+I169+J169+K169+L169</f>
        <v>0</v>
      </c>
      <c r="N169">
        <f>0+D169+F169+G169+H169+I169+J169+K169+L169</f>
        <v>0</v>
      </c>
    </row>
    <row r="170" spans="3:14">
      <c r="C170" t="s">
        <v>38</v>
      </c>
      <c r="D170">
        <f>-194.066*$D$123</f>
        <v>0</v>
      </c>
      <c r="E170">
        <f>24.456*$E$123</f>
        <v>0</v>
      </c>
      <c r="F170">
        <f>-337.283*$F$123</f>
        <v>0</v>
      </c>
      <c r="G170">
        <f>-27.116*$G$123</f>
        <v>0</v>
      </c>
      <c r="H170">
        <f>0*$H$123</f>
        <v>0</v>
      </c>
      <c r="I170">
        <f>-28.291*$I$123</f>
        <v>0</v>
      </c>
      <c r="J170">
        <f>-21.723*$J$123</f>
        <v>0</v>
      </c>
      <c r="K170">
        <f>28.964*$K$123</f>
        <v>0</v>
      </c>
      <c r="L170">
        <f>0.907*$L$123</f>
        <v>0</v>
      </c>
      <c r="M170">
        <f>0+D170+E170+G170+H170+I170+J170+K170+L170</f>
        <v>0</v>
      </c>
      <c r="N170">
        <f>0+D170+F170+G170+H170+I170+J170+K170+L170</f>
        <v>0</v>
      </c>
    </row>
    <row r="171" spans="3:14">
      <c r="C171" t="s">
        <v>38</v>
      </c>
      <c r="D171">
        <f>-193.847*$D$123</f>
        <v>0</v>
      </c>
      <c r="E171">
        <f>29.095*$E$123</f>
        <v>0</v>
      </c>
      <c r="F171">
        <f>-324.253*$F$123</f>
        <v>0</v>
      </c>
      <c r="G171">
        <f>-24.439*$G$123</f>
        <v>0</v>
      </c>
      <c r="H171">
        <f>0*$H$123</f>
        <v>0</v>
      </c>
      <c r="I171">
        <f>-26.957*$I$123</f>
        <v>0</v>
      </c>
      <c r="J171">
        <f>-18.846*$J$123</f>
        <v>0</v>
      </c>
      <c r="K171">
        <f>25.128*$K$123</f>
        <v>0</v>
      </c>
      <c r="L171">
        <f>0.921*$L$123</f>
        <v>0</v>
      </c>
      <c r="M171">
        <f>0+D171+E171+G171+H171+I171+J171+K171+L171</f>
        <v>0</v>
      </c>
      <c r="N171">
        <f>0+D171+F171+G171+H171+I171+J171+K171+L171</f>
        <v>0</v>
      </c>
    </row>
    <row r="172" spans="3:14">
      <c r="C172" t="s">
        <v>39</v>
      </c>
      <c r="D172">
        <f>-176.953*$D$123</f>
        <v>0</v>
      </c>
      <c r="E172">
        <f>32.144*$E$123</f>
        <v>0</v>
      </c>
      <c r="F172">
        <f>-315.665*$F$123</f>
        <v>0</v>
      </c>
      <c r="G172">
        <f>-22.313*$G$123</f>
        <v>0</v>
      </c>
      <c r="H172">
        <f>0*$H$123</f>
        <v>0</v>
      </c>
      <c r="I172">
        <f>-25.818*$I$123</f>
        <v>0</v>
      </c>
      <c r="J172">
        <f>-16.369*$J$123</f>
        <v>0</v>
      </c>
      <c r="K172">
        <f>21.825*$K$123</f>
        <v>0</v>
      </c>
      <c r="L172">
        <f>0.933*$L$123</f>
        <v>0</v>
      </c>
      <c r="M172">
        <f>0+D172+E172+G172+H172+I172+J172+K172+L172</f>
        <v>0</v>
      </c>
      <c r="N172">
        <f>0+D172+F172+G172+H172+I172+J172+K172+L172</f>
        <v>0</v>
      </c>
    </row>
    <row r="173" spans="3:14">
      <c r="C173" t="s">
        <v>39</v>
      </c>
      <c r="D173">
        <f>-176.101*$D$123</f>
        <v>0</v>
      </c>
      <c r="E173">
        <f>36.826*$E$123</f>
        <v>0</v>
      </c>
      <c r="F173">
        <f>-303.01*$F$123</f>
        <v>0</v>
      </c>
      <c r="G173">
        <f>-19.742*$G$123</f>
        <v>0</v>
      </c>
      <c r="H173">
        <f>0*$H$123</f>
        <v>0</v>
      </c>
      <c r="I173">
        <f>-24.375*$I$123</f>
        <v>0</v>
      </c>
      <c r="J173">
        <f>-16.063*$J$123</f>
        <v>0</v>
      </c>
      <c r="K173">
        <f>21.417*$K$123</f>
        <v>0</v>
      </c>
      <c r="L173">
        <f>0.94*$L$123</f>
        <v>0</v>
      </c>
      <c r="M173">
        <f>0+D173+E173+G173+H173+I173+J173+K173+L173</f>
        <v>0</v>
      </c>
      <c r="N173">
        <f>0+D173+F173+G173+H173+I173+J173+K173+L173</f>
        <v>0</v>
      </c>
    </row>
    <row r="174" spans="3:14">
      <c r="C174" t="s">
        <v>40</v>
      </c>
      <c r="D174">
        <f>-158.205*$D$123</f>
        <v>0</v>
      </c>
      <c r="E174">
        <f>41.774*$E$123</f>
        <v>0</v>
      </c>
      <c r="F174">
        <f>-294.068*$F$123</f>
        <v>0</v>
      </c>
      <c r="G174">
        <f>-17.591*$G$123</f>
        <v>0</v>
      </c>
      <c r="H174">
        <f>0*$H$123</f>
        <v>0</v>
      </c>
      <c r="I174">
        <f>-23.097*$I$123</f>
        <v>0</v>
      </c>
      <c r="J174">
        <f>-15.938*$J$123</f>
        <v>0</v>
      </c>
      <c r="K174">
        <f>21.251*$K$123</f>
        <v>0</v>
      </c>
      <c r="L174">
        <f>0.944*$L$123</f>
        <v>0</v>
      </c>
      <c r="M174">
        <f>0+D174+E174+G174+H174+I174+J174+K174+L174</f>
        <v>0</v>
      </c>
      <c r="N174">
        <f>0+D174+F174+G174+H174+I174+J174+K174+L174</f>
        <v>0</v>
      </c>
    </row>
    <row r="175" spans="3:14">
      <c r="C175" t="s">
        <v>40</v>
      </c>
      <c r="D175">
        <f>-157.659*$D$123</f>
        <v>0</v>
      </c>
      <c r="E175">
        <f>48.981*$E$123</f>
        <v>0</v>
      </c>
      <c r="F175">
        <f>-282.487*$F$123</f>
        <v>0</v>
      </c>
      <c r="G175">
        <f>-15.198*$G$123</f>
        <v>0</v>
      </c>
      <c r="H175">
        <f>0*$H$123</f>
        <v>0</v>
      </c>
      <c r="I175">
        <f>-21.699*$I$123</f>
        <v>0</v>
      </c>
      <c r="J175">
        <f>-17.651*$J$123</f>
        <v>0</v>
      </c>
      <c r="K175">
        <f>23.535*$K$123</f>
        <v>0</v>
      </c>
      <c r="L175">
        <f>0.946*$L$123</f>
        <v>0</v>
      </c>
      <c r="M175">
        <f>0+D175+E175+G175+H175+I175+J175+K175+L175</f>
        <v>0</v>
      </c>
      <c r="N175">
        <f>0+D175+F175+G175+H175+I175+J175+K175+L175</f>
        <v>0</v>
      </c>
    </row>
    <row r="176" spans="3:14">
      <c r="C176" t="s">
        <v>41</v>
      </c>
      <c r="D176">
        <f>-139.284*$D$123</f>
        <v>0</v>
      </c>
      <c r="E176">
        <f>54.496*$E$123</f>
        <v>0</v>
      </c>
      <c r="F176">
        <f>-273.035*$F$123</f>
        <v>0</v>
      </c>
      <c r="G176">
        <f>-13.23*$G$123</f>
        <v>0</v>
      </c>
      <c r="H176">
        <f>0*$H$123</f>
        <v>0</v>
      </c>
      <c r="I176">
        <f>-20.341*$I$123</f>
        <v>0</v>
      </c>
      <c r="J176">
        <f>-17.433*$J$123</f>
        <v>0</v>
      </c>
      <c r="K176">
        <f>23.244*$K$123</f>
        <v>0</v>
      </c>
      <c r="L176">
        <f>0.941*$L$123</f>
        <v>0</v>
      </c>
      <c r="M176">
        <f>0+D176+E176+G176+H176+I176+J176+K176+L176</f>
        <v>0</v>
      </c>
      <c r="N176">
        <f>0+D176+F176+G176+H176+I176+J176+K176+L176</f>
        <v>0</v>
      </c>
    </row>
    <row r="177" spans="3:14">
      <c r="C177" t="s">
        <v>41</v>
      </c>
      <c r="D177">
        <f>-144.853*$D$123</f>
        <v>0</v>
      </c>
      <c r="E177">
        <f>57.678*$E$123</f>
        <v>0</v>
      </c>
      <c r="F177">
        <f>-271.103*$F$123</f>
        <v>0</v>
      </c>
      <c r="G177">
        <f>-11.68*$G$123</f>
        <v>0</v>
      </c>
      <c r="H177">
        <f>0*$H$123</f>
        <v>0</v>
      </c>
      <c r="I177">
        <f>-19.824*$I$123</f>
        <v>0</v>
      </c>
      <c r="J177">
        <f>-27.172*$J$123</f>
        <v>0</v>
      </c>
      <c r="K177">
        <f>36.229*$K$123</f>
        <v>0</v>
      </c>
      <c r="L177">
        <f>0.924*$L$123</f>
        <v>0</v>
      </c>
      <c r="M177">
        <f>0+D177+E177+G177+H177+I177+J177+K177+L177</f>
        <v>0</v>
      </c>
      <c r="N177">
        <f>0+D177+F177+G177+H177+I177+J177+K177+L177</f>
        <v>0</v>
      </c>
    </row>
    <row r="178" spans="3:14">
      <c r="C178" t="s">
        <v>42</v>
      </c>
      <c r="D178">
        <f>-126.158*$D$123</f>
        <v>0</v>
      </c>
      <c r="E178">
        <f>62.047*$E$123</f>
        <v>0</v>
      </c>
      <c r="F178">
        <f>-261.469*$F$123</f>
        <v>0</v>
      </c>
      <c r="G178">
        <f>-9.961*$G$123</f>
        <v>0</v>
      </c>
      <c r="H178">
        <f>0*$H$123</f>
        <v>0</v>
      </c>
      <c r="I178">
        <f>-18.412*$I$123</f>
        <v>0</v>
      </c>
      <c r="J178">
        <f>-25.956*$J$123</f>
        <v>0</v>
      </c>
      <c r="K178">
        <f>34.608*$K$123</f>
        <v>0</v>
      </c>
      <c r="L178">
        <f>0.923*$L$123</f>
        <v>0</v>
      </c>
      <c r="M178">
        <f>0+D178+E178+G178+H178+I178+J178+K178+L178</f>
        <v>0</v>
      </c>
      <c r="N178">
        <f>0+D178+F178+G178+H178+I178+J178+K178+L178</f>
        <v>0</v>
      </c>
    </row>
    <row r="179" spans="3:14">
      <c r="C179" t="s">
        <v>42</v>
      </c>
      <c r="D179">
        <f>-120.978*$D$123</f>
        <v>0</v>
      </c>
      <c r="E179">
        <f>55.359*$E$123</f>
        <v>0</v>
      </c>
      <c r="F179">
        <f>-233.697*$F$123</f>
        <v>0</v>
      </c>
      <c r="G179">
        <f>-16.41*$G$123</f>
        <v>0</v>
      </c>
      <c r="H179">
        <f>0*$H$123</f>
        <v>0</v>
      </c>
      <c r="I179">
        <f>-16.695*$I$123</f>
        <v>0</v>
      </c>
      <c r="J179">
        <f>9.139*$J$123</f>
        <v>0</v>
      </c>
      <c r="K179">
        <f>-12.186*$K$123</f>
        <v>0</v>
      </c>
      <c r="L179">
        <f>1.188*$L$123</f>
        <v>0</v>
      </c>
      <c r="M179">
        <f>0+D179+E179+G179+H179+I179+J179+K179+L179</f>
        <v>0</v>
      </c>
      <c r="N179">
        <f>0+D179+F179+G179+H179+I179+J179+K179+L179</f>
        <v>0</v>
      </c>
    </row>
    <row r="180" spans="3:14">
      <c r="C180" t="s">
        <v>43</v>
      </c>
      <c r="D180">
        <f>-99.976*$D$123</f>
        <v>0</v>
      </c>
      <c r="E180">
        <f>60.968*$E$123</f>
        <v>0</v>
      </c>
      <c r="F180">
        <f>-224.31*$F$123</f>
        <v>0</v>
      </c>
      <c r="G180">
        <f>-14.495*$G$123</f>
        <v>0</v>
      </c>
      <c r="H180">
        <f>0*$H$123</f>
        <v>0</v>
      </c>
      <c r="I180">
        <f>-15.081*$I$123</f>
        <v>0</v>
      </c>
      <c r="J180">
        <f>9.471*$J$123</f>
        <v>0</v>
      </c>
      <c r="K180">
        <f>-12.628*$K$123</f>
        <v>0</v>
      </c>
      <c r="L180">
        <f>1.22*$L$123</f>
        <v>0</v>
      </c>
      <c r="M180">
        <f>0+D180+E180+G180+H180+I180+J180+K180+L180</f>
        <v>0</v>
      </c>
      <c r="N180">
        <f>0+D180+F180+G180+H180+I180+J180+K180+L180</f>
        <v>0</v>
      </c>
    </row>
    <row r="181" spans="3:14">
      <c r="C181" t="s">
        <v>43</v>
      </c>
      <c r="D181">
        <f>-98.935*$D$123</f>
        <v>0</v>
      </c>
      <c r="E181">
        <f>68.462*$E$123</f>
        <v>0</v>
      </c>
      <c r="F181">
        <f>-213.337*$F$123</f>
        <v>0</v>
      </c>
      <c r="G181">
        <f>-12.087*$G$123</f>
        <v>0</v>
      </c>
      <c r="H181">
        <f>0*$H$123</f>
        <v>0</v>
      </c>
      <c r="I181">
        <f>-13.476*$I$123</f>
        <v>0</v>
      </c>
      <c r="J181">
        <f>7.354*$J$123</f>
        <v>0</v>
      </c>
      <c r="K181">
        <f>-9.805*$K$123</f>
        <v>0</v>
      </c>
      <c r="L181">
        <f>1.247*$L$123</f>
        <v>0</v>
      </c>
      <c r="M181">
        <f>0+D181+E181+G181+H181+I181+J181+K181+L181</f>
        <v>0</v>
      </c>
      <c r="N181">
        <f>0+D181+F181+G181+H181+I181+J181+K181+L181</f>
        <v>0</v>
      </c>
    </row>
    <row r="182" spans="3:14">
      <c r="C182" t="s">
        <v>44</v>
      </c>
      <c r="D182">
        <f>-77.639*$D$123</f>
        <v>0</v>
      </c>
      <c r="E182">
        <f>74.824*$E$123</f>
        <v>0</v>
      </c>
      <c r="F182">
        <f>-203.777*$F$123</f>
        <v>0</v>
      </c>
      <c r="G182">
        <f>-9.925*$G$123</f>
        <v>0</v>
      </c>
      <c r="H182">
        <f>0*$H$123</f>
        <v>0</v>
      </c>
      <c r="I182">
        <f>-11.826*$I$123</f>
        <v>0</v>
      </c>
      <c r="J182">
        <f>5.708*$J$123</f>
        <v>0</v>
      </c>
      <c r="K182">
        <f>-7.61*$K$123</f>
        <v>0</v>
      </c>
      <c r="L182">
        <f>1.289*$L$123</f>
        <v>0</v>
      </c>
      <c r="M182">
        <f>0+D182+E182+G182+H182+I182+J182+K182+L182</f>
        <v>0</v>
      </c>
      <c r="N182">
        <f>0+D182+F182+G182+H182+I182+J182+K182+L182</f>
        <v>0</v>
      </c>
    </row>
    <row r="183" spans="3:14">
      <c r="C183" t="s">
        <v>44</v>
      </c>
      <c r="D183">
        <f>-76.269*$D$123</f>
        <v>0</v>
      </c>
      <c r="E183">
        <f>82.63*$E$123</f>
        <v>0</v>
      </c>
      <c r="F183">
        <f>-192.708*$F$123</f>
        <v>0</v>
      </c>
      <c r="G183">
        <f>-7.433*$G$123</f>
        <v>0</v>
      </c>
      <c r="H183">
        <f>0*$H$123</f>
        <v>0</v>
      </c>
      <c r="I183">
        <f>-10.188*$I$123</f>
        <v>0</v>
      </c>
      <c r="J183">
        <f>2.672*$J$123</f>
        <v>0</v>
      </c>
      <c r="K183">
        <f>-3.563*$K$123</f>
        <v>0</v>
      </c>
      <c r="L183">
        <f>1.322*$L$123</f>
        <v>0</v>
      </c>
      <c r="M183">
        <f>0+D183+E183+G183+H183+I183+J183+K183+L183</f>
        <v>0</v>
      </c>
      <c r="N183">
        <f>0+D183+F183+G183+H183+I183+J183+K183+L183</f>
        <v>0</v>
      </c>
    </row>
    <row r="184" spans="3:14">
      <c r="C184" t="s">
        <v>45</v>
      </c>
      <c r="D184">
        <f>-54.788*$D$123</f>
        <v>0</v>
      </c>
      <c r="E184">
        <f>89.145*$E$123</f>
        <v>0</v>
      </c>
      <c r="F184">
        <f>-183.3*$F$123</f>
        <v>0</v>
      </c>
      <c r="G184">
        <f>-5.128*$G$123</f>
        <v>0</v>
      </c>
      <c r="H184">
        <f>0*$H$123</f>
        <v>0</v>
      </c>
      <c r="I184">
        <f>-8.521*$I$123</f>
        <v>0</v>
      </c>
      <c r="J184">
        <f>-0.007648*$J$123</f>
        <v>0</v>
      </c>
      <c r="K184">
        <f>0.01*$K$123</f>
        <v>0</v>
      </c>
      <c r="L184">
        <f>1.355*$L$123</f>
        <v>0</v>
      </c>
      <c r="M184">
        <f>0+D184+E184+G184+H184+I184+J184+K184+L184</f>
        <v>0</v>
      </c>
      <c r="N184">
        <f>0+D184+F184+G184+H184+I184+J184+K184+L184</f>
        <v>0</v>
      </c>
    </row>
    <row r="185" spans="3:14">
      <c r="C185" t="s">
        <v>45</v>
      </c>
      <c r="D185">
        <f>-53.399*$D$123</f>
        <v>0</v>
      </c>
      <c r="E185">
        <f>96.833*$E$123</f>
        <v>0</v>
      </c>
      <c r="F185">
        <f>-172.703*$F$123</f>
        <v>0</v>
      </c>
      <c r="G185">
        <f>-2.644*$G$123</f>
        <v>0</v>
      </c>
      <c r="H185">
        <f>0*$H$123</f>
        <v>0</v>
      </c>
      <c r="I185">
        <f>-6.864*$I$123</f>
        <v>0</v>
      </c>
      <c r="J185">
        <f>-3.246*$J$123</f>
        <v>0</v>
      </c>
      <c r="K185">
        <f>4.329*$K$123</f>
        <v>0</v>
      </c>
      <c r="L185">
        <f>1.387*$L$123</f>
        <v>0</v>
      </c>
      <c r="M185">
        <f>0+D185+E185+G185+H185+I185+J185+K185+L185</f>
        <v>0</v>
      </c>
      <c r="N185">
        <f>0+D185+F185+G185+H185+I185+J185+K185+L185</f>
        <v>0</v>
      </c>
    </row>
    <row r="186" spans="3:14">
      <c r="C186" t="s">
        <v>46</v>
      </c>
      <c r="D186">
        <f>-31.821*$D$123</f>
        <v>0</v>
      </c>
      <c r="E186">
        <f>103.045*$E$123</f>
        <v>0</v>
      </c>
      <c r="F186">
        <f>-162.987*$F$123</f>
        <v>0</v>
      </c>
      <c r="G186">
        <f>-0.506*$G$123</f>
        <v>0</v>
      </c>
      <c r="H186">
        <f>0*$H$123</f>
        <v>0</v>
      </c>
      <c r="I186">
        <f>-5.173*$I$123</f>
        <v>0</v>
      </c>
      <c r="J186">
        <f>-5.346*$J$123</f>
        <v>0</v>
      </c>
      <c r="K186">
        <f>7.128*$K$123</f>
        <v>0</v>
      </c>
      <c r="L186">
        <f>1.41*$L$123</f>
        <v>0</v>
      </c>
      <c r="M186">
        <f>0+D186+E186+G186+H186+I186+J186+K186+L186</f>
        <v>0</v>
      </c>
      <c r="N186">
        <f>0+D186+F186+G186+H186+I186+J186+K186+L186</f>
        <v>0</v>
      </c>
    </row>
    <row r="187" spans="3:14">
      <c r="C187" t="s">
        <v>46</v>
      </c>
      <c r="D187">
        <f>-30.399*$D$123</f>
        <v>0</v>
      </c>
      <c r="E187">
        <f>111.668*$E$123</f>
        <v>0</v>
      </c>
      <c r="F187">
        <f>-152.378*$F$123</f>
        <v>0</v>
      </c>
      <c r="G187">
        <f>1.874*$G$123</f>
        <v>0</v>
      </c>
      <c r="H187">
        <f>0*$H$123</f>
        <v>0</v>
      </c>
      <c r="I187">
        <f>-3.508*$I$123</f>
        <v>0</v>
      </c>
      <c r="J187">
        <f>-8.061*$J$123</f>
        <v>0</v>
      </c>
      <c r="K187">
        <f>10.748*$K$123</f>
        <v>0</v>
      </c>
      <c r="L187">
        <f>1.444*$L$123</f>
        <v>0</v>
      </c>
      <c r="M187">
        <f>0+D187+E187+G187+H187+I187+J187+K187+L187</f>
        <v>0</v>
      </c>
      <c r="N187">
        <f>0+D187+F187+G187+H187+I187+J187+K187+L187</f>
        <v>0</v>
      </c>
    </row>
    <row r="188" spans="3:14">
      <c r="C188" t="s">
        <v>47</v>
      </c>
      <c r="D188">
        <f>-8.884*$D$123</f>
        <v>0</v>
      </c>
      <c r="E188">
        <f>119.197*$E$123</f>
        <v>0</v>
      </c>
      <c r="F188">
        <f>-142.405*$F$123</f>
        <v>0</v>
      </c>
      <c r="G188">
        <f>3.73*$G$123</f>
        <v>0</v>
      </c>
      <c r="H188">
        <f>0*$H$123</f>
        <v>0</v>
      </c>
      <c r="I188">
        <f>-1.817*$I$123</f>
        <v>0</v>
      </c>
      <c r="J188">
        <f>-8.573*$J$123</f>
        <v>0</v>
      </c>
      <c r="K188">
        <f>11.43*$K$123</f>
        <v>0</v>
      </c>
      <c r="L188">
        <f>1.474*$L$123</f>
        <v>0</v>
      </c>
      <c r="M188">
        <f>0+D188+E188+G188+H188+I188+J188+K188+L188</f>
        <v>0</v>
      </c>
      <c r="N188">
        <f>0+D188+F188+G188+H188+I188+J188+K188+L188</f>
        <v>0</v>
      </c>
    </row>
    <row r="189" spans="3:14">
      <c r="C189" t="s">
        <v>47</v>
      </c>
      <c r="D189">
        <f>8.323*$D$123</f>
        <v>0</v>
      </c>
      <c r="E189">
        <f>140.362*$E$123</f>
        <v>0</v>
      </c>
      <c r="F189">
        <f>-119.288*$F$123</f>
        <v>0</v>
      </c>
      <c r="G189">
        <f>-3.917*$G$123</f>
        <v>0</v>
      </c>
      <c r="H189">
        <f>0*$H$123</f>
        <v>0</v>
      </c>
      <c r="I189">
        <f>1.742*$I$123</f>
        <v>0</v>
      </c>
      <c r="J189">
        <f>7.67*$J$123</f>
        <v>0</v>
      </c>
      <c r="K189">
        <f>-10.226*$K$123</f>
        <v>0</v>
      </c>
      <c r="L189">
        <f>1.175*$L$123</f>
        <v>0</v>
      </c>
      <c r="M189">
        <f>0+D189+E189+G189+H189+I189+J189+K189+L189</f>
        <v>0</v>
      </c>
      <c r="N189">
        <f>0+D189+F189+G189+H189+I189+J189+K189+L189</f>
        <v>0</v>
      </c>
    </row>
    <row r="190" spans="3:14">
      <c r="C190" t="s">
        <v>48</v>
      </c>
      <c r="D190">
        <f>29.852*$D$123</f>
        <v>0</v>
      </c>
      <c r="E190">
        <f>150.375*$E$123</f>
        <v>0</v>
      </c>
      <c r="F190">
        <f>-111.863*$F$123</f>
        <v>0</v>
      </c>
      <c r="G190">
        <f>-2.062*$G$123</f>
        <v>0</v>
      </c>
      <c r="H190">
        <f>0*$H$123</f>
        <v>0</v>
      </c>
      <c r="I190">
        <f>3.435*$I$123</f>
        <v>0</v>
      </c>
      <c r="J190">
        <f>7.139*$J$123</f>
        <v>0</v>
      </c>
      <c r="K190">
        <f>-9.518*$K$123</f>
        <v>0</v>
      </c>
      <c r="L190">
        <f>1.222*$L$123</f>
        <v>0</v>
      </c>
      <c r="M190">
        <f>0+D190+E190+G190+H190+I190+J190+K190+L190</f>
        <v>0</v>
      </c>
      <c r="N190">
        <f>0+D190+F190+G190+H190+I190+J190+K190+L190</f>
        <v>0</v>
      </c>
    </row>
    <row r="191" spans="3:14">
      <c r="C191" t="s">
        <v>48</v>
      </c>
      <c r="D191">
        <f>31.285*$D$123</f>
        <v>0</v>
      </c>
      <c r="E191">
        <f>160.979*$E$123</f>
        <v>0</v>
      </c>
      <c r="F191">
        <f>-103.247*$F$123</f>
        <v>0</v>
      </c>
      <c r="G191">
        <f>0.314*$G$123</f>
        <v>0</v>
      </c>
      <c r="H191">
        <f>0*$H$123</f>
        <v>0</v>
      </c>
      <c r="I191">
        <f>5.102*$I$123</f>
        <v>0</v>
      </c>
      <c r="J191">
        <f>4.393*$J$123</f>
        <v>0</v>
      </c>
      <c r="K191">
        <f>-5.857*$K$123</f>
        <v>0</v>
      </c>
      <c r="L191">
        <f>1.255*$L$123</f>
        <v>0</v>
      </c>
      <c r="M191">
        <f>0+D191+E191+G191+H191+I191+J191+K191+L191</f>
        <v>0</v>
      </c>
      <c r="N191">
        <f>0+D191+F191+G191+H191+I191+J191+K191+L191</f>
        <v>0</v>
      </c>
    </row>
    <row r="192" spans="3:14">
      <c r="C192" t="s">
        <v>49</v>
      </c>
      <c r="D192">
        <f>52.887*$D$123</f>
        <v>0</v>
      </c>
      <c r="E192">
        <f>170.878*$E$123</f>
        <v>0</v>
      </c>
      <c r="F192">
        <f>-97.003*$F$123</f>
        <v>0</v>
      </c>
      <c r="G192">
        <f>2.448*$G$123</f>
        <v>0</v>
      </c>
      <c r="H192">
        <f>0*$H$123</f>
        <v>0</v>
      </c>
      <c r="I192">
        <f>6.796*$I$123</f>
        <v>0</v>
      </c>
      <c r="J192">
        <f>2.244*$J$123</f>
        <v>0</v>
      </c>
      <c r="K192">
        <f>-2.993*$K$123</f>
        <v>0</v>
      </c>
      <c r="L192">
        <f>1.294*$L$123</f>
        <v>0</v>
      </c>
      <c r="M192">
        <f>0+D192+E192+G192+H192+I192+J192+K192+L192</f>
        <v>0</v>
      </c>
      <c r="N192">
        <f>0+D192+F192+G192+H192+I192+J192+K192+L192</f>
        <v>0</v>
      </c>
    </row>
    <row r="193" spans="3:14">
      <c r="C193" t="s">
        <v>49</v>
      </c>
      <c r="D193">
        <f>54.306*$D$123</f>
        <v>0</v>
      </c>
      <c r="E193">
        <f>181.938*$E$123</f>
        <v>0</v>
      </c>
      <c r="F193">
        <f>-89.251*$F$123</f>
        <v>0</v>
      </c>
      <c r="G193">
        <f>4.925*$G$123</f>
        <v>0</v>
      </c>
      <c r="H193">
        <f>0*$H$123</f>
        <v>0</v>
      </c>
      <c r="I193">
        <f>8.459*$I$123</f>
        <v>0</v>
      </c>
      <c r="J193">
        <f>-1.062*$J$123</f>
        <v>0</v>
      </c>
      <c r="K193">
        <f>1.416*$K$123</f>
        <v>0</v>
      </c>
      <c r="L193">
        <f>1.312*$L$123</f>
        <v>0</v>
      </c>
      <c r="M193">
        <f>0+D193+E193+G193+H193+I193+J193+K193+L193</f>
        <v>0</v>
      </c>
      <c r="N193">
        <f>0+D193+F193+G193+H193+I193+J193+K193+L193</f>
        <v>0</v>
      </c>
    </row>
    <row r="194" spans="3:14">
      <c r="C194" t="s">
        <v>50</v>
      </c>
      <c r="D194">
        <f>75.832*$D$123</f>
        <v>0</v>
      </c>
      <c r="E194">
        <f>191.807*$E$123</f>
        <v>0</v>
      </c>
      <c r="F194">
        <f>-82.689*$F$123</f>
        <v>0</v>
      </c>
      <c r="G194">
        <f>7.222*$G$123</f>
        <v>0</v>
      </c>
      <c r="H194">
        <f>0*$H$123</f>
        <v>0</v>
      </c>
      <c r="I194">
        <f>10.132*$I$123</f>
        <v>0</v>
      </c>
      <c r="J194">
        <f>-3.825*$J$123</f>
        <v>0</v>
      </c>
      <c r="K194">
        <f>5.1*$K$123</f>
        <v>0</v>
      </c>
      <c r="L194">
        <f>1.323*$L$123</f>
        <v>0</v>
      </c>
      <c r="M194">
        <f>0+D194+E194+G194+H194+I194+J194+K194+L194</f>
        <v>0</v>
      </c>
      <c r="N194">
        <f>0+D194+F194+G194+H194+I194+J194+K194+L194</f>
        <v>0</v>
      </c>
    </row>
    <row r="195" spans="3:14">
      <c r="C195" t="s">
        <v>50</v>
      </c>
      <c r="D195">
        <f>77.267*$D$123</f>
        <v>0</v>
      </c>
      <c r="E195">
        <f>202.892*$E$123</f>
        <v>0</v>
      </c>
      <c r="F195">
        <f>-74.952*$F$123</f>
        <v>0</v>
      </c>
      <c r="G195">
        <f>9.705*$G$123</f>
        <v>0</v>
      </c>
      <c r="H195">
        <f>0*$H$123</f>
        <v>0</v>
      </c>
      <c r="I195">
        <f>11.78*$I$123</f>
        <v>0</v>
      </c>
      <c r="J195">
        <f>-6.972*$J$123</f>
        <v>0</v>
      </c>
      <c r="K195">
        <f>9.297*$K$123</f>
        <v>0</v>
      </c>
      <c r="L195">
        <f>1.308*$L$123</f>
        <v>0</v>
      </c>
      <c r="M195">
        <f>0+D195+E195+G195+H195+I195+J195+K195+L195</f>
        <v>0</v>
      </c>
      <c r="N195">
        <f>0+D195+F195+G195+H195+I195+J195+K195+L195</f>
        <v>0</v>
      </c>
    </row>
    <row r="196" spans="3:14">
      <c r="C196" t="s">
        <v>51</v>
      </c>
      <c r="D196">
        <f>98.666*$D$123</f>
        <v>0</v>
      </c>
      <c r="E196">
        <f>212.483*$E$123</f>
        <v>0</v>
      </c>
      <c r="F196">
        <f>-68.607*$F$123</f>
        <v>0</v>
      </c>
      <c r="G196">
        <f>11.857*$G$123</f>
        <v>0</v>
      </c>
      <c r="H196">
        <f>0*$H$123</f>
        <v>0</v>
      </c>
      <c r="I196">
        <f>13.445*$I$123</f>
        <v>0</v>
      </c>
      <c r="J196">
        <f>-8.762*$J$123</f>
        <v>0</v>
      </c>
      <c r="K196">
        <f>11.683*$K$123</f>
        <v>0</v>
      </c>
      <c r="L196">
        <f>1.249*$L$123</f>
        <v>0</v>
      </c>
      <c r="M196">
        <f>0+D196+E196+G196+H196+I196+J196+K196+L196</f>
        <v>0</v>
      </c>
      <c r="N196">
        <f>0+D196+F196+G196+H196+I196+J196+K196+L196</f>
        <v>0</v>
      </c>
    </row>
    <row r="197" spans="3:14">
      <c r="C197" t="s">
        <v>51</v>
      </c>
      <c r="D197">
        <f>99.823*$D$123</f>
        <v>0</v>
      </c>
      <c r="E197">
        <f>223.515*$E$123</f>
        <v>0</v>
      </c>
      <c r="F197">
        <f>-61.181*$F$123</f>
        <v>0</v>
      </c>
      <c r="G197">
        <f>14.252*$G$123</f>
        <v>0</v>
      </c>
      <c r="H197">
        <f>0*$H$123</f>
        <v>0</v>
      </c>
      <c r="I197">
        <f>15.068*$I$123</f>
        <v>0</v>
      </c>
      <c r="J197">
        <f>-11.041*$J$123</f>
        <v>0</v>
      </c>
      <c r="K197">
        <f>14.722*$K$123</f>
        <v>0</v>
      </c>
      <c r="L197">
        <f>1.186*$L$123</f>
        <v>0</v>
      </c>
      <c r="M197">
        <f>0+D197+E197+G197+H197+I197+J197+K197+L197</f>
        <v>0</v>
      </c>
      <c r="N197">
        <f>0+D197+F197+G197+H197+I197+J197+K197+L197</f>
        <v>0</v>
      </c>
    </row>
    <row r="198" spans="3:14">
      <c r="C198" t="s">
        <v>52</v>
      </c>
      <c r="D198">
        <f>120.997*$D$123</f>
        <v>0</v>
      </c>
      <c r="E198">
        <f>232.998*$E$123</f>
        <v>0</v>
      </c>
      <c r="F198">
        <f>-55.464*$F$123</f>
        <v>0</v>
      </c>
      <c r="G198">
        <f>16.156*$G$123</f>
        <v>0</v>
      </c>
      <c r="H198">
        <f>0*$H$123</f>
        <v>0</v>
      </c>
      <c r="I198">
        <f>16.708*$I$123</f>
        <v>0</v>
      </c>
      <c r="J198">
        <f>-10.912*$J$123</f>
        <v>0</v>
      </c>
      <c r="K198">
        <f>14.549*$K$123</f>
        <v>0</v>
      </c>
      <c r="L198">
        <f>1.02*$L$123</f>
        <v>0</v>
      </c>
      <c r="M198">
        <f>0+D198+E198+G198+H198+I198+J198+K198+L198</f>
        <v>0</v>
      </c>
      <c r="N198">
        <f>0+D198+F198+G198+H198+I198+J198+K198+L198</f>
        <v>0</v>
      </c>
    </row>
    <row r="199" spans="3:14">
      <c r="C199" t="s">
        <v>52</v>
      </c>
      <c r="D199">
        <f>129.973*$D$123</f>
        <v>0</v>
      </c>
      <c r="E199">
        <f>262.244*$E$123</f>
        <v>0</v>
      </c>
      <c r="F199">
        <f>-60.961*$F$123</f>
        <v>0</v>
      </c>
      <c r="G199">
        <f>9.729*$G$123</f>
        <v>0</v>
      </c>
      <c r="H199">
        <f>0*$H$123</f>
        <v>0</v>
      </c>
      <c r="I199">
        <f>18.981*$I$123</f>
        <v>0</v>
      </c>
      <c r="J199">
        <f>21.734*$J$123</f>
        <v>0</v>
      </c>
      <c r="K199">
        <f>-28.979*$K$123</f>
        <v>0</v>
      </c>
      <c r="L199">
        <f>-2.283*$L$123</f>
        <v>0</v>
      </c>
      <c r="M199">
        <f>0+D199+E199+G199+H199+I199+J199+K199+L199</f>
        <v>0</v>
      </c>
      <c r="N199">
        <f>0+D199+F199+G199+H199+I199+J199+K199+L199</f>
        <v>0</v>
      </c>
    </row>
    <row r="200" spans="3:14">
      <c r="C200" t="s">
        <v>53</v>
      </c>
      <c r="D200">
        <f>148.922*$D$123</f>
        <v>0</v>
      </c>
      <c r="E200">
        <f>272.189*$E$123</f>
        <v>0</v>
      </c>
      <c r="F200">
        <f>-56.553*$F$123</f>
        <v>0</v>
      </c>
      <c r="G200">
        <f>11.438*$G$123</f>
        <v>0</v>
      </c>
      <c r="H200">
        <f>0*$H$123</f>
        <v>0</v>
      </c>
      <c r="I200">
        <f>20.43*$I$123</f>
        <v>0</v>
      </c>
      <c r="J200">
        <f>22.703*$J$123</f>
        <v>0</v>
      </c>
      <c r="K200">
        <f>-30.271*$K$123</f>
        <v>0</v>
      </c>
      <c r="L200">
        <f>-2.463*$L$123</f>
        <v>0</v>
      </c>
      <c r="M200">
        <f>0+D200+E200+G200+H200+I200+J200+K200+L200</f>
        <v>0</v>
      </c>
      <c r="N200">
        <f>0+D200+F200+G200+H200+I200+J200+K200+L200</f>
        <v>0</v>
      </c>
    </row>
    <row r="201" spans="3:14">
      <c r="C201" t="s">
        <v>53</v>
      </c>
      <c r="D201">
        <f>143.628*$D$123</f>
        <v>0</v>
      </c>
      <c r="E201">
        <f>274.413*$E$123</f>
        <v>0</v>
      </c>
      <c r="F201">
        <f>-53.234*$F$123</f>
        <v>0</v>
      </c>
      <c r="G201">
        <f>12.958*$G$123</f>
        <v>0</v>
      </c>
      <c r="H201">
        <f>0*$H$123</f>
        <v>0</v>
      </c>
      <c r="I201">
        <f>20.989*$I$123</f>
        <v>0</v>
      </c>
      <c r="J201">
        <f>12.572*$J$123</f>
        <v>0</v>
      </c>
      <c r="K201">
        <f>-16.763*$K$123</f>
        <v>0</v>
      </c>
      <c r="L201">
        <f>-2.44*$L$123</f>
        <v>0</v>
      </c>
      <c r="M201">
        <f>0+D201+E201+G201+H201+I201+J201+K201+L201</f>
        <v>0</v>
      </c>
      <c r="N201">
        <f>0+D201+F201+G201+H201+I201+J201+K201+L201</f>
        <v>0</v>
      </c>
    </row>
    <row r="202" spans="3:14">
      <c r="C202" t="s">
        <v>54</v>
      </c>
      <c r="D202">
        <f>162.333*$D$123</f>
        <v>0</v>
      </c>
      <c r="E202">
        <f>284.225*$E$123</f>
        <v>0</v>
      </c>
      <c r="F202">
        <f>-47.632*$F$123</f>
        <v>0</v>
      </c>
      <c r="G202">
        <f>14.913*$G$123</f>
        <v>0</v>
      </c>
      <c r="H202">
        <f>0*$H$123</f>
        <v>0</v>
      </c>
      <c r="I202">
        <f>22.396*$I$123</f>
        <v>0</v>
      </c>
      <c r="J202">
        <f>12.476*$J$123</f>
        <v>0</v>
      </c>
      <c r="K202">
        <f>-16.635*$K$123</f>
        <v>0</v>
      </c>
      <c r="L202">
        <f>-2.527*$L$123</f>
        <v>0</v>
      </c>
      <c r="M202">
        <f>0+D202+E202+G202+H202+I202+J202+K202+L202</f>
        <v>0</v>
      </c>
      <c r="N202">
        <f>0+D202+F202+G202+H202+I202+J202+K202+L202</f>
        <v>0</v>
      </c>
    </row>
    <row r="203" spans="3:14">
      <c r="C203" t="s">
        <v>54</v>
      </c>
      <c r="D203">
        <f>163.277*$D$123</f>
        <v>0</v>
      </c>
      <c r="E203">
        <f>296.218*$E$123</f>
        <v>0</v>
      </c>
      <c r="F203">
        <f>-40.528*$F$123</f>
        <v>0</v>
      </c>
      <c r="G203">
        <f>17.289*$G$123</f>
        <v>0</v>
      </c>
      <c r="H203">
        <f>0*$H$123</f>
        <v>0</v>
      </c>
      <c r="I203">
        <f>23.853*$I$123</f>
        <v>0</v>
      </c>
      <c r="J203">
        <f>10.378*$J$123</f>
        <v>0</v>
      </c>
      <c r="K203">
        <f>-13.837*$K$123</f>
        <v>0</v>
      </c>
      <c r="L203">
        <f>-2.525*$L$123</f>
        <v>0</v>
      </c>
      <c r="M203">
        <f>0+D203+E203+G203+H203+I203+J203+K203+L203</f>
        <v>0</v>
      </c>
      <c r="N203">
        <f>0+D203+F203+G203+H203+I203+J203+K203+L203</f>
        <v>0</v>
      </c>
    </row>
    <row r="204" spans="3:14">
      <c r="C204" t="s">
        <v>55</v>
      </c>
      <c r="D204">
        <f>181.609*$D$123</f>
        <v>0</v>
      </c>
      <c r="E204">
        <f>305.657*$E$123</f>
        <v>0</v>
      </c>
      <c r="F204">
        <f>-34.869*$F$123</f>
        <v>0</v>
      </c>
      <c r="G204">
        <f>19.425*$G$123</f>
        <v>0</v>
      </c>
      <c r="H204">
        <f>0*$H$123</f>
        <v>0</v>
      </c>
      <c r="I204">
        <f>25.195*$I$123</f>
        <v>0</v>
      </c>
      <c r="J204">
        <f>10.106*$J$123</f>
        <v>0</v>
      </c>
      <c r="K204">
        <f>-13.475*$K$123</f>
        <v>0</v>
      </c>
      <c r="L204">
        <f>-2.548*$L$123</f>
        <v>0</v>
      </c>
      <c r="M204">
        <f>0+D204+E204+G204+H204+I204+J204+K204+L204</f>
        <v>0</v>
      </c>
      <c r="N204">
        <f>0+D204+F204+G204+H204+I204+J204+K204+L204</f>
        <v>0</v>
      </c>
    </row>
    <row r="205" spans="3:14">
      <c r="C205" t="s">
        <v>55</v>
      </c>
      <c r="D205">
        <f>183.041*$D$123</f>
        <v>0</v>
      </c>
      <c r="E205">
        <f>318.978*$E$123</f>
        <v>0</v>
      </c>
      <c r="F205">
        <f>-30.135*$F$123</f>
        <v>0</v>
      </c>
      <c r="G205">
        <f>21.983*$G$123</f>
        <v>0</v>
      </c>
      <c r="H205">
        <f>0*$H$123</f>
        <v>0</v>
      </c>
      <c r="I205">
        <f>26.724*$I$123</f>
        <v>0</v>
      </c>
      <c r="J205">
        <f>9.928*$J$123</f>
        <v>0</v>
      </c>
      <c r="K205">
        <f>-13.237*$K$123</f>
        <v>0</v>
      </c>
      <c r="L205">
        <f>-2.493*$L$123</f>
        <v>0</v>
      </c>
      <c r="M205">
        <f>0+D205+E205+G205+H205+I205+J205+K205+L205</f>
        <v>0</v>
      </c>
      <c r="N205">
        <f>0+D205+F205+G205+H205+I205+J205+K205+L205</f>
        <v>0</v>
      </c>
    </row>
    <row r="206" spans="3:14">
      <c r="C206" t="s">
        <v>56</v>
      </c>
      <c r="D206">
        <f>200.636*$D$123</f>
        <v>0</v>
      </c>
      <c r="E206">
        <f>328.194*$E$123</f>
        <v>0</v>
      </c>
      <c r="F206">
        <f>-27.094*$F$123</f>
        <v>0</v>
      </c>
      <c r="G206">
        <f>24.1*$G$123</f>
        <v>0</v>
      </c>
      <c r="H206">
        <f>0*$H$123</f>
        <v>0</v>
      </c>
      <c r="I206">
        <f>27.966*$I$123</f>
        <v>0</v>
      </c>
      <c r="J206">
        <f>11.876*$J$123</f>
        <v>0</v>
      </c>
      <c r="K206">
        <f>-15.835*$K$123</f>
        <v>0</v>
      </c>
      <c r="L206">
        <f>-2.572*$L$123</f>
        <v>0</v>
      </c>
      <c r="M206">
        <f>0+D206+E206+G206+H206+I206+J206+K206+L206</f>
        <v>0</v>
      </c>
      <c r="N206">
        <f>0+D206+F206+G206+H206+I206+J206+K206+L206</f>
        <v>0</v>
      </c>
    </row>
    <row r="207" spans="3:14">
      <c r="C207" t="s">
        <v>56</v>
      </c>
      <c r="D207">
        <f>201.686*$D$123</f>
        <v>0</v>
      </c>
      <c r="E207">
        <f>341.947*$E$123</f>
        <v>0</v>
      </c>
      <c r="F207">
        <f>-22.719*$F$123</f>
        <v>0</v>
      </c>
      <c r="G207">
        <f>26.787*$G$123</f>
        <v>0</v>
      </c>
      <c r="H207">
        <f>0*$H$123</f>
        <v>0</v>
      </c>
      <c r="I207">
        <f>29.421*$I$123</f>
        <v>0</v>
      </c>
      <c r="J207">
        <f>14.263*$J$123</f>
        <v>0</v>
      </c>
      <c r="K207">
        <f>-19.017*$K$123</f>
        <v>0</v>
      </c>
      <c r="L207">
        <f>-2.464*$L$123</f>
        <v>0</v>
      </c>
      <c r="M207">
        <f>0+D207+E207+G207+H207+I207+J207+K207+L207</f>
        <v>0</v>
      </c>
      <c r="N207">
        <f>0+D207+F207+G207+H207+I207+J207+K207+L207</f>
        <v>0</v>
      </c>
    </row>
    <row r="208" spans="3:14">
      <c r="C208" t="s">
        <v>57</v>
      </c>
      <c r="D208">
        <f>217.935*$D$123</f>
        <v>0</v>
      </c>
      <c r="E208">
        <f>351.318*$E$123</f>
        <v>0</v>
      </c>
      <c r="F208">
        <f>-18.776*$F$123</f>
        <v>0</v>
      </c>
      <c r="G208">
        <f>28.9*$G$123</f>
        <v>0</v>
      </c>
      <c r="H208">
        <f>0*$H$123</f>
        <v>0</v>
      </c>
      <c r="I208">
        <f>30.48*$I$123</f>
        <v>0</v>
      </c>
      <c r="J208">
        <f>21.855*$J$123</f>
        <v>0</v>
      </c>
      <c r="K208">
        <f>-29.14*$K$123</f>
        <v>0</v>
      </c>
      <c r="L208">
        <f>-2.761*$L$123</f>
        <v>0</v>
      </c>
      <c r="M208">
        <f>0+D208+E208+G208+H208+I208+J208+K208+L208</f>
        <v>0</v>
      </c>
      <c r="N208">
        <f>0+D208+F208+G208+H208+I208+J208+K208+L208</f>
        <v>0</v>
      </c>
    </row>
    <row r="209" spans="3:14">
      <c r="C209" t="s">
        <v>57</v>
      </c>
      <c r="D209">
        <f>-1.434*$D$123</f>
        <v>0</v>
      </c>
      <c r="E209">
        <f>46.203*$E$123</f>
        <v>0</v>
      </c>
      <c r="F209">
        <f>-149.55*$F$123</f>
        <v>0</v>
      </c>
      <c r="G209">
        <f>-2.248*$G$123</f>
        <v>0</v>
      </c>
      <c r="H209">
        <f>0*$H$123</f>
        <v>0</v>
      </c>
      <c r="I209">
        <f>0.484*$I$123</f>
        <v>0</v>
      </c>
      <c r="J209">
        <f>-32.999*$J$123</f>
        <v>0</v>
      </c>
      <c r="K209">
        <f>43.999*$K$123</f>
        <v>0</v>
      </c>
      <c r="L209">
        <f>1.076*$L$123</f>
        <v>0</v>
      </c>
      <c r="M209">
        <f>0+D209+E209+G209+H209+I209+J209+K209+L209</f>
        <v>0</v>
      </c>
      <c r="N209">
        <f>0+D209+F209+G209+H209+I209+J209+K209+L209</f>
        <v>0</v>
      </c>
    </row>
    <row r="210" spans="3:14">
      <c r="C210" t="s">
        <v>58</v>
      </c>
      <c r="D210">
        <f>7.703*$D$123</f>
        <v>0</v>
      </c>
      <c r="E210">
        <f>46.203*$E$123</f>
        <v>0</v>
      </c>
      <c r="F210">
        <f>-149.55*$F$123</f>
        <v>0</v>
      </c>
      <c r="G210">
        <f>-2.248*$G$123</f>
        <v>0</v>
      </c>
      <c r="H210">
        <f>0*$H$123</f>
        <v>0</v>
      </c>
      <c r="I210">
        <f>0.484*$I$123</f>
        <v>0</v>
      </c>
      <c r="J210">
        <f>-32.999*$J$123</f>
        <v>0</v>
      </c>
      <c r="K210">
        <f>43.999*$K$123</f>
        <v>0</v>
      </c>
      <c r="L210">
        <f>1.076*$L$123</f>
        <v>0</v>
      </c>
      <c r="M210">
        <f>0+D210+E210+G210+H210+I210+J210+K210+L210</f>
        <v>0</v>
      </c>
      <c r="N210">
        <f>0+D210+F210+G210+H210+I210+J210+K210+L210</f>
        <v>0</v>
      </c>
    </row>
    <row r="211" spans="3:14">
      <c r="C211" t="s">
        <v>58</v>
      </c>
      <c r="D211">
        <f>-6.959*$D$123</f>
        <v>0</v>
      </c>
      <c r="E211">
        <f>9.396*$E$123</f>
        <v>0</v>
      </c>
      <c r="F211">
        <f>-19.643*$F$123</f>
        <v>0</v>
      </c>
      <c r="G211">
        <f>1.779*$G$123</f>
        <v>0</v>
      </c>
      <c r="H211">
        <f>0*$H$123</f>
        <v>0</v>
      </c>
      <c r="I211">
        <f>-0.346*$I$123</f>
        <v>0</v>
      </c>
      <c r="J211">
        <f>35.868*$J$123</f>
        <v>0</v>
      </c>
      <c r="K211">
        <f>-47.825*$K$123</f>
        <v>0</v>
      </c>
      <c r="L211">
        <f>-8.584*$L$123</f>
        <v>0</v>
      </c>
      <c r="M211">
        <f>0+D211+E211+G211+H211+I211+J211+K211+L211</f>
        <v>0</v>
      </c>
      <c r="N211">
        <f>0+D211+F211+G211+H211+I211+J211+K211+L211</f>
        <v>0</v>
      </c>
    </row>
    <row r="212" spans="3:14">
      <c r="C212" t="s">
        <v>59</v>
      </c>
      <c r="D212">
        <f>2.179*$D$123</f>
        <v>0</v>
      </c>
      <c r="E212">
        <f>9.396*$E$123</f>
        <v>0</v>
      </c>
      <c r="F212">
        <f>-19.643*$F$123</f>
        <v>0</v>
      </c>
      <c r="G212">
        <f>1.779*$G$123</f>
        <v>0</v>
      </c>
      <c r="H212">
        <f>0*$H$123</f>
        <v>0</v>
      </c>
      <c r="I212">
        <f>-0.346*$I$123</f>
        <v>0</v>
      </c>
      <c r="J212">
        <f>35.868*$J$123</f>
        <v>0</v>
      </c>
      <c r="K212">
        <f>-47.825*$K$123</f>
        <v>0</v>
      </c>
      <c r="L212">
        <f>-8.584*$L$123</f>
        <v>0</v>
      </c>
      <c r="M212">
        <f>0+D212+E212+G212+H212+I212+J212+K212+L212</f>
        <v>0</v>
      </c>
      <c r="N212">
        <f>0+D212+F212+G212+H212+I212+J212+K212+L212</f>
        <v>0</v>
      </c>
    </row>
    <row r="213" spans="3:14">
      <c r="C213" t="s">
        <v>59</v>
      </c>
      <c r="D213">
        <f>-90.402*$D$123</f>
        <v>0</v>
      </c>
      <c r="E213">
        <f>19.708*$E$123</f>
        <v>0</v>
      </c>
      <c r="F213">
        <f>-223.726*$F$123</f>
        <v>0</v>
      </c>
      <c r="G213">
        <f>-18.401*$G$123</f>
        <v>0</v>
      </c>
      <c r="H213">
        <f>0*$H$123</f>
        <v>0</v>
      </c>
      <c r="I213">
        <f>-12.184*$I$123</f>
        <v>0</v>
      </c>
      <c r="J213">
        <f>-32.048*$J$123</f>
        <v>0</v>
      </c>
      <c r="K213">
        <f>42.73*$K$123</f>
        <v>0</v>
      </c>
      <c r="L213">
        <f>14.738*$L$123</f>
        <v>0</v>
      </c>
      <c r="M213">
        <f>0+D213+E213+G213+H213+I213+J213+K213+L213</f>
        <v>0</v>
      </c>
      <c r="N213">
        <f>0+D213+F213+G213+H213+I213+J213+K213+L213</f>
        <v>0</v>
      </c>
    </row>
    <row r="214" spans="3:14">
      <c r="C214" t="s">
        <v>60</v>
      </c>
      <c r="D214">
        <f>-74.633*$D$123</f>
        <v>0</v>
      </c>
      <c r="E214">
        <f>23.575*$E$123</f>
        <v>0</v>
      </c>
      <c r="F214">
        <f>-209.844*$F$123</f>
        <v>0</v>
      </c>
      <c r="G214">
        <f>-16.262*$G$123</f>
        <v>0</v>
      </c>
      <c r="H214">
        <f>0*$H$123</f>
        <v>0</v>
      </c>
      <c r="I214">
        <f>-11.197*$I$123</f>
        <v>0</v>
      </c>
      <c r="J214">
        <f>-23.892*$J$123</f>
        <v>0</v>
      </c>
      <c r="K214">
        <f>31.856*$K$123</f>
        <v>0</v>
      </c>
      <c r="L214">
        <f>14.571*$L$123</f>
        <v>0</v>
      </c>
      <c r="M214">
        <f>0+D214+E214+G214+H214+I214+J214+K214+L214</f>
        <v>0</v>
      </c>
      <c r="N214">
        <f>0+D214+F214+G214+H214+I214+J214+K214+L214</f>
        <v>0</v>
      </c>
    </row>
    <row r="215" spans="3:14">
      <c r="C215" t="s">
        <v>60</v>
      </c>
      <c r="D215">
        <f>-76.082*$D$123</f>
        <v>0</v>
      </c>
      <c r="E215">
        <f>29.77*$E$123</f>
        <v>0</v>
      </c>
      <c r="F215">
        <f>-195.36*$F$123</f>
        <v>0</v>
      </c>
      <c r="G215">
        <f>-13.808*$G$123</f>
        <v>0</v>
      </c>
      <c r="H215">
        <f>0*$H$123</f>
        <v>0</v>
      </c>
      <c r="I215">
        <f>-10.095*$I$123</f>
        <v>0</v>
      </c>
      <c r="J215">
        <f>-26.77*$J$123</f>
        <v>0</v>
      </c>
      <c r="K215">
        <f>35.693*$K$123</f>
        <v>0</v>
      </c>
      <c r="L215">
        <f>15.181*$L$123</f>
        <v>0</v>
      </c>
      <c r="M215">
        <f>0+D215+E215+G215+H215+I215+J215+K215+L215</f>
        <v>0</v>
      </c>
      <c r="N215">
        <f>0+D215+F215+G215+H215+I215+J215+K215+L215</f>
        <v>0</v>
      </c>
    </row>
    <row r="216" spans="3:14">
      <c r="C216" t="s">
        <v>61</v>
      </c>
      <c r="D216">
        <f>-58.834*$D$123</f>
        <v>0</v>
      </c>
      <c r="E216">
        <f>35.176*$E$123</f>
        <v>0</v>
      </c>
      <c r="F216">
        <f>-182.276*$F$123</f>
        <v>0</v>
      </c>
      <c r="G216">
        <f>-11.676*$G$123</f>
        <v>0</v>
      </c>
      <c r="H216">
        <f>0*$H$123</f>
        <v>0</v>
      </c>
      <c r="I216">
        <f>-8.904*$I$123</f>
        <v>0</v>
      </c>
      <c r="J216">
        <f>-24.513*$J$123</f>
        <v>0</v>
      </c>
      <c r="K216">
        <f>32.683*$K$123</f>
        <v>0</v>
      </c>
      <c r="L216">
        <f>15.795*$L$123</f>
        <v>0</v>
      </c>
      <c r="M216">
        <f>0+D216+E216+G216+H216+I216+J216+K216+L216</f>
        <v>0</v>
      </c>
      <c r="N216">
        <f>0+D216+F216+G216+H216+I216+J216+K216+L216</f>
        <v>0</v>
      </c>
    </row>
    <row r="217" spans="3:14">
      <c r="C217" t="s">
        <v>61</v>
      </c>
      <c r="D217">
        <f>-61.64*$D$123</f>
        <v>0</v>
      </c>
      <c r="E217">
        <f>39.99*$E$123</f>
        <v>0</v>
      </c>
      <c r="F217">
        <f>-174.623*$F$123</f>
        <v>0</v>
      </c>
      <c r="G217">
        <f>-9.657*$G$123</f>
        <v>0</v>
      </c>
      <c r="H217">
        <f>0*$H$123</f>
        <v>0</v>
      </c>
      <c r="I217">
        <f>-7.98*$I$123</f>
        <v>0</v>
      </c>
      <c r="J217">
        <f>-37.36*$J$123</f>
        <v>0</v>
      </c>
      <c r="K217">
        <f>49.814*$K$123</f>
        <v>0</v>
      </c>
      <c r="L217">
        <f>16.752*$L$123</f>
        <v>0</v>
      </c>
      <c r="M217">
        <f>0+D217+E217+G217+H217+I217+J217+K217+L217</f>
        <v>0</v>
      </c>
      <c r="N217">
        <f>0+D217+F217+G217+H217+I217+J217+K217+L217</f>
        <v>0</v>
      </c>
    </row>
    <row r="218" spans="3:14">
      <c r="C218" t="s">
        <v>62</v>
      </c>
      <c r="D218">
        <f>-43.622*$D$123</f>
        <v>0</v>
      </c>
      <c r="E218">
        <f>47.866*$E$123</f>
        <v>0</v>
      </c>
      <c r="F218">
        <f>-163.252*$F$123</f>
        <v>0</v>
      </c>
      <c r="G218">
        <f>-7.522*$G$123</f>
        <v>0</v>
      </c>
      <c r="H218">
        <f>0*$H$123</f>
        <v>0</v>
      </c>
      <c r="I218">
        <f>-6.682*$I$123</f>
        <v>0</v>
      </c>
      <c r="J218">
        <f>-37.426*$J$123</f>
        <v>0</v>
      </c>
      <c r="K218">
        <f>49.902*$K$123</f>
        <v>0</v>
      </c>
      <c r="L218">
        <f>17.102*$L$123</f>
        <v>0</v>
      </c>
      <c r="M218">
        <f>0+D218+E218+G218+H218+I218+J218+K218+L218</f>
        <v>0</v>
      </c>
      <c r="N218">
        <f>0+D218+F218+G218+H218+I218+J218+K218+L218</f>
        <v>0</v>
      </c>
    </row>
    <row r="219" spans="3:14">
      <c r="C219" t="s">
        <v>62</v>
      </c>
      <c r="D219">
        <f>-43.759*$D$123</f>
        <v>0</v>
      </c>
      <c r="E219">
        <f>57.839*$E$123</f>
        <v>0</v>
      </c>
      <c r="F219">
        <f>-150.867*$F$123</f>
        <v>0</v>
      </c>
      <c r="G219">
        <f>-5.233*$G$123</f>
        <v>0</v>
      </c>
      <c r="H219">
        <f>0*$H$123</f>
        <v>0</v>
      </c>
      <c r="I219">
        <f>-5.382*$I$123</f>
        <v>0</v>
      </c>
      <c r="J219">
        <f>-38.305*$J$123</f>
        <v>0</v>
      </c>
      <c r="K219">
        <f>51.074*$K$123</f>
        <v>0</v>
      </c>
      <c r="L219">
        <f>17.332*$L$123</f>
        <v>0</v>
      </c>
      <c r="M219">
        <f>0+D219+E219+G219+H219+I219+J219+K219+L219</f>
        <v>0</v>
      </c>
      <c r="N219">
        <f>0+D219+F219+G219+H219+I219+J219+K219+L219</f>
        <v>0</v>
      </c>
    </row>
    <row r="220" spans="3:14">
      <c r="C220" t="s">
        <v>63</v>
      </c>
      <c r="D220">
        <f>-25.353*$D$123</f>
        <v>0</v>
      </c>
      <c r="E220">
        <f>66.504*$E$123</f>
        <v>0</v>
      </c>
      <c r="F220">
        <f>-138.87*$F$123</f>
        <v>0</v>
      </c>
      <c r="G220">
        <f>-3.265*$G$123</f>
        <v>0</v>
      </c>
      <c r="H220">
        <f>0*$H$123</f>
        <v>0</v>
      </c>
      <c r="I220">
        <f>-4.019*$I$123</f>
        <v>0</v>
      </c>
      <c r="J220">
        <f>-37.98*$J$123</f>
        <v>0</v>
      </c>
      <c r="K220">
        <f>50.64*$K$123</f>
        <v>0</v>
      </c>
      <c r="L220">
        <f>17.024*$L$123</f>
        <v>0</v>
      </c>
      <c r="M220">
        <f>0+D220+E220+G220+H220+I220+J220+K220+L220</f>
        <v>0</v>
      </c>
      <c r="N220">
        <f>0+D220+F220+G220+H220+I220+J220+K220+L220</f>
        <v>0</v>
      </c>
    </row>
    <row r="221" spans="3:14">
      <c r="C221" t="s">
        <v>63</v>
      </c>
      <c r="D221">
        <f>-25.134*$D$123</f>
        <v>0</v>
      </c>
      <c r="E221">
        <f>76.501*$E$123</f>
        <v>0</v>
      </c>
      <c r="F221">
        <f>-126.478*$F$123</f>
        <v>0</v>
      </c>
      <c r="G221">
        <f>-1.071*$G$123</f>
        <v>0</v>
      </c>
      <c r="H221">
        <f>0*$H$123</f>
        <v>0</v>
      </c>
      <c r="I221">
        <f>-2.663*$I$123</f>
        <v>0</v>
      </c>
      <c r="J221">
        <f>-38.802*$J$123</f>
        <v>0</v>
      </c>
      <c r="K221">
        <f>51.736*$K$123</f>
        <v>0</v>
      </c>
      <c r="L221">
        <f>16.914*$L$123</f>
        <v>0</v>
      </c>
      <c r="M221">
        <f>0+D221+E221+G221+H221+I221+J221+K221+L221</f>
        <v>0</v>
      </c>
      <c r="N221">
        <f>0+D221+F221+G221+H221+I221+J221+K221+L221</f>
        <v>0</v>
      </c>
    </row>
    <row r="222" spans="3:14">
      <c r="C222" t="s">
        <v>64</v>
      </c>
      <c r="D222">
        <f>-6.421*$D$123</f>
        <v>0</v>
      </c>
      <c r="E222">
        <f>85.066*$E$123</f>
        <v>0</v>
      </c>
      <c r="F222">
        <f>-113.88*$F$123</f>
        <v>0</v>
      </c>
      <c r="G222">
        <f>0.68*$G$123</f>
        <v>0</v>
      </c>
      <c r="H222">
        <f>0*$H$123</f>
        <v>0</v>
      </c>
      <c r="I222">
        <f>-1.25*$I$123</f>
        <v>0</v>
      </c>
      <c r="J222">
        <f>-37.058*$J$123</f>
        <v>0</v>
      </c>
      <c r="K222">
        <f>49.411*$K$123</f>
        <v>0</v>
      </c>
      <c r="L222">
        <f>15.905*$L$123</f>
        <v>0</v>
      </c>
      <c r="M222">
        <f>0+D222+E222+G222+H222+I222+J222+K222+L222</f>
        <v>0</v>
      </c>
      <c r="N222">
        <f>0+D222+F222+G222+H222+I222+J222+K222+L222</f>
        <v>0</v>
      </c>
    </row>
    <row r="223" spans="3:14">
      <c r="C223" t="s">
        <v>64</v>
      </c>
      <c r="D223">
        <f>-1.036*$D$123</f>
        <v>0</v>
      </c>
      <c r="E223">
        <f>102.111*$E$123</f>
        <v>0</v>
      </c>
      <c r="F223">
        <f>-92.917*$F$123</f>
        <v>0</v>
      </c>
      <c r="G223">
        <f>-3.071*$G$123</f>
        <v>0</v>
      </c>
      <c r="H223">
        <f>0*$H$123</f>
        <v>0</v>
      </c>
      <c r="I223">
        <f>0.327*$I$123</f>
        <v>0</v>
      </c>
      <c r="J223">
        <f>26.574*$J$123</f>
        <v>0</v>
      </c>
      <c r="K223">
        <f>-35.432*$K$123</f>
        <v>0</v>
      </c>
      <c r="L223">
        <f>-14.782*$L$123</f>
        <v>0</v>
      </c>
      <c r="M223">
        <f>0+D223+E223+G223+H223+I223+J223+K223+L223</f>
        <v>0</v>
      </c>
      <c r="N223">
        <f>0+D223+F223+G223+H223+I223+J223+K223+L223</f>
        <v>0</v>
      </c>
    </row>
    <row r="224" spans="3:14">
      <c r="C224" t="s">
        <v>65</v>
      </c>
      <c r="D224">
        <f>19.75*$D$123</f>
        <v>0</v>
      </c>
      <c r="E224">
        <f>116.219*$E$123</f>
        <v>0</v>
      </c>
      <c r="F224">
        <f>-82.813*$F$123</f>
        <v>0</v>
      </c>
      <c r="G224">
        <f>-1.077*$G$123</f>
        <v>0</v>
      </c>
      <c r="H224">
        <f>0*$H$123</f>
        <v>0</v>
      </c>
      <c r="I224">
        <f>1.906*$I$123</f>
        <v>0</v>
      </c>
      <c r="J224">
        <f>28.257*$J$123</f>
        <v>0</v>
      </c>
      <c r="K224">
        <f>-37.676*$K$123</f>
        <v>0</v>
      </c>
      <c r="L224">
        <f>-15.808*$L$123</f>
        <v>0</v>
      </c>
      <c r="M224">
        <f>0+D224+E224+G224+H224+I224+J224+K224+L224</f>
        <v>0</v>
      </c>
      <c r="N224">
        <f>0+D224+F224+G224+H224+I224+J224+K224+L224</f>
        <v>0</v>
      </c>
    </row>
    <row r="225" spans="3:14">
      <c r="C225" t="s">
        <v>65</v>
      </c>
      <c r="D225">
        <f>20.292*$D$123</f>
        <v>0</v>
      </c>
      <c r="E225">
        <f>130.194*$E$123</f>
        <v>0</v>
      </c>
      <c r="F225">
        <f>-71.411*$F$123</f>
        <v>0</v>
      </c>
      <c r="G225">
        <f>1.361*$G$123</f>
        <v>0</v>
      </c>
      <c r="H225">
        <f>0*$H$123</f>
        <v>0</v>
      </c>
      <c r="I225">
        <f>3.437*$I$123</f>
        <v>0</v>
      </c>
      <c r="J225">
        <f>27.383*$J$123</f>
        <v>0</v>
      </c>
      <c r="K225">
        <f>-36.511*$K$123</f>
        <v>0</v>
      </c>
      <c r="L225">
        <f>-16.027*$L$123</f>
        <v>0</v>
      </c>
      <c r="M225">
        <f>0+D225+E225+G225+H225+I225+J225+K225+L225</f>
        <v>0</v>
      </c>
      <c r="N225">
        <f>0+D225+F225+G225+H225+I225+J225+K225+L225</f>
        <v>0</v>
      </c>
    </row>
    <row r="226" spans="3:14">
      <c r="C226" t="s">
        <v>66</v>
      </c>
      <c r="D226">
        <f>41.032*$D$123</f>
        <v>0</v>
      </c>
      <c r="E226">
        <f>143.918*$E$123</f>
        <v>0</v>
      </c>
      <c r="F226">
        <f>-61.105*$F$123</f>
        <v>0</v>
      </c>
      <c r="G226">
        <f>3.615*$G$123</f>
        <v>0</v>
      </c>
      <c r="H226">
        <f>0*$H$123</f>
        <v>0</v>
      </c>
      <c r="I226">
        <f>5*$I$123</f>
        <v>0</v>
      </c>
      <c r="J226">
        <f>27.706*$J$123</f>
        <v>0</v>
      </c>
      <c r="K226">
        <f>-36.942*$K$123</f>
        <v>0</v>
      </c>
      <c r="L226">
        <f>-16.405*$L$123</f>
        <v>0</v>
      </c>
      <c r="M226">
        <f>0+D226+E226+G226+H226+I226+J226+K226+L226</f>
        <v>0</v>
      </c>
      <c r="N226">
        <f>0+D226+F226+G226+H226+I226+J226+K226+L226</f>
        <v>0</v>
      </c>
    </row>
    <row r="227" spans="3:14">
      <c r="C227" t="s">
        <v>66</v>
      </c>
      <c r="D227">
        <f>41.54*$D$123</f>
        <v>0</v>
      </c>
      <c r="E227">
        <f>158.141*$E$123</f>
        <v>0</v>
      </c>
      <c r="F227">
        <f>-49.543*$F$123</f>
        <v>0</v>
      </c>
      <c r="G227">
        <f>6.207*$G$123</f>
        <v>0</v>
      </c>
      <c r="H227">
        <f>0*$H$123</f>
        <v>0</v>
      </c>
      <c r="I227">
        <f>6.517*$I$123</f>
        <v>0</v>
      </c>
      <c r="J227">
        <f>27.007*$J$123</f>
        <v>0</v>
      </c>
      <c r="K227">
        <f>-36.01*$K$123</f>
        <v>0</v>
      </c>
      <c r="L227">
        <f>-16.414*$L$123</f>
        <v>0</v>
      </c>
      <c r="M227">
        <f>0+D227+E227+G227+H227+I227+J227+K227+L227</f>
        <v>0</v>
      </c>
      <c r="N227">
        <f>0+D227+F227+G227+H227+I227+J227+K227+L227</f>
        <v>0</v>
      </c>
    </row>
    <row r="228" spans="3:14">
      <c r="C228" t="s">
        <v>67</v>
      </c>
      <c r="D228">
        <f>62.197*$D$123</f>
        <v>0</v>
      </c>
      <c r="E228">
        <f>171.588*$E$123</f>
        <v>0</v>
      </c>
      <c r="F228">
        <f>-38.892*$F$123</f>
        <v>0</v>
      </c>
      <c r="G228">
        <f>8.685*$G$123</f>
        <v>0</v>
      </c>
      <c r="H228">
        <f>0*$H$123</f>
        <v>0</v>
      </c>
      <c r="I228">
        <f>8.053*$I$123</f>
        <v>0</v>
      </c>
      <c r="J228">
        <f>27.562*$J$123</f>
        <v>0</v>
      </c>
      <c r="K228">
        <f>-36.75*$K$123</f>
        <v>0</v>
      </c>
      <c r="L228">
        <f>-16.277*$L$123</f>
        <v>0</v>
      </c>
      <c r="M228">
        <f>0+D228+E228+G228+H228+I228+J228+K228+L228</f>
        <v>0</v>
      </c>
      <c r="N228">
        <f>0+D228+F228+G228+H228+I228+J228+K228+L228</f>
        <v>0</v>
      </c>
    </row>
    <row r="229" spans="3:14">
      <c r="C229" t="s">
        <v>67</v>
      </c>
      <c r="D229">
        <f>59.128*$D$123</f>
        <v>0</v>
      </c>
      <c r="E229">
        <f>178.864*$E$123</f>
        <v>0</v>
      </c>
      <c r="F229">
        <f>-31.451*$F$123</f>
        <v>0</v>
      </c>
      <c r="G229">
        <f>10.786*$G$123</f>
        <v>0</v>
      </c>
      <c r="H229">
        <f>0*$H$123</f>
        <v>0</v>
      </c>
      <c r="I229">
        <f>9.054*$I$123</f>
        <v>0</v>
      </c>
      <c r="J229">
        <f>9.736*$J$123</f>
        <v>0</v>
      </c>
      <c r="K229">
        <f>-12.981*$K$123</f>
        <v>0</v>
      </c>
      <c r="L229">
        <f>-15.565*$L$123</f>
        <v>0</v>
      </c>
      <c r="M229">
        <f>0+D229+E229+G229+H229+I229+J229+K229+L229</f>
        <v>0</v>
      </c>
      <c r="N229">
        <f>0+D229+F229+G229+H229+I229+J229+K229+L229</f>
        <v>0</v>
      </c>
    </row>
    <row r="230" spans="3:14">
      <c r="C230" t="s">
        <v>68</v>
      </c>
      <c r="D230">
        <f>79.628*$D$123</f>
        <v>0</v>
      </c>
      <c r="E230">
        <f>193.62*$E$123</f>
        <v>0</v>
      </c>
      <c r="F230">
        <f>-23.597*$F$123</f>
        <v>0</v>
      </c>
      <c r="G230">
        <f>13.365*$G$123</f>
        <v>0</v>
      </c>
      <c r="H230">
        <f>0*$H$123</f>
        <v>0</v>
      </c>
      <c r="I230">
        <f>10.56*$I$123</f>
        <v>0</v>
      </c>
      <c r="J230">
        <f>14.335*$J$123</f>
        <v>0</v>
      </c>
      <c r="K230">
        <f>-19.113*$K$123</f>
        <v>0</v>
      </c>
      <c r="L230">
        <f>-15.206*$L$123</f>
        <v>0</v>
      </c>
      <c r="M230">
        <f>0+D230+E230+G230+H230+I230+J230+K230+L230</f>
        <v>0</v>
      </c>
      <c r="N230">
        <f>0+D230+F230+G230+H230+I230+J230+K230+L230</f>
        <v>0</v>
      </c>
    </row>
    <row r="231" spans="3:14">
      <c r="C231" t="s">
        <v>68</v>
      </c>
      <c r="D231">
        <f>81.429*$D$123</f>
        <v>0</v>
      </c>
      <c r="E231">
        <f>213.883*$E$123</f>
        <v>0</v>
      </c>
      <c r="F231">
        <f>-16.228*$F$123</f>
        <v>0</v>
      </c>
      <c r="G231">
        <f>16.578*$G$123</f>
        <v>0</v>
      </c>
      <c r="H231">
        <f>0*$H$123</f>
        <v>0</v>
      </c>
      <c r="I231">
        <f>12.233*$I$123</f>
        <v>0</v>
      </c>
      <c r="J231">
        <f>17.833*$J$123</f>
        <v>0</v>
      </c>
      <c r="K231">
        <f>-23.777*$K$123</f>
        <v>0</v>
      </c>
      <c r="L231">
        <f>-15.37*$L$123</f>
        <v>0</v>
      </c>
      <c r="M231">
        <f>0+D231+E231+G231+H231+I231+J231+K231+L231</f>
        <v>0</v>
      </c>
      <c r="N231">
        <f>0+D231+F231+G231+H231+I231+J231+K231+L231</f>
        <v>0</v>
      </c>
    </row>
    <row r="232" spans="3:14">
      <c r="C232" t="s">
        <v>69</v>
      </c>
      <c r="D232">
        <f>101.747*$D$123</f>
        <v>0</v>
      </c>
      <c r="E232">
        <f>231.975*$E$123</f>
        <v>0</v>
      </c>
      <c r="F232">
        <f>-9.707*$F$123</f>
        <v>0</v>
      </c>
      <c r="G232">
        <f>19.182*$G$123</f>
        <v>0</v>
      </c>
      <c r="H232">
        <f>0*$H$123</f>
        <v>0</v>
      </c>
      <c r="I232">
        <f>13.711*$I$123</f>
        <v>0</v>
      </c>
      <c r="J232">
        <f>24.043*$J$123</f>
        <v>0</v>
      </c>
      <c r="K232">
        <f>-32.057*$K$123</f>
        <v>0</v>
      </c>
      <c r="L232">
        <f>-15.199*$L$123</f>
        <v>0</v>
      </c>
      <c r="M232">
        <f>0+D232+E232+G232+H232+I232+J232+K232+L232</f>
        <v>0</v>
      </c>
      <c r="N232">
        <f>0+D232+F232+G232+H232+I232+J232+K232+L232</f>
        <v>0</v>
      </c>
    </row>
    <row r="237" spans="3:14">
      <c r="C237" t="s">
        <v>71</v>
      </c>
    </row>
    <row r="239" spans="3:14">
      <c r="C239" t="s">
        <v>2</v>
      </c>
    </row>
    <row r="240" spans="3:14">
      <c r="C240" t="s">
        <v>3</v>
      </c>
      <c r="D240" t="s">
        <v>4</v>
      </c>
      <c r="E240" t="s">
        <v>5</v>
      </c>
      <c r="F240" t="s">
        <v>6</v>
      </c>
      <c r="G240" t="s">
        <v>7</v>
      </c>
      <c r="H240" t="s">
        <v>8</v>
      </c>
      <c r="I240" t="s">
        <v>9</v>
      </c>
      <c r="J240" t="s">
        <v>10</v>
      </c>
      <c r="K240" t="s">
        <v>11</v>
      </c>
      <c r="L240" t="s">
        <v>12</v>
      </c>
      <c r="M240" t="s">
        <v>13</v>
      </c>
      <c r="N240" t="s">
        <v>14</v>
      </c>
    </row>
    <row r="241" spans="3:14">
      <c r="C241" t="s">
        <v>80</v>
      </c>
      <c r="D241">
        <f>4.0209*$D$239</f>
        <v>0</v>
      </c>
      <c r="E241">
        <f>15.8828*$E$239</f>
        <v>0</v>
      </c>
      <c r="F241">
        <f>-5.45*$F$239</f>
        <v>0</v>
      </c>
      <c r="G241">
        <f>-0.9678*$G$239</f>
        <v>0</v>
      </c>
      <c r="H241">
        <f>0*$H$239</f>
        <v>0</v>
      </c>
      <c r="I241">
        <f>0.6475*$I$239</f>
        <v>0</v>
      </c>
      <c r="J241">
        <f>95.6329*$J$239</f>
        <v>0</v>
      </c>
      <c r="K241">
        <f>-127.5106*$K$239</f>
        <v>0</v>
      </c>
      <c r="L241">
        <f>0.0034*$L$239</f>
        <v>0</v>
      </c>
      <c r="M241">
        <f>0+D241+E241+G241+H241+I241+J241+K241+L241</f>
        <v>0</v>
      </c>
      <c r="N241">
        <f>0+D241+F241+G241+H241+I241+J241+K241+L241</f>
        <v>0</v>
      </c>
    </row>
    <row r="242" spans="3:14">
      <c r="C242" t="s">
        <v>16</v>
      </c>
      <c r="D242">
        <f>-66.8864*$D$239</f>
        <v>0</v>
      </c>
      <c r="E242">
        <f>4.5965*$E$239</f>
        <v>0</v>
      </c>
      <c r="F242">
        <f>-95.0042*$F$239</f>
        <v>0</v>
      </c>
      <c r="G242">
        <f>-6.5136*$G$239</f>
        <v>0</v>
      </c>
      <c r="H242">
        <f>0*$H$239</f>
        <v>0</v>
      </c>
      <c r="I242">
        <f>-9.4715*$I$239</f>
        <v>0</v>
      </c>
      <c r="J242">
        <f>-227.383*$J$239</f>
        <v>0</v>
      </c>
      <c r="K242">
        <f>303.1773*$K$239</f>
        <v>0</v>
      </c>
      <c r="L242">
        <f>0.0031*$L$239</f>
        <v>0</v>
      </c>
      <c r="M242">
        <f>0+D242+E242+G242+H242+I242+J242+K242+L242</f>
        <v>0</v>
      </c>
      <c r="N242">
        <f>0+D242+F242+G242+H242+I242+J242+K242+L242</f>
        <v>0</v>
      </c>
    </row>
    <row r="243" spans="3:14">
      <c r="C243" t="s">
        <v>16</v>
      </c>
      <c r="D243">
        <f>-57.8725*$D$239</f>
        <v>0</v>
      </c>
      <c r="E243">
        <f>3.9863*$E$239</f>
        <v>0</v>
      </c>
      <c r="F243">
        <f>-86.3689*$F$239</f>
        <v>0</v>
      </c>
      <c r="G243">
        <f>-1.9587*$G$239</f>
        <v>0</v>
      </c>
      <c r="H243">
        <f>0*$H$239</f>
        <v>0</v>
      </c>
      <c r="I243">
        <f>-8.4653*$I$239</f>
        <v>0</v>
      </c>
      <c r="J243">
        <f>-95.1503*$J$239</f>
        <v>0</v>
      </c>
      <c r="K243">
        <f>126.867*$K$239</f>
        <v>0</v>
      </c>
      <c r="L243">
        <f>-0.0068*$L$239</f>
        <v>0</v>
      </c>
      <c r="M243">
        <f>0+D243+E243+G243+H243+I243+J243+K243+L243</f>
        <v>0</v>
      </c>
      <c r="N243">
        <f>0+D243+F243+G243+H243+I243+J243+K243+L243</f>
        <v>0</v>
      </c>
    </row>
    <row r="244" spans="3:14">
      <c r="C244" t="s">
        <v>17</v>
      </c>
      <c r="D244">
        <f>-144.3014*$D$239</f>
        <v>0</v>
      </c>
      <c r="E244">
        <f>4.4355*$E$239</f>
        <v>0</v>
      </c>
      <c r="F244">
        <f>-201.6634*$F$239</f>
        <v>0</v>
      </c>
      <c r="G244">
        <f>-14.3247*$G$239</f>
        <v>0</v>
      </c>
      <c r="H244">
        <f>0*$H$239</f>
        <v>0</v>
      </c>
      <c r="I244">
        <f>-20.6101*$I$239</f>
        <v>0</v>
      </c>
      <c r="J244">
        <f>-165.1521*$J$239</f>
        <v>0</v>
      </c>
      <c r="K244">
        <f>220.2028*$K$239</f>
        <v>0</v>
      </c>
      <c r="L244">
        <f>0.0023*$L$239</f>
        <v>0</v>
      </c>
      <c r="M244">
        <f>0+D244+E244+G244+H244+I244+J244+K244+L244</f>
        <v>0</v>
      </c>
      <c r="N244">
        <f>0+D244+F244+G244+H244+I244+J244+K244+L244</f>
        <v>0</v>
      </c>
    </row>
    <row r="245" spans="3:14">
      <c r="C245" t="s">
        <v>17</v>
      </c>
      <c r="D245">
        <f>-130.9318*$D$239</f>
        <v>0</v>
      </c>
      <c r="E245">
        <f>3.8365*$E$239</f>
        <v>0</v>
      </c>
      <c r="F245">
        <f>-187.2634*$F$239</f>
        <v>0</v>
      </c>
      <c r="G245">
        <f>-8.134*$G$239</f>
        <v>0</v>
      </c>
      <c r="H245">
        <f>0*$H$239</f>
        <v>0</v>
      </c>
      <c r="I245">
        <f>-19.0311*$I$239</f>
        <v>0</v>
      </c>
      <c r="J245">
        <f>-87.6449*$J$239</f>
        <v>0</v>
      </c>
      <c r="K245">
        <f>116.8599*$K$239</f>
        <v>0</v>
      </c>
      <c r="L245">
        <f>-0.0064*$L$239</f>
        <v>0</v>
      </c>
      <c r="M245">
        <f>0+D245+E245+G245+H245+I245+J245+K245+L245</f>
        <v>0</v>
      </c>
      <c r="N245">
        <f>0+D245+F245+G245+H245+I245+J245+K245+L245</f>
        <v>0</v>
      </c>
    </row>
    <row r="246" spans="3:14">
      <c r="C246" t="s">
        <v>18</v>
      </c>
      <c r="D246">
        <f>-212.007*$D$239</f>
        <v>0</v>
      </c>
      <c r="E246">
        <f>4.6934*$E$239</f>
        <v>0</v>
      </c>
      <c r="F246">
        <f>-296.6136*$F$239</f>
        <v>0</v>
      </c>
      <c r="G246">
        <f>-21.7079*$G$239</f>
        <v>0</v>
      </c>
      <c r="H246">
        <f>0*$H$239</f>
        <v>0</v>
      </c>
      <c r="I246">
        <f>-30.2772*$I$239</f>
        <v>0</v>
      </c>
      <c r="J246">
        <f>-97.8931*$J$239</f>
        <v>0</v>
      </c>
      <c r="K246">
        <f>130.5242*$K$239</f>
        <v>0</v>
      </c>
      <c r="L246">
        <f>0.0051*$L$239</f>
        <v>0</v>
      </c>
      <c r="M246">
        <f>0+D246+E246+G246+H246+I246+J246+K246+L246</f>
        <v>0</v>
      </c>
      <c r="N246">
        <f>0+D246+F246+G246+H246+I246+J246+K246+L246</f>
        <v>0</v>
      </c>
    </row>
    <row r="247" spans="3:14">
      <c r="C247" t="s">
        <v>18</v>
      </c>
      <c r="D247">
        <f>-198.0727*$D$239</f>
        <v>0</v>
      </c>
      <c r="E247">
        <f>3.494*$E$239</f>
        <v>0</v>
      </c>
      <c r="F247">
        <f>-281.8117*$F$239</f>
        <v>0</v>
      </c>
      <c r="G247">
        <f>-14.1866*$G$239</f>
        <v>0</v>
      </c>
      <c r="H247">
        <f>0*$H$239</f>
        <v>0</v>
      </c>
      <c r="I247">
        <f>-28.6814*$I$239</f>
        <v>0</v>
      </c>
      <c r="J247">
        <f>-74.0549*$J$239</f>
        <v>0</v>
      </c>
      <c r="K247">
        <f>98.7399*$K$239</f>
        <v>0</v>
      </c>
      <c r="L247">
        <f>-0.0042*$L$239</f>
        <v>0</v>
      </c>
      <c r="M247">
        <f>0+D247+E247+G247+H247+I247+J247+K247+L247</f>
        <v>0</v>
      </c>
      <c r="N247">
        <f>0+D247+F247+G247+H247+I247+J247+K247+L247</f>
        <v>0</v>
      </c>
    </row>
    <row r="248" spans="3:14">
      <c r="C248" t="s">
        <v>19</v>
      </c>
      <c r="D248">
        <f>-268.708*$D$239</f>
        <v>0</v>
      </c>
      <c r="E248">
        <f>6.2234*$E$239</f>
        <v>0</v>
      </c>
      <c r="F248">
        <f>-373.7327*$F$239</f>
        <v>0</v>
      </c>
      <c r="G248">
        <f>-28.9391*$G$239</f>
        <v>0</v>
      </c>
      <c r="H248">
        <f>0*$H$239</f>
        <v>0</v>
      </c>
      <c r="I248">
        <f>-38.2671*$I$239</f>
        <v>0</v>
      </c>
      <c r="J248">
        <f>-39.6281*$J$239</f>
        <v>0</v>
      </c>
      <c r="K248">
        <f>52.8375*$K$239</f>
        <v>0</v>
      </c>
      <c r="L248">
        <f>0.0072*$L$239</f>
        <v>0</v>
      </c>
      <c r="M248">
        <f>0+D248+E248+G248+H248+I248+J248+K248+L248</f>
        <v>0</v>
      </c>
      <c r="N248">
        <f>0+D248+F248+G248+H248+I248+J248+K248+L248</f>
        <v>0</v>
      </c>
    </row>
    <row r="249" spans="3:14">
      <c r="C249" t="s">
        <v>19</v>
      </c>
      <c r="D249">
        <f>-256.1675*$D$239</f>
        <v>0</v>
      </c>
      <c r="E249">
        <f>4.6258*$E$239</f>
        <v>0</v>
      </c>
      <c r="F249">
        <f>-359.9927*$F$239</f>
        <v>0</v>
      </c>
      <c r="G249">
        <f>-21.2348*$G$239</f>
        <v>0</v>
      </c>
      <c r="H249">
        <f>0*$H$239</f>
        <v>0</v>
      </c>
      <c r="I249">
        <f>-36.8689*$I$239</f>
        <v>0</v>
      </c>
      <c r="J249">
        <f>-47.3265*$J$239</f>
        <v>0</v>
      </c>
      <c r="K249">
        <f>63.102*$K$239</f>
        <v>0</v>
      </c>
      <c r="L249">
        <f>-0.0037*$L$239</f>
        <v>0</v>
      </c>
      <c r="M249">
        <f>0+D249+E249+G249+H249+I249+J249+K249+L249</f>
        <v>0</v>
      </c>
      <c r="N249">
        <f>0+D249+F249+G249+H249+I249+J249+K249+L249</f>
        <v>0</v>
      </c>
    </row>
    <row r="250" spans="3:14">
      <c r="C250" t="s">
        <v>20</v>
      </c>
      <c r="D250">
        <f>-309.9764*$D$239</f>
        <v>0</v>
      </c>
      <c r="E250">
        <f>7.8457*$E$239</f>
        <v>0</v>
      </c>
      <c r="F250">
        <f>-416.7529*$F$239</f>
        <v>0</v>
      </c>
      <c r="G250">
        <f>-42.0493*$G$239</f>
        <v>0</v>
      </c>
      <c r="H250">
        <f>0*$H$239</f>
        <v>0</v>
      </c>
      <c r="I250">
        <f>-43.6155*$I$239</f>
        <v>0</v>
      </c>
      <c r="J250">
        <f>104.1913*$J$239</f>
        <v>0</v>
      </c>
      <c r="K250">
        <f>-138.9217*$K$239</f>
        <v>0</v>
      </c>
      <c r="L250">
        <f>0.0033*$L$239</f>
        <v>0</v>
      </c>
      <c r="M250">
        <f>0+D250+E250+G250+H250+I250+J250+K250+L250</f>
        <v>0</v>
      </c>
      <c r="N250">
        <f>0+D250+F250+G250+H250+I250+J250+K250+L250</f>
        <v>0</v>
      </c>
    </row>
    <row r="251" spans="3:14">
      <c r="C251" t="s">
        <v>20</v>
      </c>
      <c r="D251">
        <f>-296.6549*$D$239</f>
        <v>0</v>
      </c>
      <c r="E251">
        <f>5.903*$E$239</f>
        <v>0</v>
      </c>
      <c r="F251">
        <f>-399.3115*$F$239</f>
        <v>0</v>
      </c>
      <c r="G251">
        <f>-38.4381*$G$239</f>
        <v>0</v>
      </c>
      <c r="H251">
        <f>0*$H$239</f>
        <v>0</v>
      </c>
      <c r="I251">
        <f>-41.845*$I$239</f>
        <v>0</v>
      </c>
      <c r="J251">
        <f>107.2535*$J$239</f>
        <v>0</v>
      </c>
      <c r="K251">
        <f>-143.0046*$K$239</f>
        <v>0</v>
      </c>
      <c r="L251">
        <f>0.0057*$L$239</f>
        <v>0</v>
      </c>
      <c r="M251">
        <f>0+D251+E251+G251+H251+I251+J251+K251+L251</f>
        <v>0</v>
      </c>
      <c r="N251">
        <f>0+D251+F251+G251+H251+I251+J251+K251+L251</f>
        <v>0</v>
      </c>
    </row>
    <row r="252" spans="3:14">
      <c r="C252" t="s">
        <v>21</v>
      </c>
      <c r="D252">
        <f>-354.9788*$D$239</f>
        <v>0</v>
      </c>
      <c r="E252">
        <f>9.3953*$E$239</f>
        <v>0</v>
      </c>
      <c r="F252">
        <f>-498.1518*$F$239</f>
        <v>0</v>
      </c>
      <c r="G252">
        <f>-34.175*$G$239</f>
        <v>0</v>
      </c>
      <c r="H252">
        <f>0*$H$239</f>
        <v>0</v>
      </c>
      <c r="I252">
        <f>-50.7759*$I$239</f>
        <v>0</v>
      </c>
      <c r="J252">
        <f>-46.7943*$J$239</f>
        <v>0</v>
      </c>
      <c r="K252">
        <f>62.3925*$K$239</f>
        <v>0</v>
      </c>
      <c r="L252">
        <f>0.0115*$L$239</f>
        <v>0</v>
      </c>
      <c r="M252">
        <f>0+D252+E252+G252+H252+I252+J252+K252+L252</f>
        <v>0</v>
      </c>
      <c r="N252">
        <f>0+D252+F252+G252+H252+I252+J252+K252+L252</f>
        <v>0</v>
      </c>
    </row>
    <row r="253" spans="3:14">
      <c r="C253" t="s">
        <v>21</v>
      </c>
      <c r="D253">
        <f>-342.9612*$D$239</f>
        <v>0</v>
      </c>
      <c r="E253">
        <f>7.0384*$E$239</f>
        <v>0</v>
      </c>
      <c r="F253">
        <f>-472.2869*$F$239</f>
        <v>0</v>
      </c>
      <c r="G253">
        <f>-32.671*$G$239</f>
        <v>0</v>
      </c>
      <c r="H253">
        <f>0*$H$239</f>
        <v>0</v>
      </c>
      <c r="I253">
        <f>-49.0771*$I$239</f>
        <v>0</v>
      </c>
      <c r="J253">
        <f>-8.3957*$J$239</f>
        <v>0</v>
      </c>
      <c r="K253">
        <f>11.1942*$K$239</f>
        <v>0</v>
      </c>
      <c r="L253">
        <f>0.0007355*$L$239</f>
        <v>0</v>
      </c>
      <c r="M253">
        <f>0+D253+E253+G253+H253+I253+J253+K253+L253</f>
        <v>0</v>
      </c>
      <c r="N253">
        <f>0+D253+F253+G253+H253+I253+J253+K253+L253</f>
        <v>0</v>
      </c>
    </row>
    <row r="254" spans="3:14">
      <c r="C254" t="s">
        <v>22</v>
      </c>
      <c r="D254">
        <f>-382.4258*$D$239</f>
        <v>0</v>
      </c>
      <c r="E254">
        <f>10.6789*$E$239</f>
        <v>0</v>
      </c>
      <c r="F254">
        <f>-535.1644*$F$239</f>
        <v>0</v>
      </c>
      <c r="G254">
        <f>-35.219*$G$239</f>
        <v>0</v>
      </c>
      <c r="H254">
        <f>0*$H$239</f>
        <v>0</v>
      </c>
      <c r="I254">
        <f>-54.8251*$I$239</f>
        <v>0</v>
      </c>
      <c r="J254">
        <f>-52.6894*$J$239</f>
        <v>0</v>
      </c>
      <c r="K254">
        <f>70.2525*$K$239</f>
        <v>0</v>
      </c>
      <c r="L254">
        <f>0.0107*$L$239</f>
        <v>0</v>
      </c>
      <c r="M254">
        <f>0+D254+E254+G254+H254+I254+J254+K254+L254</f>
        <v>0</v>
      </c>
      <c r="N254">
        <f>0+D254+F254+G254+H254+I254+J254+K254+L254</f>
        <v>0</v>
      </c>
    </row>
    <row r="255" spans="3:14">
      <c r="C255" t="s">
        <v>22</v>
      </c>
      <c r="D255">
        <f>-375.2461*$D$239</f>
        <v>0</v>
      </c>
      <c r="E255">
        <f>8.3269*$E$239</f>
        <v>0</v>
      </c>
      <c r="F255">
        <f>-517.6233*$F$239</f>
        <v>0</v>
      </c>
      <c r="G255">
        <f>-33.5176*$G$239</f>
        <v>0</v>
      </c>
      <c r="H255">
        <f>0*$H$239</f>
        <v>0</v>
      </c>
      <c r="I255">
        <f>-53.844*$I$239</f>
        <v>0</v>
      </c>
      <c r="J255">
        <f>-32.556*$J$239</f>
        <v>0</v>
      </c>
      <c r="K255">
        <f>43.408*$K$239</f>
        <v>0</v>
      </c>
      <c r="L255">
        <f>0.0017*$L$239</f>
        <v>0</v>
      </c>
      <c r="M255">
        <f>0+D255+E255+G255+H255+I255+J255+K255+L255</f>
        <v>0</v>
      </c>
      <c r="N255">
        <f>0+D255+F255+G255+H255+I255+J255+K255+L255</f>
        <v>0</v>
      </c>
    </row>
    <row r="256" spans="3:14">
      <c r="C256" t="s">
        <v>23</v>
      </c>
      <c r="D256">
        <f>-400.0039*$D$239</f>
        <v>0</v>
      </c>
      <c r="E256">
        <f>11.8574*$E$239</f>
        <v>0</v>
      </c>
      <c r="F256">
        <f>-556.9581*$F$239</f>
        <v>0</v>
      </c>
      <c r="G256">
        <f>-37.7411*$G$239</f>
        <v>0</v>
      </c>
      <c r="H256">
        <f>0*$H$239</f>
        <v>0</v>
      </c>
      <c r="I256">
        <f>-57.2807*$I$239</f>
        <v>0</v>
      </c>
      <c r="J256">
        <f>-38.6251*$J$239</f>
        <v>0</v>
      </c>
      <c r="K256">
        <f>51.5001*$K$239</f>
        <v>0</v>
      </c>
      <c r="L256">
        <f>0.0117*$L$239</f>
        <v>0</v>
      </c>
      <c r="M256">
        <f>0+D256+E256+G256+H256+I256+J256+K256+L256</f>
        <v>0</v>
      </c>
      <c r="N256">
        <f>0+D256+F256+G256+H256+I256+J256+K256+L256</f>
        <v>0</v>
      </c>
    </row>
    <row r="257" spans="3:14">
      <c r="C257" t="s">
        <v>23</v>
      </c>
      <c r="D257">
        <f>-398.3225*$D$239</f>
        <v>0</v>
      </c>
      <c r="E257">
        <f>9.6996*$E$239</f>
        <v>0</v>
      </c>
      <c r="F257">
        <f>-549.3212*$F$239</f>
        <v>0</v>
      </c>
      <c r="G257">
        <f>-34.6103*$G$239</f>
        <v>0</v>
      </c>
      <c r="H257">
        <f>0*$H$239</f>
        <v>0</v>
      </c>
      <c r="I257">
        <f>-57.2066*$I$239</f>
        <v>0</v>
      </c>
      <c r="J257">
        <f>-41.5689*$J$239</f>
        <v>0</v>
      </c>
      <c r="K257">
        <f>55.4252*$K$239</f>
        <v>0</v>
      </c>
      <c r="L257">
        <f>0.0025*$L$239</f>
        <v>0</v>
      </c>
      <c r="M257">
        <f>0+D257+E257+G257+H257+I257+J257+K257+L257</f>
        <v>0</v>
      </c>
      <c r="N257">
        <f>0+D257+F257+G257+H257+I257+J257+K257+L257</f>
        <v>0</v>
      </c>
    </row>
    <row r="258" spans="3:14">
      <c r="C258" t="s">
        <v>24</v>
      </c>
      <c r="D258">
        <f>-408.2128*$D$239</f>
        <v>0</v>
      </c>
      <c r="E258">
        <f>12.9978*$E$239</f>
        <v>0</v>
      </c>
      <c r="F258">
        <f>-564.3452*$F$239</f>
        <v>0</v>
      </c>
      <c r="G258">
        <f>-41.0085*$G$239</f>
        <v>0</v>
      </c>
      <c r="H258">
        <f>0*$H$239</f>
        <v>0</v>
      </c>
      <c r="I258">
        <f>-58.2748*$I$239</f>
        <v>0</v>
      </c>
      <c r="J258">
        <f>-13.7439*$J$239</f>
        <v>0</v>
      </c>
      <c r="K258">
        <f>18.3252*$K$239</f>
        <v>0</v>
      </c>
      <c r="L258">
        <f>0.0123*$L$239</f>
        <v>0</v>
      </c>
      <c r="M258">
        <f>0+D258+E258+G258+H258+I258+J258+K258+L258</f>
        <v>0</v>
      </c>
      <c r="N258">
        <f>0+D258+F258+G258+H258+I258+J258+K258+L258</f>
        <v>0</v>
      </c>
    </row>
    <row r="259" spans="3:14">
      <c r="C259" t="s">
        <v>24</v>
      </c>
      <c r="D259">
        <f>-411.9285*$D$239</f>
        <v>0</v>
      </c>
      <c r="E259">
        <f>11.0658*$E$239</f>
        <v>0</v>
      </c>
      <c r="F259">
        <f>-565.1466*$F$239</f>
        <v>0</v>
      </c>
      <c r="G259">
        <f>-37.2641*$G$239</f>
        <v>0</v>
      </c>
      <c r="H259">
        <f>0*$H$239</f>
        <v>0</v>
      </c>
      <c r="I259">
        <f>-59.0305*$I$239</f>
        <v>0</v>
      </c>
      <c r="J259">
        <f>-30.4184*$J$239</f>
        <v>0</v>
      </c>
      <c r="K259">
        <f>40.5578*$K$239</f>
        <v>0</v>
      </c>
      <c r="L259">
        <f>0.0009885*$L$239</f>
        <v>0</v>
      </c>
      <c r="M259">
        <f>0+D259+E259+G259+H259+I259+J259+K259+L259</f>
        <v>0</v>
      </c>
      <c r="N259">
        <f>0+D259+F259+G259+H259+I259+J259+K259+L259</f>
        <v>0</v>
      </c>
    </row>
    <row r="260" spans="3:14">
      <c r="C260" t="s">
        <v>25</v>
      </c>
      <c r="D260">
        <f>-401.6709*$D$239</f>
        <v>0</v>
      </c>
      <c r="E260">
        <f>13.6645*$E$239</f>
        <v>0</v>
      </c>
      <c r="F260">
        <f>-537.7841*$F$239</f>
        <v>0</v>
      </c>
      <c r="G260">
        <f>-53.0149*$G$239</f>
        <v>0</v>
      </c>
      <c r="H260">
        <f>0*$H$239</f>
        <v>0</v>
      </c>
      <c r="I260">
        <f>-56.5557*$I$239</f>
        <v>0</v>
      </c>
      <c r="J260">
        <f>82.9172*$J$239</f>
        <v>0</v>
      </c>
      <c r="K260">
        <f>-110.5562*$K$239</f>
        <v>0</v>
      </c>
      <c r="L260">
        <f>0.0058*$L$239</f>
        <v>0</v>
      </c>
      <c r="M260">
        <f>0+D260+E260+G260+H260+I260+J260+K260+L260</f>
        <v>0</v>
      </c>
      <c r="N260">
        <f>0+D260+F260+G260+H260+I260+J260+K260+L260</f>
        <v>0</v>
      </c>
    </row>
    <row r="261" spans="3:14">
      <c r="C261" t="s">
        <v>25</v>
      </c>
      <c r="D261">
        <f>-407.2202*$D$239</f>
        <v>0</v>
      </c>
      <c r="E261">
        <f>12.0771*$E$239</f>
        <v>0</v>
      </c>
      <c r="F261">
        <f>-534.4746*$F$239</f>
        <v>0</v>
      </c>
      <c r="G261">
        <f>-53.225*$G$239</f>
        <v>0</v>
      </c>
      <c r="H261">
        <f>0*$H$239</f>
        <v>0</v>
      </c>
      <c r="I261">
        <f>-57.3336*$I$239</f>
        <v>0</v>
      </c>
      <c r="J261">
        <f>83.3691*$J$239</f>
        <v>0</v>
      </c>
      <c r="K261">
        <f>-111.1588*$K$239</f>
        <v>0</v>
      </c>
      <c r="L261">
        <f>0.0116*$L$239</f>
        <v>0</v>
      </c>
      <c r="M261">
        <f>0+D261+E261+G261+H261+I261+J261+K261+L261</f>
        <v>0</v>
      </c>
      <c r="N261">
        <f>0+D261+F261+G261+H261+I261+J261+K261+L261</f>
        <v>0</v>
      </c>
    </row>
    <row r="262" spans="3:14">
      <c r="C262" t="s">
        <v>26</v>
      </c>
      <c r="D262">
        <f>-402.9517*$D$239</f>
        <v>0</v>
      </c>
      <c r="E262">
        <f>16.0255*$E$239</f>
        <v>0</v>
      </c>
      <c r="F262">
        <f>-564.1202*$F$239</f>
        <v>0</v>
      </c>
      <c r="G262">
        <f>-36.7377*$G$239</f>
        <v>0</v>
      </c>
      <c r="H262">
        <f>0*$H$239</f>
        <v>0</v>
      </c>
      <c r="I262">
        <f>-57.7521*$I$239</f>
        <v>0</v>
      </c>
      <c r="J262">
        <f>-31.7605*$J$239</f>
        <v>0</v>
      </c>
      <c r="K262">
        <f>42.3474*$K$239</f>
        <v>0</v>
      </c>
      <c r="L262">
        <f>0.0145*$L$239</f>
        <v>0</v>
      </c>
      <c r="M262">
        <f>0+D262+E262+G262+H262+I262+J262+K262+L262</f>
        <v>0</v>
      </c>
      <c r="N262">
        <f>0+D262+F262+G262+H262+I262+J262+K262+L262</f>
        <v>0</v>
      </c>
    </row>
    <row r="263" spans="3:14">
      <c r="C263" t="s">
        <v>26</v>
      </c>
      <c r="D263">
        <f>-408.9361*$D$239</f>
        <v>0</v>
      </c>
      <c r="E263">
        <f>13.8234*$E$239</f>
        <v>0</v>
      </c>
      <c r="F263">
        <f>-554.7253*$F$239</f>
        <v>0</v>
      </c>
      <c r="G263">
        <f>-40.4086*$G$239</f>
        <v>0</v>
      </c>
      <c r="H263">
        <f>0*$H$239</f>
        <v>0</v>
      </c>
      <c r="I263">
        <f>-58.3909*$I$239</f>
        <v>0</v>
      </c>
      <c r="J263">
        <f>-9.9443*$J$239</f>
        <v>0</v>
      </c>
      <c r="K263">
        <f>13.2591*$K$239</f>
        <v>0</v>
      </c>
      <c r="L263">
        <f>0.0029*$L$239</f>
        <v>0</v>
      </c>
      <c r="M263">
        <f>0+D263+E263+G263+H263+I263+J263+K263+L263</f>
        <v>0</v>
      </c>
      <c r="N263">
        <f>0+D263+F263+G263+H263+I263+J263+K263+L263</f>
        <v>0</v>
      </c>
    </row>
    <row r="264" spans="3:14">
      <c r="C264" t="s">
        <v>27</v>
      </c>
      <c r="D264">
        <f>-385.2308*$D$239</f>
        <v>0</v>
      </c>
      <c r="E264">
        <f>17.2823*$E$239</f>
        <v>0</v>
      </c>
      <c r="F264">
        <f>-542.6666*$F$239</f>
        <v>0</v>
      </c>
      <c r="G264">
        <f>-33.61*$G$239</f>
        <v>0</v>
      </c>
      <c r="H264">
        <f>0*$H$239</f>
        <v>0</v>
      </c>
      <c r="I264">
        <f>-55.3429*$I$239</f>
        <v>0</v>
      </c>
      <c r="J264">
        <f>-42.3864*$J$239</f>
        <v>0</v>
      </c>
      <c r="K264">
        <f>56.5152*$K$239</f>
        <v>0</v>
      </c>
      <c r="L264">
        <f>0.0122*$L$239</f>
        <v>0</v>
      </c>
      <c r="M264">
        <f>0+D264+E264+G264+H264+I264+J264+K264+L264</f>
        <v>0</v>
      </c>
      <c r="N264">
        <f>0+D264+F264+G264+H264+I264+J264+K264+L264</f>
        <v>0</v>
      </c>
    </row>
    <row r="265" spans="3:14">
      <c r="C265" t="s">
        <v>27</v>
      </c>
      <c r="D265">
        <f>-395.9893*$D$239</f>
        <v>0</v>
      </c>
      <c r="E265">
        <f>15.511*$E$239</f>
        <v>0</v>
      </c>
      <c r="F265">
        <f>-541.8938*$F$239</f>
        <v>0</v>
      </c>
      <c r="G265">
        <f>-36.3389*$G$239</f>
        <v>0</v>
      </c>
      <c r="H265">
        <f>0*$H$239</f>
        <v>0</v>
      </c>
      <c r="I265">
        <f>-56.7464*$I$239</f>
        <v>0</v>
      </c>
      <c r="J265">
        <f>-31.7017*$J$239</f>
        <v>0</v>
      </c>
      <c r="K265">
        <f>42.269*$K$239</f>
        <v>0</v>
      </c>
      <c r="L265">
        <f>0.0024*$L$239</f>
        <v>0</v>
      </c>
      <c r="M265">
        <f>0+D265+E265+G265+H265+I265+J265+K265+L265</f>
        <v>0</v>
      </c>
      <c r="N265">
        <f>0+D265+F265+G265+H265+I265+J265+K265+L265</f>
        <v>0</v>
      </c>
    </row>
    <row r="266" spans="3:14">
      <c r="C266" t="s">
        <v>28</v>
      </c>
      <c r="D266">
        <f>-358.5149*$D$239</f>
        <v>0</v>
      </c>
      <c r="E266">
        <f>18.1313*$E$239</f>
        <v>0</v>
      </c>
      <c r="F266">
        <f>-505.3956*$F$239</f>
        <v>0</v>
      </c>
      <c r="G266">
        <f>-32.2341*$G$239</f>
        <v>0</v>
      </c>
      <c r="H266">
        <f>0*$H$239</f>
        <v>0</v>
      </c>
      <c r="I266">
        <f>-51.4494*$I$239</f>
        <v>0</v>
      </c>
      <c r="J266">
        <f>-34.4267*$J$239</f>
        <v>0</v>
      </c>
      <c r="K266">
        <f>45.9022*$K$239</f>
        <v>0</v>
      </c>
      <c r="L266">
        <f>0.0124*$L$239</f>
        <v>0</v>
      </c>
      <c r="M266">
        <f>0+D266+E266+G266+H266+I266+J266+K266+L266</f>
        <v>0</v>
      </c>
      <c r="N266">
        <f>0+D266+F266+G266+H266+I266+J266+K266+L266</f>
        <v>0</v>
      </c>
    </row>
    <row r="267" spans="3:14">
      <c r="C267" t="s">
        <v>28</v>
      </c>
      <c r="D267">
        <f>-373.3421*$D$239</f>
        <v>0</v>
      </c>
      <c r="E267">
        <f>17.3519*$E$239</f>
        <v>0</v>
      </c>
      <c r="F267">
        <f>-514.9606*$F$239</f>
        <v>0</v>
      </c>
      <c r="G267">
        <f>-32.8939*$G$239</f>
        <v>0</v>
      </c>
      <c r="H267">
        <f>0*$H$239</f>
        <v>0</v>
      </c>
      <c r="I267">
        <f>-53.6026*$I$239</f>
        <v>0</v>
      </c>
      <c r="J267">
        <f>-41.8311*$J$239</f>
        <v>0</v>
      </c>
      <c r="K267">
        <f>55.7748*$K$239</f>
        <v>0</v>
      </c>
      <c r="L267">
        <f>0.002*$L$239</f>
        <v>0</v>
      </c>
      <c r="M267">
        <f>0+D267+E267+G267+H267+I267+J267+K267+L267</f>
        <v>0</v>
      </c>
      <c r="N267">
        <f>0+D267+F267+G267+H267+I267+J267+K267+L267</f>
        <v>0</v>
      </c>
    </row>
    <row r="268" spans="3:14">
      <c r="C268" t="s">
        <v>29</v>
      </c>
      <c r="D268">
        <f>-323.4929*$D$239</f>
        <v>0</v>
      </c>
      <c r="E268">
        <f>18.6599*$E$239</f>
        <v>0</v>
      </c>
      <c r="F268">
        <f>-454.5689*$F$239</f>
        <v>0</v>
      </c>
      <c r="G268">
        <f>-31.392*$G$239</f>
        <v>0</v>
      </c>
      <c r="H268">
        <f>0*$H$239</f>
        <v>0</v>
      </c>
      <c r="I268">
        <f>-46.2605*$I$239</f>
        <v>0</v>
      </c>
      <c r="J268">
        <f>-13.7692*$J$239</f>
        <v>0</v>
      </c>
      <c r="K268">
        <f>18.3589*$K$239</f>
        <v>0</v>
      </c>
      <c r="L268">
        <f>0.012*$L$239</f>
        <v>0</v>
      </c>
      <c r="M268">
        <f>0+D268+E268+G268+H268+I268+J268+K268+L268</f>
        <v>0</v>
      </c>
      <c r="N268">
        <f>0+D268+F268+G268+H268+I268+J268+K268+L268</f>
        <v>0</v>
      </c>
    </row>
    <row r="269" spans="3:14">
      <c r="C269" t="s">
        <v>29</v>
      </c>
      <c r="D269">
        <f>-341.258*$D$239</f>
        <v>0</v>
      </c>
      <c r="E269">
        <f>18.9637*$E$239</f>
        <v>0</v>
      </c>
      <c r="F269">
        <f>-473.1904*$F$239</f>
        <v>0</v>
      </c>
      <c r="G269">
        <f>-31.07*$G$239</f>
        <v>0</v>
      </c>
      <c r="H269">
        <f>0*$H$239</f>
        <v>0</v>
      </c>
      <c r="I269">
        <f>-48.9175*$I$239</f>
        <v>0</v>
      </c>
      <c r="J269">
        <f>-33.8694*$J$239</f>
        <v>0</v>
      </c>
      <c r="K269">
        <f>45.1591*$K$239</f>
        <v>0</v>
      </c>
      <c r="L269">
        <f>-0.0014*$L$239</f>
        <v>0</v>
      </c>
      <c r="M269">
        <f>0+D269+E269+G269+H269+I269+J269+K269+L269</f>
        <v>0</v>
      </c>
      <c r="N269">
        <f>0+D269+F269+G269+H269+I269+J269+K269+L269</f>
        <v>0</v>
      </c>
    </row>
    <row r="270" spans="3:14">
      <c r="C270" t="s">
        <v>30</v>
      </c>
      <c r="D270">
        <f>-279.4142*$D$239</f>
        <v>0</v>
      </c>
      <c r="E270">
        <f>16.9769*$E$239</f>
        <v>0</v>
      </c>
      <c r="F270">
        <f>-378.3521*$F$239</f>
        <v>0</v>
      </c>
      <c r="G270">
        <f>-38.787*$G$239</f>
        <v>0</v>
      </c>
      <c r="H270">
        <f>0*$H$239</f>
        <v>0</v>
      </c>
      <c r="I270">
        <f>-39.1949*$I$239</f>
        <v>0</v>
      </c>
      <c r="J270">
        <f>83.8344*$J$239</f>
        <v>0</v>
      </c>
      <c r="K270">
        <f>-111.7791*$K$239</f>
        <v>0</v>
      </c>
      <c r="L270">
        <f>0.0033*$L$239</f>
        <v>0</v>
      </c>
      <c r="M270">
        <f>0+D270+E270+G270+H270+I270+J270+K270+L270</f>
        <v>0</v>
      </c>
      <c r="N270">
        <f>0+D270+F270+G270+H270+I270+J270+K270+L270</f>
        <v>0</v>
      </c>
    </row>
    <row r="271" spans="3:14">
      <c r="C271" t="s">
        <v>30</v>
      </c>
      <c r="D271">
        <f>-301.6129*$D$239</f>
        <v>0</v>
      </c>
      <c r="E271">
        <f>16.8955*$E$239</f>
        <v>0</v>
      </c>
      <c r="F271">
        <f>-390.5935*$F$239</f>
        <v>0</v>
      </c>
      <c r="G271">
        <f>-40.9921*$G$239</f>
        <v>0</v>
      </c>
      <c r="H271">
        <f>0*$H$239</f>
        <v>0</v>
      </c>
      <c r="I271">
        <f>-42.3237*$I$239</f>
        <v>0</v>
      </c>
      <c r="J271">
        <f>90.9844*$J$239</f>
        <v>0</v>
      </c>
      <c r="K271">
        <f>-121.3126*$K$239</f>
        <v>0</v>
      </c>
      <c r="L271">
        <f>0.0101*$L$239</f>
        <v>0</v>
      </c>
      <c r="M271">
        <f>0+D271+E271+G271+H271+I271+J271+K271+L271</f>
        <v>0</v>
      </c>
      <c r="N271">
        <f>0+D271+F271+G271+H271+I271+J271+K271+L271</f>
        <v>0</v>
      </c>
    </row>
    <row r="272" spans="3:14">
      <c r="C272" t="s">
        <v>31</v>
      </c>
      <c r="D272">
        <f>-233.2632*$D$239</f>
        <v>0</v>
      </c>
      <c r="E272">
        <f>21.6404*$E$239</f>
        <v>0</v>
      </c>
      <c r="F272">
        <f>-337.1044*$F$239</f>
        <v>0</v>
      </c>
      <c r="G272">
        <f>-19.9382*$G$239</f>
        <v>0</v>
      </c>
      <c r="H272">
        <f>0*$H$239</f>
        <v>0</v>
      </c>
      <c r="I272">
        <f>-33.5664*$I$239</f>
        <v>0</v>
      </c>
      <c r="J272">
        <f>-39.1311*$J$239</f>
        <v>0</v>
      </c>
      <c r="K272">
        <f>52.1748*$K$239</f>
        <v>0</v>
      </c>
      <c r="L272">
        <f>0.0141*$L$239</f>
        <v>0</v>
      </c>
      <c r="M272">
        <f>0+D272+E272+G272+H272+I272+J272+K272+L272</f>
        <v>0</v>
      </c>
      <c r="N272">
        <f>0+D272+F272+G272+H272+I272+J272+K272+L272</f>
        <v>0</v>
      </c>
    </row>
    <row r="273" spans="3:14">
      <c r="C273" t="s">
        <v>31</v>
      </c>
      <c r="D273">
        <f>-250.632*$D$239</f>
        <v>0</v>
      </c>
      <c r="E273">
        <f>20.2783*$E$239</f>
        <v>0</v>
      </c>
      <c r="F273">
        <f>-345.1629*$F$239</f>
        <v>0</v>
      </c>
      <c r="G273">
        <f>-25.2799*$G$239</f>
        <v>0</v>
      </c>
      <c r="H273">
        <f>0*$H$239</f>
        <v>0</v>
      </c>
      <c r="I273">
        <f>-35.8077*$I$239</f>
        <v>0</v>
      </c>
      <c r="J273">
        <f>-21.0282*$J$239</f>
        <v>0</v>
      </c>
      <c r="K273">
        <f>28.0376*$K$239</f>
        <v>0</v>
      </c>
      <c r="L273">
        <f>0.0035*$L$239</f>
        <v>0</v>
      </c>
      <c r="M273">
        <f>0+D273+E273+G273+H273+I273+J273+K273+L273</f>
        <v>0</v>
      </c>
      <c r="N273">
        <f>0+D273+F273+G273+H273+I273+J273+K273+L273</f>
        <v>0</v>
      </c>
    </row>
    <row r="274" spans="3:14">
      <c r="C274" t="s">
        <v>32</v>
      </c>
      <c r="D274">
        <f>-177.8417*$D$239</f>
        <v>0</v>
      </c>
      <c r="E274">
        <f>23.3445*$E$239</f>
        <v>0</v>
      </c>
      <c r="F274">
        <f>-264.9183*$F$239</f>
        <v>0</v>
      </c>
      <c r="G274">
        <f>-12.5923*$G$239</f>
        <v>0</v>
      </c>
      <c r="H274">
        <f>0*$H$239</f>
        <v>0</v>
      </c>
      <c r="I274">
        <f>-25.8231*$I$239</f>
        <v>0</v>
      </c>
      <c r="J274">
        <f>-63.2845*$J$239</f>
        <v>0</v>
      </c>
      <c r="K274">
        <f>84.3794*$K$239</f>
        <v>0</v>
      </c>
      <c r="L274">
        <f>0.015*$L$239</f>
        <v>0</v>
      </c>
      <c r="M274">
        <f>0+D274+E274+G274+H274+I274+J274+K274+L274</f>
        <v>0</v>
      </c>
      <c r="N274">
        <f>0+D274+F274+G274+H274+I274+J274+K274+L274</f>
        <v>0</v>
      </c>
    </row>
    <row r="275" spans="3:14">
      <c r="C275" t="s">
        <v>32</v>
      </c>
      <c r="D275">
        <f>-192.5138*$D$239</f>
        <v>0</v>
      </c>
      <c r="E275">
        <f>22.5517*$E$239</f>
        <v>0</v>
      </c>
      <c r="F275">
        <f>-273.1758*$F$239</f>
        <v>0</v>
      </c>
      <c r="G275">
        <f>-17.0034*$G$239</f>
        <v>0</v>
      </c>
      <c r="H275">
        <f>0*$H$239</f>
        <v>0</v>
      </c>
      <c r="I275">
        <f>-27.7408*$I$239</f>
        <v>0</v>
      </c>
      <c r="J275">
        <f>-61.4857*$J$239</f>
        <v>0</v>
      </c>
      <c r="K275">
        <f>81.981*$K$239</f>
        <v>0</v>
      </c>
      <c r="L275">
        <f>0.0065*$L$239</f>
        <v>0</v>
      </c>
      <c r="M275">
        <f>0+D275+E275+G275+H275+I275+J275+K275+L275</f>
        <v>0</v>
      </c>
      <c r="N275">
        <f>0+D275+F275+G275+H275+I275+J275+K275+L275</f>
        <v>0</v>
      </c>
    </row>
    <row r="276" spans="3:14">
      <c r="C276" t="s">
        <v>33</v>
      </c>
      <c r="D276">
        <f>-118.465*$D$239</f>
        <v>0</v>
      </c>
      <c r="E276">
        <f>21.0482*$E$239</f>
        <v>0</v>
      </c>
      <c r="F276">
        <f>-180.7456*$F$239</f>
        <v>0</v>
      </c>
      <c r="G276">
        <f>-7.2519*$G$239</f>
        <v>0</v>
      </c>
      <c r="H276">
        <f>0*$H$239</f>
        <v>0</v>
      </c>
      <c r="I276">
        <f>-17.3175*$I$239</f>
        <v>0</v>
      </c>
      <c r="J276">
        <f>-64.1933*$J$239</f>
        <v>0</v>
      </c>
      <c r="K276">
        <f>85.5911*$K$239</f>
        <v>0</v>
      </c>
      <c r="L276">
        <f>0.0194*$L$239</f>
        <v>0</v>
      </c>
      <c r="M276">
        <f>0+D276+E276+G276+H276+I276+J276+K276+L276</f>
        <v>0</v>
      </c>
      <c r="N276">
        <f>0+D276+F276+G276+H276+I276+J276+K276+L276</f>
        <v>0</v>
      </c>
    </row>
    <row r="277" spans="3:14">
      <c r="C277" t="s">
        <v>33</v>
      </c>
      <c r="D277">
        <f>-126.04*$D$239</f>
        <v>0</v>
      </c>
      <c r="E277">
        <f>23.0997*$E$239</f>
        <v>0</v>
      </c>
      <c r="F277">
        <f>-187.3271*$F$239</f>
        <v>0</v>
      </c>
      <c r="G277">
        <f>-9.3662*$G$239</f>
        <v>0</v>
      </c>
      <c r="H277">
        <f>0*$H$239</f>
        <v>0</v>
      </c>
      <c r="I277">
        <f>-18.3769*$I$239</f>
        <v>0</v>
      </c>
      <c r="J277">
        <f>-93.2886*$J$239</f>
        <v>0</v>
      </c>
      <c r="K277">
        <f>124.3847*$K$239</f>
        <v>0</v>
      </c>
      <c r="L277">
        <f>0.0099*$L$239</f>
        <v>0</v>
      </c>
      <c r="M277">
        <f>0+D277+E277+G277+H277+I277+J277+K277+L277</f>
        <v>0</v>
      </c>
      <c r="N277">
        <f>0+D277+F277+G277+H277+I277+J277+K277+L277</f>
        <v>0</v>
      </c>
    </row>
    <row r="278" spans="3:14">
      <c r="C278" t="s">
        <v>34</v>
      </c>
      <c r="D278">
        <f>-59.8115*$D$239</f>
        <v>0</v>
      </c>
      <c r="E278">
        <f>15.8582*$E$239</f>
        <v>0</v>
      </c>
      <c r="F278">
        <f>-94.3409*$F$239</f>
        <v>0</v>
      </c>
      <c r="G278">
        <f>-2.8935*$G$239</f>
        <v>0</v>
      </c>
      <c r="H278">
        <f>0*$H$239</f>
        <v>0</v>
      </c>
      <c r="I278">
        <f>-8.8069*$I$239</f>
        <v>0</v>
      </c>
      <c r="J278">
        <f>-46.5323*$J$239</f>
        <v>0</v>
      </c>
      <c r="K278">
        <f>62.0431*$K$239</f>
        <v>0</v>
      </c>
      <c r="L278">
        <f>0.0184*$L$239</f>
        <v>0</v>
      </c>
      <c r="M278">
        <f>0+D278+E278+G278+H278+I278+J278+K278+L278</f>
        <v>0</v>
      </c>
      <c r="N278">
        <f>0+D278+F278+G278+H278+I278+J278+K278+L278</f>
        <v>0</v>
      </c>
    </row>
    <row r="279" spans="3:14">
      <c r="C279" t="s">
        <v>34</v>
      </c>
      <c r="D279">
        <f>-56.0597*$D$239</f>
        <v>0</v>
      </c>
      <c r="E279">
        <f>21.7802*$E$239</f>
        <v>0</v>
      </c>
      <c r="F279">
        <f>-94.3347*$F$239</f>
        <v>0</v>
      </c>
      <c r="G279">
        <f>-2.9038*$G$239</f>
        <v>0</v>
      </c>
      <c r="H279">
        <f>0*$H$239</f>
        <v>0</v>
      </c>
      <c r="I279">
        <f>-8.3601*$I$239</f>
        <v>0</v>
      </c>
      <c r="J279">
        <f>-105.8487*$J$239</f>
        <v>0</v>
      </c>
      <c r="K279">
        <f>141.1316*$K$239</f>
        <v>0</v>
      </c>
      <c r="L279">
        <f>0.0041*$L$239</f>
        <v>0</v>
      </c>
      <c r="M279">
        <f>0+D279+E279+G279+H279+I279+J279+K279+L279</f>
        <v>0</v>
      </c>
      <c r="N279">
        <f>0+D279+F279+G279+H279+I279+J279+K279+L279</f>
        <v>0</v>
      </c>
    </row>
    <row r="280" spans="3:14">
      <c r="C280" t="s">
        <v>35</v>
      </c>
      <c r="D280">
        <f>-23.0247*$D$239</f>
        <v>0</v>
      </c>
      <c r="E280">
        <f>21.0855*$E$239</f>
        <v>0</v>
      </c>
      <c r="F280">
        <f>-40.6656*$F$239</f>
        <v>0</v>
      </c>
      <c r="G280">
        <f>-5.2895*$G$239</f>
        <v>0</v>
      </c>
      <c r="H280">
        <f>0*$H$239</f>
        <v>0</v>
      </c>
      <c r="I280">
        <f>-2.9771*$I$239</f>
        <v>0</v>
      </c>
      <c r="J280">
        <f>81.5461*$J$239</f>
        <v>0</v>
      </c>
      <c r="K280">
        <f>-108.7281*$K$239</f>
        <v>0</v>
      </c>
      <c r="L280">
        <f>-0.0052*$L$239</f>
        <v>0</v>
      </c>
      <c r="M280">
        <f>0+D280+E280+G280+H280+I280+J280+K280+L280</f>
        <v>0</v>
      </c>
      <c r="N280">
        <f>0+D280+F280+G280+H280+I280+J280+K280+L280</f>
        <v>0</v>
      </c>
    </row>
    <row r="281" spans="3:14">
      <c r="C281" t="s">
        <v>35</v>
      </c>
      <c r="D281">
        <f>-20.2303*$D$239</f>
        <v>0</v>
      </c>
      <c r="E281">
        <f>4.6322*$E$239</f>
        <v>0</v>
      </c>
      <c r="F281">
        <f>-22.6127*$F$239</f>
        <v>0</v>
      </c>
      <c r="G281">
        <f>-3.2853*$G$239</f>
        <v>0</v>
      </c>
      <c r="H281">
        <f>0*$H$239</f>
        <v>0</v>
      </c>
      <c r="I281">
        <f>-2.7568*$I$239</f>
        <v>0</v>
      </c>
      <c r="J281">
        <f>45.1876*$J$239</f>
        <v>0</v>
      </c>
      <c r="K281">
        <f>-60.2501*$K$239</f>
        <v>0</v>
      </c>
      <c r="L281">
        <f>0.0003646*$L$239</f>
        <v>0</v>
      </c>
      <c r="M281">
        <f>0+D281+E281+G281+H281+I281+J281+K281+L281</f>
        <v>0</v>
      </c>
      <c r="N281">
        <f>0+D281+F281+G281+H281+I281+J281+K281+L281</f>
        <v>0</v>
      </c>
    </row>
    <row r="282" spans="3:14">
      <c r="C282" t="s">
        <v>36</v>
      </c>
      <c r="D282">
        <f>-3.8453*$D$239</f>
        <v>0</v>
      </c>
      <c r="E282">
        <f>2.5684*$E$239</f>
        <v>0</v>
      </c>
      <c r="F282">
        <f>-5.1645*$F$239</f>
        <v>0</v>
      </c>
      <c r="G282">
        <f>-0.4799*$G$239</f>
        <v>0</v>
      </c>
      <c r="H282">
        <f>0*$H$239</f>
        <v>0</v>
      </c>
      <c r="I282">
        <f>-0.5073*$I$239</f>
        <v>0</v>
      </c>
      <c r="J282">
        <f>17.2347*$J$239</f>
        <v>0</v>
      </c>
      <c r="K282">
        <f>-22.9796*$K$239</f>
        <v>0</v>
      </c>
      <c r="L282">
        <f>0.0057*$L$239</f>
        <v>0</v>
      </c>
      <c r="M282">
        <f>0+D282+E282+G282+H282+I282+J282+K282+L282</f>
        <v>0</v>
      </c>
      <c r="N282">
        <f>0+D282+F282+G282+H282+I282+J282+K282+L282</f>
        <v>0</v>
      </c>
    </row>
    <row r="283" spans="3:14">
      <c r="C283" t="s">
        <v>36</v>
      </c>
      <c r="D283">
        <f>-4.5403*$D$239</f>
        <v>0</v>
      </c>
      <c r="E283">
        <f>4.1603*$E$239</f>
        <v>0</v>
      </c>
      <c r="F283">
        <f>-8.1196*$F$239</f>
        <v>0</v>
      </c>
      <c r="G283">
        <f>-0.4559*$G$239</f>
        <v>0</v>
      </c>
      <c r="H283">
        <f>0*$H$239</f>
        <v>0</v>
      </c>
      <c r="I283">
        <f>-0.6084*$I$239</f>
        <v>0</v>
      </c>
      <c r="J283">
        <f>17.7111*$J$239</f>
        <v>0</v>
      </c>
      <c r="K283">
        <f>-23.6148*$K$239</f>
        <v>0</v>
      </c>
      <c r="L283">
        <f>-0.1569*$L$239</f>
        <v>0</v>
      </c>
      <c r="M283">
        <f>0+D283+E283+G283+H283+I283+J283+K283+L283</f>
        <v>0</v>
      </c>
      <c r="N283">
        <f>0+D283+F283+G283+H283+I283+J283+K283+L283</f>
        <v>0</v>
      </c>
    </row>
    <row r="284" spans="3:14">
      <c r="C284" t="s">
        <v>37</v>
      </c>
      <c r="D284">
        <f>-20.4165*$D$239</f>
        <v>0</v>
      </c>
      <c r="E284">
        <f>2.6393*$E$239</f>
        <v>0</v>
      </c>
      <c r="F284">
        <f>-22.3837*$F$239</f>
        <v>0</v>
      </c>
      <c r="G284">
        <f>-3.2165*$G$239</f>
        <v>0</v>
      </c>
      <c r="H284">
        <f>0*$H$239</f>
        <v>0</v>
      </c>
      <c r="I284">
        <f>-2.786*$I$239</f>
        <v>0</v>
      </c>
      <c r="J284">
        <f>45.728*$J$239</f>
        <v>0</v>
      </c>
      <c r="K284">
        <f>-60.9707*$K$239</f>
        <v>0</v>
      </c>
      <c r="L284">
        <f>-0.0653*$L$239</f>
        <v>0</v>
      </c>
      <c r="M284">
        <f>0+D284+E284+G284+H284+I284+J284+K284+L284</f>
        <v>0</v>
      </c>
      <c r="N284">
        <f>0+D284+F284+G284+H284+I284+J284+K284+L284</f>
        <v>0</v>
      </c>
    </row>
    <row r="285" spans="3:14">
      <c r="C285" t="s">
        <v>37</v>
      </c>
      <c r="D285">
        <f>-24.9821*$D$239</f>
        <v>0</v>
      </c>
      <c r="E285">
        <f>12.4504*$E$239</f>
        <v>0</v>
      </c>
      <c r="F285">
        <f>-36.0184*$F$239</f>
        <v>0</v>
      </c>
      <c r="G285">
        <f>-5.1337*$G$239</f>
        <v>0</v>
      </c>
      <c r="H285">
        <f>0*$H$239</f>
        <v>0</v>
      </c>
      <c r="I285">
        <f>-3.2655*$I$239</f>
        <v>0</v>
      </c>
      <c r="J285">
        <f>83.5534*$J$239</f>
        <v>0</v>
      </c>
      <c r="K285">
        <f>-111.4046*$K$239</f>
        <v>0</v>
      </c>
      <c r="L285">
        <f>0.0822*$L$239</f>
        <v>0</v>
      </c>
      <c r="M285">
        <f>0+D285+E285+G285+H285+I285+J285+K285+L285</f>
        <v>0</v>
      </c>
      <c r="N285">
        <f>0+D285+F285+G285+H285+I285+J285+K285+L285</f>
        <v>0</v>
      </c>
    </row>
    <row r="286" spans="3:14">
      <c r="C286" t="s">
        <v>38</v>
      </c>
      <c r="D286">
        <f>-53.1568*$D$239</f>
        <v>0</v>
      </c>
      <c r="E286">
        <f>15.2464*$E$239</f>
        <v>0</v>
      </c>
      <c r="F286">
        <f>-93.1958*$F$239</f>
        <v>0</v>
      </c>
      <c r="G286">
        <f>-2.6869*$G$239</f>
        <v>0</v>
      </c>
      <c r="H286">
        <f>0*$H$239</f>
        <v>0</v>
      </c>
      <c r="I286">
        <f>-7.9453*$I$239</f>
        <v>0</v>
      </c>
      <c r="J286">
        <f>-105.9863*$J$239</f>
        <v>0</v>
      </c>
      <c r="K286">
        <f>141.3151*$K$239</f>
        <v>0</v>
      </c>
      <c r="L286">
        <f>-0.0751*$L$239</f>
        <v>0</v>
      </c>
      <c r="M286">
        <f>0+D286+E286+G286+H286+I286+J286+K286+L286</f>
        <v>0</v>
      </c>
      <c r="N286">
        <f>0+D286+F286+G286+H286+I286+J286+K286+L286</f>
        <v>0</v>
      </c>
    </row>
    <row r="287" spans="3:14">
      <c r="C287" t="s">
        <v>38</v>
      </c>
      <c r="D287">
        <f>-59.8308*$D$239</f>
        <v>0</v>
      </c>
      <c r="E287">
        <f>5.7928*$E$239</f>
        <v>0</v>
      </c>
      <c r="F287">
        <f>-91.3078*$F$239</f>
        <v>0</v>
      </c>
      <c r="G287">
        <f>-2.7628*$G$239</f>
        <v>0</v>
      </c>
      <c r="H287">
        <f>0*$H$239</f>
        <v>0</v>
      </c>
      <c r="I287">
        <f>-8.8049*$I$239</f>
        <v>0</v>
      </c>
      <c r="J287">
        <f>-46.3442*$J$239</f>
        <v>0</v>
      </c>
      <c r="K287">
        <f>61.7923*$K$239</f>
        <v>0</v>
      </c>
      <c r="L287">
        <f>-0.5851*$L$239</f>
        <v>0</v>
      </c>
      <c r="M287">
        <f>0+D287+E287+G287+H287+I287+J287+K287+L287</f>
        <v>0</v>
      </c>
      <c r="N287">
        <f>0+D287+F287+G287+H287+I287+J287+K287+L287</f>
        <v>0</v>
      </c>
    </row>
    <row r="288" spans="3:14">
      <c r="C288" t="s">
        <v>39</v>
      </c>
      <c r="D288">
        <f>-120.4759*$D$239</f>
        <v>0</v>
      </c>
      <c r="E288">
        <f>12.1924*$E$239</f>
        <v>0</v>
      </c>
      <c r="F288">
        <f>-183.1764*$F$239</f>
        <v>0</v>
      </c>
      <c r="G288">
        <f>-9.0922*$G$239</f>
        <v>0</v>
      </c>
      <c r="H288">
        <f>0*$H$239</f>
        <v>0</v>
      </c>
      <c r="I288">
        <f>-17.572*$I$239</f>
        <v>0</v>
      </c>
      <c r="J288">
        <f>-94.9249*$J$239</f>
        <v>0</v>
      </c>
      <c r="K288">
        <f>126.5665*$K$239</f>
        <v>0</v>
      </c>
      <c r="L288">
        <f>-0.0865*$L$239</f>
        <v>0</v>
      </c>
      <c r="M288">
        <f>0+D288+E288+G288+H288+I288+J288+K288+L288</f>
        <v>0</v>
      </c>
      <c r="N288">
        <f>0+D288+F288+G288+H288+I288+J288+K288+L288</f>
        <v>0</v>
      </c>
    </row>
    <row r="289" spans="3:14">
      <c r="C289" t="s">
        <v>39</v>
      </c>
      <c r="D289">
        <f>-116.5352*$D$239</f>
        <v>0</v>
      </c>
      <c r="E289">
        <f>6.665*$E$239</f>
        <v>0</v>
      </c>
      <c r="F289">
        <f>-174.9711*$F$239</f>
        <v>0</v>
      </c>
      <c r="G289">
        <f>-7.0627*$G$239</f>
        <v>0</v>
      </c>
      <c r="H289">
        <f>0*$H$239</f>
        <v>0</v>
      </c>
      <c r="I289">
        <f>-17.0277*$I$239</f>
        <v>0</v>
      </c>
      <c r="J289">
        <f>-65.1692*$J$239</f>
        <v>0</v>
      </c>
      <c r="K289">
        <f>86.8923*$K$239</f>
        <v>0</v>
      </c>
      <c r="L289">
        <f>-0.6724*$L$239</f>
        <v>0</v>
      </c>
      <c r="M289">
        <f>0+D289+E289+G289+H289+I289+J289+K289+L289</f>
        <v>0</v>
      </c>
      <c r="N289">
        <f>0+D289+F289+G289+H289+I289+J289+K289+L289</f>
        <v>0</v>
      </c>
    </row>
    <row r="290" spans="3:14">
      <c r="C290" t="s">
        <v>40</v>
      </c>
      <c r="D290">
        <f>-184.9175*$D$239</f>
        <v>0</v>
      </c>
      <c r="E290">
        <f>7.254*$E$239</f>
        <v>0</v>
      </c>
      <c r="F290">
        <f>-267.4821*$F$239</f>
        <v>0</v>
      </c>
      <c r="G290">
        <f>-16.5532*$G$239</f>
        <v>0</v>
      </c>
      <c r="H290">
        <f>0*$H$239</f>
        <v>0</v>
      </c>
      <c r="I290">
        <f>-26.6437*$I$239</f>
        <v>0</v>
      </c>
      <c r="J290">
        <f>-63.283*$J$239</f>
        <v>0</v>
      </c>
      <c r="K290">
        <f>84.3773*$K$239</f>
        <v>0</v>
      </c>
      <c r="L290">
        <f>0.0836*$L$239</f>
        <v>0</v>
      </c>
      <c r="M290">
        <f>0+D290+E290+G290+H290+I290+J290+K290+L290</f>
        <v>0</v>
      </c>
      <c r="N290">
        <f>0+D290+F290+G290+H290+I290+J290+K290+L290</f>
        <v>0</v>
      </c>
    </row>
    <row r="291" spans="3:14">
      <c r="C291" t="s">
        <v>40</v>
      </c>
      <c r="D291">
        <f>-174.1682*$D$239</f>
        <v>0</v>
      </c>
      <c r="E291">
        <f>5.3509*$E$239</f>
        <v>0</v>
      </c>
      <c r="F291">
        <f>-257.1446*$F$239</f>
        <v>0</v>
      </c>
      <c r="G291">
        <f>-12.2572*$G$239</f>
        <v>0</v>
      </c>
      <c r="H291">
        <f>0*$H$239</f>
        <v>0</v>
      </c>
      <c r="I291">
        <f>-25.2801*$I$239</f>
        <v>0</v>
      </c>
      <c r="J291">
        <f>-64.5761*$J$239</f>
        <v>0</v>
      </c>
      <c r="K291">
        <f>86.1014*$K$239</f>
        <v>0</v>
      </c>
      <c r="L291">
        <f>-0.6579*$L$239</f>
        <v>0</v>
      </c>
      <c r="M291">
        <f>0+D291+E291+G291+H291+I291+J291+K291+L291</f>
        <v>0</v>
      </c>
      <c r="N291">
        <f>0+D291+F291+G291+H291+I291+J291+K291+L291</f>
        <v>0</v>
      </c>
    </row>
    <row r="292" spans="3:14">
      <c r="C292" t="s">
        <v>41</v>
      </c>
      <c r="D292">
        <f>-241.3697*$D$239</f>
        <v>0</v>
      </c>
      <c r="E292">
        <f>5.3724*$E$239</f>
        <v>0</v>
      </c>
      <c r="F292">
        <f>-338.3157*$F$239</f>
        <v>0</v>
      </c>
      <c r="G292">
        <f>-24.5962*$G$239</f>
        <v>0</v>
      </c>
      <c r="H292">
        <f>0*$H$239</f>
        <v>0</v>
      </c>
      <c r="I292">
        <f>-34.4747*$I$239</f>
        <v>0</v>
      </c>
      <c r="J292">
        <f>-22.3163*$J$239</f>
        <v>0</v>
      </c>
      <c r="K292">
        <f>29.7551*$K$239</f>
        <v>0</v>
      </c>
      <c r="L292">
        <f>0.2463*$L$239</f>
        <v>0</v>
      </c>
      <c r="M292">
        <f>0+D292+E292+G292+H292+I292+J292+K292+L292</f>
        <v>0</v>
      </c>
      <c r="N292">
        <f>0+D292+F292+G292+H292+I292+J292+K292+L292</f>
        <v>0</v>
      </c>
    </row>
    <row r="293" spans="3:14">
      <c r="C293" t="s">
        <v>41</v>
      </c>
      <c r="D293">
        <f>-227.9921*$D$239</f>
        <v>0</v>
      </c>
      <c r="E293">
        <f>4.8593*$E$239</f>
        <v>0</v>
      </c>
      <c r="F293">
        <f>-327.2656*$F$239</f>
        <v>0</v>
      </c>
      <c r="G293">
        <f>-19.4116*$G$239</f>
        <v>0</v>
      </c>
      <c r="H293">
        <f>0*$H$239</f>
        <v>0</v>
      </c>
      <c r="I293">
        <f>-32.7939*$I$239</f>
        <v>0</v>
      </c>
      <c r="J293">
        <f>-40.281*$J$239</f>
        <v>0</v>
      </c>
      <c r="K293">
        <f>53.708*$K$239</f>
        <v>0</v>
      </c>
      <c r="L293">
        <f>-0.7034*$L$239</f>
        <v>0</v>
      </c>
      <c r="M293">
        <f>0+D293+E293+G293+H293+I293+J293+K293+L293</f>
        <v>0</v>
      </c>
      <c r="N293">
        <f>0+D293+F293+G293+H293+I293+J293+K293+L293</f>
        <v>0</v>
      </c>
    </row>
    <row r="294" spans="3:14">
      <c r="C294" t="s">
        <v>42</v>
      </c>
      <c r="D294">
        <f>-291.4006*$D$239</f>
        <v>0</v>
      </c>
      <c r="E294">
        <f>6.4194*$E$239</f>
        <v>0</v>
      </c>
      <c r="F294">
        <f>-382.0564*$F$239</f>
        <v>0</v>
      </c>
      <c r="G294">
        <f>-39.9617*$G$239</f>
        <v>0</v>
      </c>
      <c r="H294">
        <f>0*$H$239</f>
        <v>0</v>
      </c>
      <c r="I294">
        <f>-40.8654*$I$239</f>
        <v>0</v>
      </c>
      <c r="J294">
        <f>91.5365*$J$239</f>
        <v>0</v>
      </c>
      <c r="K294">
        <f>-122.0487*$K$239</f>
        <v>0</v>
      </c>
      <c r="L294">
        <f>0.2811*$L$239</f>
        <v>0</v>
      </c>
      <c r="M294">
        <f>0+D294+E294+G294+H294+I294+J294+K294+L294</f>
        <v>0</v>
      </c>
      <c r="N294">
        <f>0+D294+F294+G294+H294+I294+J294+K294+L294</f>
        <v>0</v>
      </c>
    </row>
    <row r="295" spans="3:14">
      <c r="C295" t="s">
        <v>42</v>
      </c>
      <c r="D295">
        <f>-273.4051*$D$239</f>
        <v>0</v>
      </c>
      <c r="E295">
        <f>5.619*$E$239</f>
        <v>0</v>
      </c>
      <c r="F295">
        <f>-367.279*$F$239</f>
        <v>0</v>
      </c>
      <c r="G295">
        <f>-37.9104*$G$239</f>
        <v>0</v>
      </c>
      <c r="H295">
        <f>0*$H$239</f>
        <v>0</v>
      </c>
      <c r="I295">
        <f>-38.3268*$I$239</f>
        <v>0</v>
      </c>
      <c r="J295">
        <f>84.6339*$J$239</f>
        <v>0</v>
      </c>
      <c r="K295">
        <f>-112.8452*$K$239</f>
        <v>0</v>
      </c>
      <c r="L295">
        <f>-0.1648*$L$239</f>
        <v>0</v>
      </c>
      <c r="M295">
        <f>0+D295+E295+G295+H295+I295+J295+K295+L295</f>
        <v>0</v>
      </c>
      <c r="N295">
        <f>0+D295+F295+G295+H295+I295+J295+K295+L295</f>
        <v>0</v>
      </c>
    </row>
    <row r="296" spans="3:14">
      <c r="C296" t="s">
        <v>43</v>
      </c>
      <c r="D296">
        <f>-327.9011*$D$239</f>
        <v>0</v>
      </c>
      <c r="E296">
        <f>7.8912*$E$239</f>
        <v>0</v>
      </c>
      <c r="F296">
        <f>-462.4874*$F$239</f>
        <v>0</v>
      </c>
      <c r="G296">
        <f>-29.9922*$G$239</f>
        <v>0</v>
      </c>
      <c r="H296">
        <f>0*$H$239</f>
        <v>0</v>
      </c>
      <c r="I296">
        <f>-46.9975*$I$239</f>
        <v>0</v>
      </c>
      <c r="J296">
        <f>-35.1947*$J$239</f>
        <v>0</v>
      </c>
      <c r="K296">
        <f>46.9262*$K$239</f>
        <v>0</v>
      </c>
      <c r="L296">
        <f>0.4853*$L$239</f>
        <v>0</v>
      </c>
      <c r="M296">
        <f>0+D296+E296+G296+H296+I296+J296+K296+L296</f>
        <v>0</v>
      </c>
      <c r="N296">
        <f>0+D296+F296+G296+H296+I296+J296+K296+L296</f>
        <v>0</v>
      </c>
    </row>
    <row r="297" spans="3:14">
      <c r="C297" t="s">
        <v>43</v>
      </c>
      <c r="D297">
        <f>-315.0536*$D$239</f>
        <v>0</v>
      </c>
      <c r="E297">
        <f>6.7866*$E$239</f>
        <v>0</v>
      </c>
      <c r="F297">
        <f>-439.0728*$F$239</f>
        <v>0</v>
      </c>
      <c r="G297">
        <f>-30.4275*$G$239</f>
        <v>0</v>
      </c>
      <c r="H297">
        <f>0*$H$239</f>
        <v>0</v>
      </c>
      <c r="I297">
        <f>-45.0357*$I$239</f>
        <v>0</v>
      </c>
      <c r="J297">
        <f>-14.1713*$J$239</f>
        <v>0</v>
      </c>
      <c r="K297">
        <f>18.8951*$K$239</f>
        <v>0</v>
      </c>
      <c r="L297">
        <f>-0.6522*$L$239</f>
        <v>0</v>
      </c>
      <c r="M297">
        <f>0+D297+E297+G297+H297+I297+J297+K297+L297</f>
        <v>0</v>
      </c>
      <c r="N297">
        <f>0+D297+F297+G297+H297+I297+J297+K297+L297</f>
        <v>0</v>
      </c>
    </row>
    <row r="298" spans="3:14">
      <c r="C298" t="s">
        <v>44</v>
      </c>
      <c r="D298">
        <f>-358.149*$D$239</f>
        <v>0</v>
      </c>
      <c r="E298">
        <f>8.9866*$E$239</f>
        <v>0</v>
      </c>
      <c r="F298">
        <f>-501.3833*$F$239</f>
        <v>0</v>
      </c>
      <c r="G298">
        <f>-31.5967*$G$239</f>
        <v>0</v>
      </c>
      <c r="H298">
        <f>0*$H$239</f>
        <v>0</v>
      </c>
      <c r="I298">
        <f>-51.4209*$I$239</f>
        <v>0</v>
      </c>
      <c r="J298">
        <f>-42.9096*$J$239</f>
        <v>0</v>
      </c>
      <c r="K298">
        <f>57.2128*$K$239</f>
        <v>0</v>
      </c>
      <c r="L298">
        <f>0.4845*$L$239</f>
        <v>0</v>
      </c>
      <c r="M298">
        <f>0+D298+E298+G298+H298+I298+J298+K298+L298</f>
        <v>0</v>
      </c>
      <c r="N298">
        <f>0+D298+F298+G298+H298+I298+J298+K298+L298</f>
        <v>0</v>
      </c>
    </row>
    <row r="299" spans="3:14">
      <c r="C299" t="s">
        <v>44</v>
      </c>
      <c r="D299">
        <f>-348.0965*$D$239</f>
        <v>0</v>
      </c>
      <c r="E299">
        <f>8.1782*$E$239</f>
        <v>0</v>
      </c>
      <c r="F299">
        <f>-486.9225*$F$239</f>
        <v>0</v>
      </c>
      <c r="G299">
        <f>-31.04*$G$239</f>
        <v>0</v>
      </c>
      <c r="H299">
        <f>0*$H$239</f>
        <v>0</v>
      </c>
      <c r="I299">
        <f>-49.9422*$I$239</f>
        <v>0</v>
      </c>
      <c r="J299">
        <f>-34.5423*$J$239</f>
        <v>0</v>
      </c>
      <c r="K299">
        <f>46.0564*$K$239</f>
        <v>0</v>
      </c>
      <c r="L299">
        <f>-0.7092*$L$239</f>
        <v>0</v>
      </c>
      <c r="M299">
        <f>0+D299+E299+G299+H299+I299+J299+K299+L299</f>
        <v>0</v>
      </c>
      <c r="N299">
        <f>0+D299+F299+G299+H299+I299+J299+K299+L299</f>
        <v>0</v>
      </c>
    </row>
    <row r="300" spans="3:14">
      <c r="C300" t="s">
        <v>45</v>
      </c>
      <c r="D300">
        <f>-378.958*$D$239</f>
        <v>0</v>
      </c>
      <c r="E300">
        <f>10.1185*$E$239</f>
        <v>0</v>
      </c>
      <c r="F300">
        <f>-525.5308*$F$239</f>
        <v>0</v>
      </c>
      <c r="G300">
        <f>-34.8211*$G$239</f>
        <v>0</v>
      </c>
      <c r="H300">
        <f>0*$H$239</f>
        <v>0</v>
      </c>
      <c r="I300">
        <f>-54.3025*$I$239</f>
        <v>0</v>
      </c>
      <c r="J300">
        <f>-32.5592*$J$239</f>
        <v>0</v>
      </c>
      <c r="K300">
        <f>43.4122*$K$239</f>
        <v>0</v>
      </c>
      <c r="L300">
        <f>0.5692*$L$239</f>
        <v>0</v>
      </c>
      <c r="M300">
        <f>0+D300+E300+G300+H300+I300+J300+K300+L300</f>
        <v>0</v>
      </c>
      <c r="N300">
        <f>0+D300+F300+G300+H300+I300+J300+K300+L300</f>
        <v>0</v>
      </c>
    </row>
    <row r="301" spans="3:14">
      <c r="C301" t="s">
        <v>45</v>
      </c>
      <c r="D301">
        <f>-372.8839*$D$239</f>
        <v>0</v>
      </c>
      <c r="E301">
        <f>9.5708*$E$239</f>
        <v>0</v>
      </c>
      <c r="F301">
        <f>-521.4339*$F$239</f>
        <v>0</v>
      </c>
      <c r="G301">
        <f>-32.1277*$G$239</f>
        <v>0</v>
      </c>
      <c r="H301">
        <f>0*$H$239</f>
        <v>0</v>
      </c>
      <c r="I301">
        <f>-53.5647*$I$239</f>
        <v>0</v>
      </c>
      <c r="J301">
        <f>-41.6601*$J$239</f>
        <v>0</v>
      </c>
      <c r="K301">
        <f>55.5469*$K$239</f>
        <v>0</v>
      </c>
      <c r="L301">
        <f>-0.7303*$L$239</f>
        <v>0</v>
      </c>
      <c r="M301">
        <f>0+D301+E301+G301+H301+I301+J301+K301+L301</f>
        <v>0</v>
      </c>
      <c r="N301">
        <f>0+D301+F301+G301+H301+I301+J301+K301+L301</f>
        <v>0</v>
      </c>
    </row>
    <row r="302" spans="3:14">
      <c r="C302" t="s">
        <v>46</v>
      </c>
      <c r="D302">
        <f>-389.9861*$D$239</f>
        <v>0</v>
      </c>
      <c r="E302">
        <f>11.3754*$E$239</f>
        <v>0</v>
      </c>
      <c r="F302">
        <f>-535.5479*$F$239</f>
        <v>0</v>
      </c>
      <c r="G302">
        <f>-38.7175*$G$239</f>
        <v>0</v>
      </c>
      <c r="H302">
        <f>0*$H$239</f>
        <v>0</v>
      </c>
      <c r="I302">
        <f>-55.6694*$I$239</f>
        <v>0</v>
      </c>
      <c r="J302">
        <f>-11.1217*$J$239</f>
        <v>0</v>
      </c>
      <c r="K302">
        <f>14.829*$K$239</f>
        <v>0</v>
      </c>
      <c r="L302">
        <f>0.5811*$L$239</f>
        <v>0</v>
      </c>
      <c r="M302">
        <f>0+D302+E302+G302+H302+I302+J302+K302+L302</f>
        <v>0</v>
      </c>
      <c r="N302">
        <f>0+D302+F302+G302+H302+I302+J302+K302+L302</f>
        <v>0</v>
      </c>
    </row>
    <row r="303" spans="3:14">
      <c r="C303" t="s">
        <v>46</v>
      </c>
      <c r="D303">
        <f>-388.6492*$D$239</f>
        <v>0</v>
      </c>
      <c r="E303">
        <f>10.9585*$E$239</f>
        <v>0</v>
      </c>
      <c r="F303">
        <f>-540.1373*$F$239</f>
        <v>0</v>
      </c>
      <c r="G303">
        <f>-34.947*$G$239</f>
        <v>0</v>
      </c>
      <c r="H303">
        <f>0*$H$239</f>
        <v>0</v>
      </c>
      <c r="I303">
        <f>-55.6997*$I$239</f>
        <v>0</v>
      </c>
      <c r="J303">
        <f>-30.0978*$J$239</f>
        <v>0</v>
      </c>
      <c r="K303">
        <f>40.1304*$K$239</f>
        <v>0</v>
      </c>
      <c r="L303">
        <f>-0.85*$L$239</f>
        <v>0</v>
      </c>
      <c r="M303">
        <f>0+D303+E303+G303+H303+I303+J303+K303+L303</f>
        <v>0</v>
      </c>
      <c r="N303">
        <f>0+D303+F303+G303+H303+I303+J303+K303+L303</f>
        <v>0</v>
      </c>
    </row>
    <row r="304" spans="3:14">
      <c r="C304" t="s">
        <v>47</v>
      </c>
      <c r="D304">
        <f>-386.3247*$D$239</f>
        <v>0</v>
      </c>
      <c r="E304">
        <f>12.6409*$E$239</f>
        <v>0</v>
      </c>
      <c r="F304">
        <f>-511.3027*$F$239</f>
        <v>0</v>
      </c>
      <c r="G304">
        <f>-51.6209*$G$239</f>
        <v>0</v>
      </c>
      <c r="H304">
        <f>0*$H$239</f>
        <v>0</v>
      </c>
      <c r="I304">
        <f>-54.3097*$I$239</f>
        <v>0</v>
      </c>
      <c r="J304">
        <f>79.1598*$J$239</f>
        <v>0</v>
      </c>
      <c r="K304">
        <f>-105.5463*$K$239</f>
        <v>0</v>
      </c>
      <c r="L304">
        <f>0.074*$L$239</f>
        <v>0</v>
      </c>
      <c r="M304">
        <f>0+D304+E304+G304+H304+I304+J304+K304+L304</f>
        <v>0</v>
      </c>
      <c r="N304">
        <f>0+D304+F304+G304+H304+I304+J304+K304+L304</f>
        <v>0</v>
      </c>
    </row>
    <row r="305" spans="3:14">
      <c r="C305" t="s">
        <v>47</v>
      </c>
      <c r="D305">
        <f>-385.8335*$D$239</f>
        <v>0</v>
      </c>
      <c r="E305">
        <f>11.9572*$E$239</f>
        <v>0</v>
      </c>
      <c r="F305">
        <f>-510.9257*$F$239</f>
        <v>0</v>
      </c>
      <c r="G305">
        <f>-51.4652*$G$239</f>
        <v>0</v>
      </c>
      <c r="H305">
        <f>0*$H$239</f>
        <v>0</v>
      </c>
      <c r="I305">
        <f>-54.2439*$I$239</f>
        <v>0</v>
      </c>
      <c r="J305">
        <f>79.8988*$J$239</f>
        <v>0</v>
      </c>
      <c r="K305">
        <f>-106.5317*$K$239</f>
        <v>0</v>
      </c>
      <c r="L305">
        <f>-1.0842*$L$239</f>
        <v>0</v>
      </c>
      <c r="M305">
        <f>0+D305+E305+G305+H305+I305+J305+K305+L305</f>
        <v>0</v>
      </c>
      <c r="N305">
        <f>0+D305+F305+G305+H305+I305+J305+K305+L305</f>
        <v>0</v>
      </c>
    </row>
    <row r="306" spans="3:14">
      <c r="C306" t="s">
        <v>48</v>
      </c>
      <c r="D306">
        <f>-388.944*$D$239</f>
        <v>0</v>
      </c>
      <c r="E306">
        <f>14.1124*$E$239</f>
        <v>0</v>
      </c>
      <c r="F306">
        <f>-540.5165*$F$239</f>
        <v>0</v>
      </c>
      <c r="G306">
        <f>-35.0896*$G$239</f>
        <v>0</v>
      </c>
      <c r="H306">
        <f>0*$H$239</f>
        <v>0</v>
      </c>
      <c r="I306">
        <f>-55.7373*$I$239</f>
        <v>0</v>
      </c>
      <c r="J306">
        <f>-30.8796*$J$239</f>
        <v>0</v>
      </c>
      <c r="K306">
        <f>41.1728*$K$239</f>
        <v>0</v>
      </c>
      <c r="L306">
        <f>0.7748*$L$239</f>
        <v>0</v>
      </c>
      <c r="M306">
        <f>0+D306+E306+G306+H306+I306+J306+K306+L306</f>
        <v>0</v>
      </c>
      <c r="N306">
        <f>0+D306+F306+G306+H306+I306+J306+K306+L306</f>
        <v>0</v>
      </c>
    </row>
    <row r="307" spans="3:14">
      <c r="C307" t="s">
        <v>48</v>
      </c>
      <c r="D307">
        <f>-389.9934*$D$239</f>
        <v>0</v>
      </c>
      <c r="E307">
        <f>13.7079*$E$239</f>
        <v>0</v>
      </c>
      <c r="F307">
        <f>-535.2908*$F$239</f>
        <v>0</v>
      </c>
      <c r="G307">
        <f>-38.5526*$G$239</f>
        <v>0</v>
      </c>
      <c r="H307">
        <f>0*$H$239</f>
        <v>0</v>
      </c>
      <c r="I307">
        <f>-55.677*$I$239</f>
        <v>0</v>
      </c>
      <c r="J307">
        <f>-9.9758*$J$239</f>
        <v>0</v>
      </c>
      <c r="K307">
        <f>13.301*$K$239</f>
        <v>0</v>
      </c>
      <c r="L307">
        <f>-0.7018*$L$239</f>
        <v>0</v>
      </c>
      <c r="M307">
        <f>0+D307+E307+G307+H307+I307+J307+K307+L307</f>
        <v>0</v>
      </c>
      <c r="N307">
        <f>0+D307+F307+G307+H307+I307+J307+K307+L307</f>
        <v>0</v>
      </c>
    </row>
    <row r="308" spans="3:14">
      <c r="C308" t="s">
        <v>49</v>
      </c>
      <c r="D308">
        <f>-373.2724*$D$239</f>
        <v>0</v>
      </c>
      <c r="E308">
        <f>15.4778*$E$239</f>
        <v>0</v>
      </c>
      <c r="F308">
        <f>-521.8176*$F$239</f>
        <v>0</v>
      </c>
      <c r="G308">
        <f>-32.2682*$G$239</f>
        <v>0</v>
      </c>
      <c r="H308">
        <f>0*$H$239</f>
        <v>0</v>
      </c>
      <c r="I308">
        <f>-53.6161*$I$239</f>
        <v>0</v>
      </c>
      <c r="J308">
        <f>-42.3628*$J$239</f>
        <v>0</v>
      </c>
      <c r="K308">
        <f>56.4837*$K$239</f>
        <v>0</v>
      </c>
      <c r="L308">
        <f>0.8118*$L$239</f>
        <v>0</v>
      </c>
      <c r="M308">
        <f>0+D308+E308+G308+H308+I308+J308+K308+L308</f>
        <v>0</v>
      </c>
      <c r="N308">
        <f>0+D308+F308+G308+H308+I308+J308+K308+L308</f>
        <v>0</v>
      </c>
    </row>
    <row r="309" spans="3:14">
      <c r="C309" t="s">
        <v>49</v>
      </c>
      <c r="D309">
        <f>-379.4098*$D$239</f>
        <v>0</v>
      </c>
      <c r="E309">
        <f>15.3215*$E$239</f>
        <v>0</v>
      </c>
      <c r="F309">
        <f>-525.5411*$F$239</f>
        <v>0</v>
      </c>
      <c r="G309">
        <f>-34.6448*$G$239</f>
        <v>0</v>
      </c>
      <c r="H309">
        <f>0*$H$239</f>
        <v>0</v>
      </c>
      <c r="I309">
        <f>-54.3758*$I$239</f>
        <v>0</v>
      </c>
      <c r="J309">
        <f>-31.0284*$J$239</f>
        <v>0</v>
      </c>
      <c r="K309">
        <f>41.3712*$K$239</f>
        <v>0</v>
      </c>
      <c r="L309">
        <f>-0.317*$L$239</f>
        <v>0</v>
      </c>
      <c r="M309">
        <f>0+D309+E309+G309+H309+I309+J309+K309+L309</f>
        <v>0</v>
      </c>
      <c r="N309">
        <f>0+D309+F309+G309+H309+I309+J309+K309+L309</f>
        <v>0</v>
      </c>
    </row>
    <row r="310" spans="3:14">
      <c r="C310" t="s">
        <v>50</v>
      </c>
      <c r="D310">
        <f>-348.3593*$D$239</f>
        <v>0</v>
      </c>
      <c r="E310">
        <f>16.6329*$E$239</f>
        <v>0</v>
      </c>
      <c r="F310">
        <f>-487.157*$F$239</f>
        <v>0</v>
      </c>
      <c r="G310">
        <f>-31.1824*$G$239</f>
        <v>0</v>
      </c>
      <c r="H310">
        <f>0*$H$239</f>
        <v>0</v>
      </c>
      <c r="I310">
        <f>-49.9751*$I$239</f>
        <v>0</v>
      </c>
      <c r="J310">
        <f>-35.3433*$J$239</f>
        <v>0</v>
      </c>
      <c r="K310">
        <f>47.1244*$K$239</f>
        <v>0</v>
      </c>
      <c r="L310">
        <f>0.7524*$L$239</f>
        <v>0</v>
      </c>
      <c r="M310">
        <f>0+D310+E310+G310+H310+I310+J310+K310+L310</f>
        <v>0</v>
      </c>
      <c r="N310">
        <f>0+D310+F310+G310+H310+I310+J310+K310+L310</f>
        <v>0</v>
      </c>
    </row>
    <row r="311" spans="3:14">
      <c r="C311" t="s">
        <v>50</v>
      </c>
      <c r="D311">
        <f>-359.1978*$D$239</f>
        <v>0</v>
      </c>
      <c r="E311">
        <f>17.0706*$E$239</f>
        <v>0</v>
      </c>
      <c r="F311">
        <f>-501.7297*$F$239</f>
        <v>0</v>
      </c>
      <c r="G311">
        <f>-31.4125*$G$239</f>
        <v>0</v>
      </c>
      <c r="H311">
        <f>0*$H$239</f>
        <v>0</v>
      </c>
      <c r="I311">
        <f>-51.5821*$I$239</f>
        <v>0</v>
      </c>
      <c r="J311">
        <f>-40.9129*$J$239</f>
        <v>0</v>
      </c>
      <c r="K311">
        <f>54.5505*$K$239</f>
        <v>0</v>
      </c>
      <c r="L311">
        <f>0.2073*$L$239</f>
        <v>0</v>
      </c>
      <c r="M311">
        <f>0+D311+E311+G311+H311+I311+J311+K311+L311</f>
        <v>0</v>
      </c>
      <c r="N311">
        <f>0+D311+F311+G311+H311+I311+J311+K311+L311</f>
        <v>0</v>
      </c>
    </row>
    <row r="312" spans="3:14">
      <c r="C312" t="s">
        <v>51</v>
      </c>
      <c r="D312">
        <f>-314.8388*$D$239</f>
        <v>0</v>
      </c>
      <c r="E312">
        <f>17.3454*$E$239</f>
        <v>0</v>
      </c>
      <c r="F312">
        <f>-438.8702*$F$239</f>
        <v>0</v>
      </c>
      <c r="G312">
        <f>-30.5726*$G$239</f>
        <v>0</v>
      </c>
      <c r="H312">
        <f>0*$H$239</f>
        <v>0</v>
      </c>
      <c r="I312">
        <f>-44.9985*$I$239</f>
        <v>0</v>
      </c>
      <c r="J312">
        <f>-15.3148*$J$239</f>
        <v>0</v>
      </c>
      <c r="K312">
        <f>20.4198*$K$239</f>
        <v>0</v>
      </c>
      <c r="L312">
        <f>0.5915*$L$239</f>
        <v>0</v>
      </c>
      <c r="M312">
        <f>0+D312+E312+G312+H312+I312+J312+K312+L312</f>
        <v>0</v>
      </c>
      <c r="N312">
        <f>0+D312+F312+G312+H312+I312+J312+K312+L312</f>
        <v>0</v>
      </c>
    </row>
    <row r="313" spans="3:14">
      <c r="C313" t="s">
        <v>51</v>
      </c>
      <c r="D313">
        <f>-329.338*$D$239</f>
        <v>0</v>
      </c>
      <c r="E313">
        <f>18.7084*$E$239</f>
        <v>0</v>
      </c>
      <c r="F313">
        <f>-463.0034*$F$239</f>
        <v>0</v>
      </c>
      <c r="G313">
        <f>-29.8057*$G$239</f>
        <v>0</v>
      </c>
      <c r="H313">
        <f>0*$H$239</f>
        <v>0</v>
      </c>
      <c r="I313">
        <f>-47.2158*$I$239</f>
        <v>0</v>
      </c>
      <c r="J313">
        <f>-32.9103*$J$239</f>
        <v>0</v>
      </c>
      <c r="K313">
        <f>43.8804*$K$239</f>
        <v>0</v>
      </c>
      <c r="L313">
        <f>0.7015*$L$239</f>
        <v>0</v>
      </c>
      <c r="M313">
        <f>0+D313+E313+G313+H313+I313+J313+K313+L313</f>
        <v>0</v>
      </c>
      <c r="N313">
        <f>0+D313+F313+G313+H313+I313+J313+K313+L313</f>
        <v>0</v>
      </c>
    </row>
    <row r="314" spans="3:14">
      <c r="C314" t="s">
        <v>52</v>
      </c>
      <c r="D314">
        <f>-270.4888*$D$239</f>
        <v>0</v>
      </c>
      <c r="E314">
        <f>16.6809*$E$239</f>
        <v>0</v>
      </c>
      <c r="F314">
        <f>-365.1398*$F$239</f>
        <v>0</v>
      </c>
      <c r="G314">
        <f>-38.0447*$G$239</f>
        <v>0</v>
      </c>
      <c r="H314">
        <f>0*$H$239</f>
        <v>0</v>
      </c>
      <c r="I314">
        <f>-37.8939*$I$239</f>
        <v>0</v>
      </c>
      <c r="J314">
        <f>81.7217*$J$239</f>
        <v>0</v>
      </c>
      <c r="K314">
        <f>-108.9623*$K$239</f>
        <v>0</v>
      </c>
      <c r="L314">
        <f>-1.4899*$L$239</f>
        <v>0</v>
      </c>
      <c r="M314">
        <f>0+D314+E314+G314+H314+I314+J314+K314+L314</f>
        <v>0</v>
      </c>
      <c r="N314">
        <f>0+D314+F314+G314+H314+I314+J314+K314+L314</f>
        <v>0</v>
      </c>
    </row>
    <row r="315" spans="3:14">
      <c r="C315" t="s">
        <v>52</v>
      </c>
      <c r="D315">
        <f>-288.785*$D$239</f>
        <v>0</v>
      </c>
      <c r="E315">
        <f>17.022*$E$239</f>
        <v>0</v>
      </c>
      <c r="F315">
        <f>-380.4241*$F$239</f>
        <v>0</v>
      </c>
      <c r="G315">
        <f>-39.7074*$G$239</f>
        <v>0</v>
      </c>
      <c r="H315">
        <f>0*$H$239</f>
        <v>0</v>
      </c>
      <c r="I315">
        <f>-40.492*$I$239</f>
        <v>0</v>
      </c>
      <c r="J315">
        <f>91.5145*$J$239</f>
        <v>0</v>
      </c>
      <c r="K315">
        <f>-122.0193*$K$239</f>
        <v>0</v>
      </c>
      <c r="L315">
        <f>-2.5555*$L$239</f>
        <v>0</v>
      </c>
      <c r="M315">
        <f>0+D315+E315+G315+H315+I315+J315+K315+L315</f>
        <v>0</v>
      </c>
      <c r="N315">
        <f>0+D315+F315+G315+H315+I315+J315+K315+L315</f>
        <v>0</v>
      </c>
    </row>
    <row r="316" spans="3:14">
      <c r="C316" t="s">
        <v>53</v>
      </c>
      <c r="D316">
        <f>-228.7293*$D$239</f>
        <v>0</v>
      </c>
      <c r="E316">
        <f>19.9808*$E$239</f>
        <v>0</v>
      </c>
      <c r="F316">
        <f>-327.203*$F$239</f>
        <v>0</v>
      </c>
      <c r="G316">
        <f>-19.5704*$G$239</f>
        <v>0</v>
      </c>
      <c r="H316">
        <f>0*$H$239</f>
        <v>0</v>
      </c>
      <c r="I316">
        <f>-32.8958*$I$239</f>
        <v>0</v>
      </c>
      <c r="J316">
        <f>-40.8672*$J$239</f>
        <v>0</v>
      </c>
      <c r="K316">
        <f>54.4896*$K$239</f>
        <v>0</v>
      </c>
      <c r="L316">
        <f>1.2341*$L$239</f>
        <v>0</v>
      </c>
      <c r="M316">
        <f>0+D316+E316+G316+H316+I316+J316+K316+L316</f>
        <v>0</v>
      </c>
      <c r="N316">
        <f>0+D316+F316+G316+H316+I316+J316+K316+L316</f>
        <v>0</v>
      </c>
    </row>
    <row r="317" spans="3:14">
      <c r="C317" t="s">
        <v>53</v>
      </c>
      <c r="D317">
        <f>-242.9234*$D$239</f>
        <v>0</v>
      </c>
      <c r="E317">
        <f>19.952*$E$239</f>
        <v>0</v>
      </c>
      <c r="F317">
        <f>-339.1401*$F$239</f>
        <v>0</v>
      </c>
      <c r="G317">
        <f>-24.4587*$G$239</f>
        <v>0</v>
      </c>
      <c r="H317">
        <f>0*$H$239</f>
        <v>0</v>
      </c>
      <c r="I317">
        <f>-34.7079*$I$239</f>
        <v>0</v>
      </c>
      <c r="J317">
        <f>-20.3093*$J$239</f>
        <v>0</v>
      </c>
      <c r="K317">
        <f>27.0791*$K$239</f>
        <v>0</v>
      </c>
      <c r="L317">
        <f>-0.0141*$L$239</f>
        <v>0</v>
      </c>
      <c r="M317">
        <f>0+D317+E317+G317+H317+I317+J317+K317+L317</f>
        <v>0</v>
      </c>
      <c r="N317">
        <f>0+D317+F317+G317+H317+I317+J317+K317+L317</f>
        <v>0</v>
      </c>
    </row>
    <row r="318" spans="3:14">
      <c r="C318" t="s">
        <v>54</v>
      </c>
      <c r="D318">
        <f>-175.5476*$D$239</f>
        <v>0</v>
      </c>
      <c r="E318">
        <f>20.596*$E$239</f>
        <v>0</v>
      </c>
      <c r="F318">
        <f>-257.3438*$F$239</f>
        <v>0</v>
      </c>
      <c r="G318">
        <f>-12.4559*$G$239</f>
        <v>0</v>
      </c>
      <c r="H318">
        <f>0*$H$239</f>
        <v>0</v>
      </c>
      <c r="I318">
        <f>-25.4743*$I$239</f>
        <v>0</v>
      </c>
      <c r="J318">
        <f>-65.0224*$J$239</f>
        <v>0</v>
      </c>
      <c r="K318">
        <f>86.6965*$K$239</f>
        <v>0</v>
      </c>
      <c r="L318">
        <f>0.2414*$L$239</f>
        <v>0</v>
      </c>
      <c r="M318">
        <f>0+D318+E318+G318+H318+I318+J318+K318+L318</f>
        <v>0</v>
      </c>
      <c r="N318">
        <f>0+D318+F318+G318+H318+I318+J318+K318+L318</f>
        <v>0</v>
      </c>
    </row>
    <row r="319" spans="3:14">
      <c r="C319" t="s">
        <v>54</v>
      </c>
      <c r="D319">
        <f>-188.2736*$D$239</f>
        <v>0</v>
      </c>
      <c r="E319">
        <f>21.1382*$E$239</f>
        <v>0</v>
      </c>
      <c r="F319">
        <f>-269.0127*$F$239</f>
        <v>0</v>
      </c>
      <c r="G319">
        <f>-16.5236*$G$239</f>
        <v>0</v>
      </c>
      <c r="H319">
        <f>0*$H$239</f>
        <v>0</v>
      </c>
      <c r="I319">
        <f>-27.1368*$I$239</f>
        <v>0</v>
      </c>
      <c r="J319">
        <f>-60.8105*$J$239</f>
        <v>0</v>
      </c>
      <c r="K319">
        <f>81.0806*$K$239</f>
        <v>0</v>
      </c>
      <c r="L319">
        <f>0.439*$L$239</f>
        <v>0</v>
      </c>
      <c r="M319">
        <f>0+D319+E319+G319+H319+I319+J319+K319+L319</f>
        <v>0</v>
      </c>
      <c r="N319">
        <f>0+D319+F319+G319+H319+I319+J319+K319+L319</f>
        <v>0</v>
      </c>
    </row>
    <row r="320" spans="3:14">
      <c r="C320" t="s">
        <v>55</v>
      </c>
      <c r="D320">
        <f>-117.8261*$D$239</f>
        <v>0</v>
      </c>
      <c r="E320">
        <f>18.5042*$E$239</f>
        <v>0</v>
      </c>
      <c r="F320">
        <f>-175.0611*$F$239</f>
        <v>0</v>
      </c>
      <c r="G320">
        <f>-7.2882*$G$239</f>
        <v>0</v>
      </c>
      <c r="H320">
        <f>0*$H$239</f>
        <v>0</v>
      </c>
      <c r="I320">
        <f>-17.2076*$I$239</f>
        <v>0</v>
      </c>
      <c r="J320">
        <f>-65.8886*$J$239</f>
        <v>0</v>
      </c>
      <c r="K320">
        <f>87.8514*$K$239</f>
        <v>0</v>
      </c>
      <c r="L320">
        <f>-1.6475*$L$239</f>
        <v>0</v>
      </c>
      <c r="M320">
        <f>0+D320+E320+G320+H320+I320+J320+K320+L320</f>
        <v>0</v>
      </c>
      <c r="N320">
        <f>0+D320+F320+G320+H320+I320+J320+K320+L320</f>
        <v>0</v>
      </c>
    </row>
    <row r="321" spans="3:14">
      <c r="C321" t="s">
        <v>55</v>
      </c>
      <c r="D321">
        <f>-125.4453*$D$239</f>
        <v>0</v>
      </c>
      <c r="E321">
        <f>20.4461*$E$239</f>
        <v>0</v>
      </c>
      <c r="F321">
        <f>-184.9435*$F$239</f>
        <v>0</v>
      </c>
      <c r="G321">
        <f>-9.2504*$G$239</f>
        <v>0</v>
      </c>
      <c r="H321">
        <f>0*$H$239</f>
        <v>0</v>
      </c>
      <c r="I321">
        <f>-18.294*$I$239</f>
        <v>0</v>
      </c>
      <c r="J321">
        <f>-92.6687*$J$239</f>
        <v>0</v>
      </c>
      <c r="K321">
        <f>123.5583*$K$239</f>
        <v>0</v>
      </c>
      <c r="L321">
        <f>1.0458*$L$239</f>
        <v>0</v>
      </c>
      <c r="M321">
        <f>0+D321+E321+G321+H321+I321+J321+K321+L321</f>
        <v>0</v>
      </c>
      <c r="N321">
        <f>0+D321+F321+G321+H321+I321+J321+K321+L321</f>
        <v>0</v>
      </c>
    </row>
    <row r="322" spans="3:14">
      <c r="C322" t="s">
        <v>56</v>
      </c>
      <c r="D322">
        <f>-60.0637*$D$239</f>
        <v>0</v>
      </c>
      <c r="E322">
        <f>14.1087*$E$239</f>
        <v>0</v>
      </c>
      <c r="F322">
        <f>-90.6895*$F$239</f>
        <v>0</v>
      </c>
      <c r="G322">
        <f>-3.0071*$G$239</f>
        <v>0</v>
      </c>
      <c r="H322">
        <f>0*$H$239</f>
        <v>0</v>
      </c>
      <c r="I322">
        <f>-8.8289*$I$239</f>
        <v>0</v>
      </c>
      <c r="J322">
        <f>-47.9231*$J$239</f>
        <v>0</v>
      </c>
      <c r="K322">
        <f>63.8975*$K$239</f>
        <v>0</v>
      </c>
      <c r="L322">
        <f>-2.8221*$L$239</f>
        <v>0</v>
      </c>
      <c r="M322">
        <f>0+D322+E322+G322+H322+I322+J322+K322+L322</f>
        <v>0</v>
      </c>
      <c r="N322">
        <f>0+D322+F322+G322+H322+I322+J322+K322+L322</f>
        <v>0</v>
      </c>
    </row>
    <row r="323" spans="3:14">
      <c r="C323" t="s">
        <v>56</v>
      </c>
      <c r="D323">
        <f>-58.5687*$D$239</f>
        <v>0</v>
      </c>
      <c r="E323">
        <f>18.4223*$E$239</f>
        <v>0</v>
      </c>
      <c r="F323">
        <f>-94.0954*$F$239</f>
        <v>0</v>
      </c>
      <c r="G323">
        <f>-3.0915*$G$239</f>
        <v>0</v>
      </c>
      <c r="H323">
        <f>0*$H$239</f>
        <v>0</v>
      </c>
      <c r="I323">
        <f>-8.7225*$I$239</f>
        <v>0</v>
      </c>
      <c r="J323">
        <f>-105.1266*$J$239</f>
        <v>0</v>
      </c>
      <c r="K323">
        <f>140.1687*$K$239</f>
        <v>0</v>
      </c>
      <c r="L323">
        <f>2.7847*$L$239</f>
        <v>0</v>
      </c>
      <c r="M323">
        <f>0+D323+E323+G323+H323+I323+J323+K323+L323</f>
        <v>0</v>
      </c>
      <c r="N323">
        <f>0+D323+F323+G323+H323+I323+J323+K323+L323</f>
        <v>0</v>
      </c>
    </row>
    <row r="324" spans="3:14">
      <c r="C324" t="s">
        <v>57</v>
      </c>
      <c r="D324">
        <f>-19.0052*$D$239</f>
        <v>0</v>
      </c>
      <c r="E324">
        <f>15.0055*$E$239</f>
        <v>0</v>
      </c>
      <c r="F324">
        <f>-34.0272*$F$239</f>
        <v>0</v>
      </c>
      <c r="G324">
        <f>-4.96*$G$239</f>
        <v>0</v>
      </c>
      <c r="H324">
        <f>0*$H$239</f>
        <v>0</v>
      </c>
      <c r="I324">
        <f>-2.396*$I$239</f>
        <v>0</v>
      </c>
      <c r="J324">
        <f>80.6789*$J$239</f>
        <v>0</v>
      </c>
      <c r="K324">
        <f>-107.5718*$K$239</f>
        <v>0</v>
      </c>
      <c r="L324">
        <f>-5.0042*$L$239</f>
        <v>0</v>
      </c>
      <c r="M324">
        <f>0+D324+E324+G324+H324+I324+J324+K324+L324</f>
        <v>0</v>
      </c>
      <c r="N324">
        <f>0+D324+F324+G324+H324+I324+J324+K324+L324</f>
        <v>0</v>
      </c>
    </row>
    <row r="325" spans="3:14">
      <c r="C325" t="s">
        <v>57</v>
      </c>
      <c r="D325">
        <f>-17.5708*$D$239</f>
        <v>0</v>
      </c>
      <c r="E325">
        <f>4.6627*$E$239</f>
        <v>0</v>
      </c>
      <c r="F325">
        <f>-21.2494*$F$239</f>
        <v>0</v>
      </c>
      <c r="G325">
        <f>-3.0295*$G$239</f>
        <v>0</v>
      </c>
      <c r="H325">
        <f>0*$H$239</f>
        <v>0</v>
      </c>
      <c r="I325">
        <f>-2.3763*$I$239</f>
        <v>0</v>
      </c>
      <c r="J325">
        <f>45.0916*$J$239</f>
        <v>0</v>
      </c>
      <c r="K325">
        <f>-60.1221*$K$239</f>
        <v>0</v>
      </c>
      <c r="L325">
        <f>-1.7156*$L$239</f>
        <v>0</v>
      </c>
      <c r="M325">
        <f>0+D325+E325+G325+H325+I325+J325+K325+L325</f>
        <v>0</v>
      </c>
      <c r="N325">
        <f>0+D325+F325+G325+H325+I325+J325+K325+L325</f>
        <v>0</v>
      </c>
    </row>
    <row r="326" spans="3:14">
      <c r="C326" t="s">
        <v>58</v>
      </c>
      <c r="D326">
        <f>-2.9203*$D$239</f>
        <v>0</v>
      </c>
      <c r="E326">
        <f>3.9306*$E$239</f>
        <v>0</v>
      </c>
      <c r="F326">
        <f>-6.8576*$F$239</f>
        <v>0</v>
      </c>
      <c r="G326">
        <f>-0.4112*$G$239</f>
        <v>0</v>
      </c>
      <c r="H326">
        <f>0*$H$239</f>
        <v>0</v>
      </c>
      <c r="I326">
        <f>-0.3725*$I$239</f>
        <v>0</v>
      </c>
      <c r="J326">
        <f>16.9056*$J$239</f>
        <v>0</v>
      </c>
      <c r="K326">
        <f>-22.5408*$K$239</f>
        <v>0</v>
      </c>
      <c r="L326">
        <f>-1.9872*$L$239</f>
        <v>0</v>
      </c>
      <c r="M326">
        <f>0+D326+E326+G326+H326+I326+J326+K326+L326</f>
        <v>0</v>
      </c>
      <c r="N326">
        <f>0+D326+F326+G326+H326+I326+J326+K326+L326</f>
        <v>0</v>
      </c>
    </row>
    <row r="327" spans="3:14">
      <c r="C327" t="s">
        <v>58</v>
      </c>
      <c r="D327">
        <f>-3.7426*$D$239</f>
        <v>0</v>
      </c>
      <c r="E327">
        <f>1.6721*$E$239</f>
        <v>0</v>
      </c>
      <c r="F327">
        <f>-5.0787*$F$239</f>
        <v>0</v>
      </c>
      <c r="G327">
        <f>-0.4168*$G$239</f>
        <v>0</v>
      </c>
      <c r="H327">
        <f>0*$H$239</f>
        <v>0</v>
      </c>
      <c r="I327">
        <f>-0.4945*$I$239</f>
        <v>0</v>
      </c>
      <c r="J327">
        <f>17.8907*$J$239</f>
        <v>0</v>
      </c>
      <c r="K327">
        <f>-23.8543*$K$239</f>
        <v>0</v>
      </c>
      <c r="L327">
        <f>-1.6476*$L$239</f>
        <v>0</v>
      </c>
      <c r="M327">
        <f>0+D327+E327+G327+H327+I327+J327+K327+L327</f>
        <v>0</v>
      </c>
      <c r="N327">
        <f>0+D327+F327+G327+H327+I327+J327+K327+L327</f>
        <v>0</v>
      </c>
    </row>
    <row r="328" spans="3:14">
      <c r="C328" t="s">
        <v>59</v>
      </c>
      <c r="D328">
        <f>-11.3283*$D$239</f>
        <v>0</v>
      </c>
      <c r="E328">
        <f>2.7335*$E$239</f>
        <v>0</v>
      </c>
      <c r="F328">
        <f>-14.3757*$F$239</f>
        <v>0</v>
      </c>
      <c r="G328">
        <f>-2.4829*$G$239</f>
        <v>0</v>
      </c>
      <c r="H328">
        <f>0*$H$239</f>
        <v>0</v>
      </c>
      <c r="I328">
        <f>-1.4801*$I$239</f>
        <v>0</v>
      </c>
      <c r="J328">
        <f>44.3807*$J$239</f>
        <v>0</v>
      </c>
      <c r="K328">
        <f>-59.1742*$K$239</f>
        <v>0</v>
      </c>
      <c r="L328">
        <f>-2.4783*$L$239</f>
        <v>0</v>
      </c>
      <c r="M328">
        <f>0+D328+E328+G328+H328+I328+J328+K328+L328</f>
        <v>0</v>
      </c>
      <c r="N328">
        <f>0+D328+F328+G328+H328+I328+J328+K328+L328</f>
        <v>0</v>
      </c>
    </row>
    <row r="329" spans="3:14">
      <c r="C329" t="s">
        <v>59</v>
      </c>
      <c r="D329">
        <f>-16.3782*$D$239</f>
        <v>0</v>
      </c>
      <c r="E329">
        <f>5.0096*$E$239</f>
        <v>0</v>
      </c>
      <c r="F329">
        <f>-21.5628*$F$239</f>
        <v>0</v>
      </c>
      <c r="G329">
        <f>-3.8516*$G$239</f>
        <v>0</v>
      </c>
      <c r="H329">
        <f>0*$H$239</f>
        <v>0</v>
      </c>
      <c r="I329">
        <f>-2.0755*$I$239</f>
        <v>0</v>
      </c>
      <c r="J329">
        <f>91.1453*$J$239</f>
        <v>0</v>
      </c>
      <c r="K329">
        <f>-121.527*$K$239</f>
        <v>0</v>
      </c>
      <c r="L329">
        <f>0.9489*$L$239</f>
        <v>0</v>
      </c>
      <c r="M329">
        <f>0+D329+E329+G329+H329+I329+J329+K329+L329</f>
        <v>0</v>
      </c>
      <c r="N329">
        <f>0+D329+F329+G329+H329+I329+J329+K329+L329</f>
        <v>0</v>
      </c>
    </row>
    <row r="330" spans="3:14">
      <c r="C330" t="s">
        <v>60</v>
      </c>
      <c r="D330">
        <f>-15.6329*$D$239</f>
        <v>0</v>
      </c>
      <c r="E330">
        <f>15.3236*$E$239</f>
        <v>0</v>
      </c>
      <c r="F330">
        <f>-53.962*$F$239</f>
        <v>0</v>
      </c>
      <c r="G330">
        <f>0.6652*$G$239</f>
        <v>0</v>
      </c>
      <c r="H330">
        <f>0*$H$239</f>
        <v>0</v>
      </c>
      <c r="I330">
        <f>-2.572*$I$239</f>
        <v>0</v>
      </c>
      <c r="J330">
        <f>-109.0601*$J$239</f>
        <v>0</v>
      </c>
      <c r="K330">
        <f>145.4135*$K$239</f>
        <v>0</v>
      </c>
      <c r="L330">
        <f>3.0707*$L$239</f>
        <v>0</v>
      </c>
      <c r="M330">
        <f>0+D330+E330+G330+H330+I330+J330+K330+L330</f>
        <v>0</v>
      </c>
      <c r="N330">
        <f>0+D330+F330+G330+H330+I330+J330+K330+L330</f>
        <v>0</v>
      </c>
    </row>
    <row r="331" spans="3:14">
      <c r="C331" t="s">
        <v>60</v>
      </c>
      <c r="D331">
        <f>-26.2006*$D$239</f>
        <v>0</v>
      </c>
      <c r="E331">
        <f>6.8643*$E$239</f>
        <v>0</v>
      </c>
      <c r="F331">
        <f>-61.1468*$F$239</f>
        <v>0</v>
      </c>
      <c r="G331">
        <f>0.8541*$G$239</f>
        <v>0</v>
      </c>
      <c r="H331">
        <f>0*$H$239</f>
        <v>0</v>
      </c>
      <c r="I331">
        <f>-4.0508*$I$239</f>
        <v>0</v>
      </c>
      <c r="J331">
        <f>-36.7594*$J$239</f>
        <v>0</v>
      </c>
      <c r="K331">
        <f>49.0126*$K$239</f>
        <v>0</v>
      </c>
      <c r="L331">
        <f>3.0485*$L$239</f>
        <v>0</v>
      </c>
      <c r="M331">
        <f>0+D331+E331+G331+H331+I331+J331+K331+L331</f>
        <v>0</v>
      </c>
      <c r="N331">
        <f>0+D331+F331+G331+H331+I331+J331+K331+L331</f>
        <v>0</v>
      </c>
    </row>
    <row r="332" spans="3:14">
      <c r="C332" t="s">
        <v>61</v>
      </c>
      <c r="D332">
        <f>-42.6479*$D$239</f>
        <v>0</v>
      </c>
      <c r="E332">
        <f>12.1907*$E$239</f>
        <v>0</v>
      </c>
      <c r="F332">
        <f>-102.9677*$F$239</f>
        <v>0</v>
      </c>
      <c r="G332">
        <f>-1.8242*$G$239</f>
        <v>0</v>
      </c>
      <c r="H332">
        <f>0*$H$239</f>
        <v>0</v>
      </c>
      <c r="I332">
        <f>-6.4512*$I$239</f>
        <v>0</v>
      </c>
      <c r="J332">
        <f>-99.2267*$J$239</f>
        <v>0</v>
      </c>
      <c r="K332">
        <f>132.3022*$K$239</f>
        <v>0</v>
      </c>
      <c r="L332">
        <f>-0.7345*$L$239</f>
        <v>0</v>
      </c>
      <c r="M332">
        <f>0+D332+E332+G332+H332+I332+J332+K332+L332</f>
        <v>0</v>
      </c>
      <c r="N332">
        <f>0+D332+F332+G332+H332+I332+J332+K332+L332</f>
        <v>0</v>
      </c>
    </row>
    <row r="333" spans="3:14">
      <c r="C333" t="s">
        <v>61</v>
      </c>
      <c r="D333">
        <f>-47.5636*$D$239</f>
        <v>0</v>
      </c>
      <c r="E333">
        <f>8.946*$E$239</f>
        <v>0</v>
      </c>
      <c r="F333">
        <f>-107.6358*$F$239</f>
        <v>0</v>
      </c>
      <c r="G333">
        <f>-0.1471*$G$239</f>
        <v>0</v>
      </c>
      <c r="H333">
        <f>0*$H$239</f>
        <v>0</v>
      </c>
      <c r="I333">
        <f>-7.2331*$I$239</f>
        <v>0</v>
      </c>
      <c r="J333">
        <f>-55.2654*$J$239</f>
        <v>0</v>
      </c>
      <c r="K333">
        <f>73.6872*$K$239</f>
        <v>0</v>
      </c>
      <c r="L333">
        <f>8.0322*$L$239</f>
        <v>0</v>
      </c>
      <c r="M333">
        <f>0+D333+E333+G333+H333+I333+J333+K333+L333</f>
        <v>0</v>
      </c>
      <c r="N333">
        <f>0+D333+F333+G333+H333+I333+J333+K333+L333</f>
        <v>0</v>
      </c>
    </row>
    <row r="334" spans="3:14">
      <c r="C334" t="s">
        <v>62</v>
      </c>
      <c r="D334">
        <f>-65.8221*$D$239</f>
        <v>0</v>
      </c>
      <c r="E334">
        <f>6.9381*$E$239</f>
        <v>0</v>
      </c>
      <c r="F334">
        <f>-141.0239*$F$239</f>
        <v>0</v>
      </c>
      <c r="G334">
        <f>-5.122*$G$239</f>
        <v>0</v>
      </c>
      <c r="H334">
        <f>0*$H$239</f>
        <v>0</v>
      </c>
      <c r="I334">
        <f>-9.6467*$I$239</f>
        <v>0</v>
      </c>
      <c r="J334">
        <f>-68.7411*$J$239</f>
        <v>0</v>
      </c>
      <c r="K334">
        <f>91.6548*$K$239</f>
        <v>0</v>
      </c>
      <c r="L334">
        <f>-0.9672*$L$239</f>
        <v>0</v>
      </c>
      <c r="M334">
        <f>0+D334+E334+G334+H334+I334+J334+K334+L334</f>
        <v>0</v>
      </c>
      <c r="N334">
        <f>0+D334+F334+G334+H334+I334+J334+K334+L334</f>
        <v>0</v>
      </c>
    </row>
    <row r="335" spans="3:14">
      <c r="C335" t="s">
        <v>62</v>
      </c>
      <c r="D335">
        <f>-66.7761*$D$239</f>
        <v>0</v>
      </c>
      <c r="E335">
        <f>8.4413*$E$239</f>
        <v>0</v>
      </c>
      <c r="F335">
        <f>-146.0671*$F$239</f>
        <v>0</v>
      </c>
      <c r="G335">
        <f>-1.9404*$G$239</f>
        <v>0</v>
      </c>
      <c r="H335">
        <f>0*$H$239</f>
        <v>0</v>
      </c>
      <c r="I335">
        <f>-9.9915*$I$239</f>
        <v>0</v>
      </c>
      <c r="J335">
        <f>-58.2305*$J$239</f>
        <v>0</v>
      </c>
      <c r="K335">
        <f>77.6407*$K$239</f>
        <v>0</v>
      </c>
      <c r="L335">
        <f>13.8871*$L$239</f>
        <v>0</v>
      </c>
      <c r="M335">
        <f>0+D335+E335+G335+H335+I335+J335+K335+L335</f>
        <v>0</v>
      </c>
      <c r="N335">
        <f>0+D335+F335+G335+H335+I335+J335+K335+L335</f>
        <v>0</v>
      </c>
    </row>
    <row r="336" spans="3:14">
      <c r="C336" t="s">
        <v>63</v>
      </c>
      <c r="D336">
        <f>-81.3559*$D$239</f>
        <v>0</v>
      </c>
      <c r="E336">
        <f>2.6285*$E$239</f>
        <v>0</v>
      </c>
      <c r="F336">
        <f>-163.192*$F$239</f>
        <v>0</v>
      </c>
      <c r="G336">
        <f>-8.7253*$G$239</f>
        <v>0</v>
      </c>
      <c r="H336">
        <f>0*$H$239</f>
        <v>0</v>
      </c>
      <c r="I336">
        <f>-11.6693*$I$239</f>
        <v>0</v>
      </c>
      <c r="J336">
        <f>-27.1906*$J$239</f>
        <v>0</v>
      </c>
      <c r="K336">
        <f>36.2542*$K$239</f>
        <v>0</v>
      </c>
      <c r="L336">
        <f>-2.0468*$L$239</f>
        <v>0</v>
      </c>
      <c r="M336">
        <f>0+D336+E336+G336+H336+I336+J336+K336+L336</f>
        <v>0</v>
      </c>
      <c r="N336">
        <f>0+D336+F336+G336+H336+I336+J336+K336+L336</f>
        <v>0</v>
      </c>
    </row>
    <row r="337" spans="3:14">
      <c r="C337" t="s">
        <v>63</v>
      </c>
      <c r="D337">
        <f>-80.5293*$D$239</f>
        <v>0</v>
      </c>
      <c r="E337">
        <f>5.8783*$E$239</f>
        <v>0</v>
      </c>
      <c r="F337">
        <f>-169.2691*$F$239</f>
        <v>0</v>
      </c>
      <c r="G337">
        <f>-5.3507*$G$239</f>
        <v>0</v>
      </c>
      <c r="H337">
        <f>0*$H$239</f>
        <v>0</v>
      </c>
      <c r="I337">
        <f>-11.7844*$I$239</f>
        <v>0</v>
      </c>
      <c r="J337">
        <f>-37.1423*$J$239</f>
        <v>0</v>
      </c>
      <c r="K337">
        <f>49.5231*$K$239</f>
        <v>0</v>
      </c>
      <c r="L337">
        <f>14.1578*$L$239</f>
        <v>0</v>
      </c>
      <c r="M337">
        <f>0+D337+E337+G337+H337+I337+J337+K337+L337</f>
        <v>0</v>
      </c>
      <c r="N337">
        <f>0+D337+F337+G337+H337+I337+J337+K337+L337</f>
        <v>0</v>
      </c>
    </row>
    <row r="338" spans="3:14">
      <c r="C338" t="s">
        <v>64</v>
      </c>
      <c r="D338">
        <f>-89.5966*$D$239</f>
        <v>0</v>
      </c>
      <c r="E338">
        <f>1.6279*$E$239</f>
        <v>0</v>
      </c>
      <c r="F338">
        <f>-157.315*$F$239</f>
        <v>0</v>
      </c>
      <c r="G338">
        <f>-17.9533*$G$239</f>
        <v>0</v>
      </c>
      <c r="H338">
        <f>0*$H$239</f>
        <v>0</v>
      </c>
      <c r="I338">
        <f>-12.2206*$I$239</f>
        <v>0</v>
      </c>
      <c r="J338">
        <f>102.7416*$J$239</f>
        <v>0</v>
      </c>
      <c r="K338">
        <f>-136.9888*$K$239</f>
        <v>0</v>
      </c>
      <c r="L338">
        <f>-23.4051*$L$239</f>
        <v>0</v>
      </c>
      <c r="M338">
        <f>0+D338+E338+G338+H338+I338+J338+K338+L338</f>
        <v>0</v>
      </c>
      <c r="N338">
        <f>0+D338+F338+G338+H338+I338+J338+K338+L338</f>
        <v>0</v>
      </c>
    </row>
    <row r="339" spans="3:14">
      <c r="C339" t="s">
        <v>64</v>
      </c>
      <c r="D339">
        <f>-86.0267*$D$239</f>
        <v>0</v>
      </c>
      <c r="E339">
        <f>1.3183*$E$239</f>
        <v>0</v>
      </c>
      <c r="F339">
        <f>-155.7504*$F$239</f>
        <v>0</v>
      </c>
      <c r="G339">
        <f>-16.7229*$G$239</f>
        <v>0</v>
      </c>
      <c r="H339">
        <f>0*$H$239</f>
        <v>0</v>
      </c>
      <c r="I339">
        <f>-11.8255*$I$239</f>
        <v>0</v>
      </c>
      <c r="J339">
        <f>118.6309*$J$239</f>
        <v>0</v>
      </c>
      <c r="K339">
        <f>-158.1745*$K$239</f>
        <v>0</v>
      </c>
      <c r="L339">
        <f>-20.5185*$L$239</f>
        <v>0</v>
      </c>
      <c r="M339">
        <f>0+D339+E339+G339+H339+I339+J339+K339+L339</f>
        <v>0</v>
      </c>
      <c r="N339">
        <f>0+D339+F339+G339+H339+I339+J339+K339+L339</f>
        <v>0</v>
      </c>
    </row>
    <row r="340" spans="3:14">
      <c r="C340" t="s">
        <v>65</v>
      </c>
      <c r="D340">
        <f>-85.6835*$D$239</f>
        <v>0</v>
      </c>
      <c r="E340">
        <f>4.9446*$E$239</f>
        <v>0</v>
      </c>
      <c r="F340">
        <f>-175.3062*$F$239</f>
        <v>0</v>
      </c>
      <c r="G340">
        <f>-6.2781*$G$239</f>
        <v>0</v>
      </c>
      <c r="H340">
        <f>0*$H$239</f>
        <v>0</v>
      </c>
      <c r="I340">
        <f>-12.4484*$I$239</f>
        <v>0</v>
      </c>
      <c r="J340">
        <f>-58.181*$J$239</f>
        <v>0</v>
      </c>
      <c r="K340">
        <f>77.5746*$K$239</f>
        <v>0</v>
      </c>
      <c r="L340">
        <f>13.0313*$L$239</f>
        <v>0</v>
      </c>
      <c r="M340">
        <f>0+D340+E340+G340+H340+I340+J340+K340+L340</f>
        <v>0</v>
      </c>
      <c r="N340">
        <f>0+D340+F340+G340+H340+I340+J340+K340+L340</f>
        <v>0</v>
      </c>
    </row>
    <row r="341" spans="3:14">
      <c r="C341" t="s">
        <v>65</v>
      </c>
      <c r="D341">
        <f>-84.8846*$D$239</f>
        <v>0</v>
      </c>
      <c r="E341">
        <f>1.9476*$E$239</f>
        <v>0</v>
      </c>
      <c r="F341">
        <f>-169.7762*$F$239</f>
        <v>0</v>
      </c>
      <c r="G341">
        <f>-8.381*$G$239</f>
        <v>0</v>
      </c>
      <c r="H341">
        <f>0*$H$239</f>
        <v>0</v>
      </c>
      <c r="I341">
        <f>-12.2213*$I$239</f>
        <v>0</v>
      </c>
      <c r="J341">
        <f>-24.4174*$J$239</f>
        <v>0</v>
      </c>
      <c r="K341">
        <f>32.5565*$K$239</f>
        <v>0</v>
      </c>
      <c r="L341">
        <f>0.9295*$L$239</f>
        <v>0</v>
      </c>
      <c r="M341">
        <f>0+D341+E341+G341+H341+I341+J341+K341+L341</f>
        <v>0</v>
      </c>
      <c r="N341">
        <f>0+D341+F341+G341+H341+I341+J341+K341+L341</f>
        <v>0</v>
      </c>
    </row>
    <row r="342" spans="3:14">
      <c r="C342" t="s">
        <v>66</v>
      </c>
      <c r="D342">
        <f>-74.6491*$D$239</f>
        <v>0</v>
      </c>
      <c r="E342">
        <f>5.2935*$E$239</f>
        <v>0</v>
      </c>
      <c r="F342">
        <f>-153.2867*$F$239</f>
        <v>0</v>
      </c>
      <c r="G342">
        <f>-3.5695*$G$239</f>
        <v>0</v>
      </c>
      <c r="H342">
        <f>0*$H$239</f>
        <v>0</v>
      </c>
      <c r="I342">
        <f>-10.9823*$I$239</f>
        <v>0</v>
      </c>
      <c r="J342">
        <f>-80.0694*$J$239</f>
        <v>0</v>
      </c>
      <c r="K342">
        <f>106.7592*$K$239</f>
        <v>0</v>
      </c>
      <c r="L342">
        <f>12.7891*$L$239</f>
        <v>0</v>
      </c>
      <c r="M342">
        <f>0+D342+E342+G342+H342+I342+J342+K342+L342</f>
        <v>0</v>
      </c>
      <c r="N342">
        <f>0+D342+F342+G342+H342+I342+J342+K342+L342</f>
        <v>0</v>
      </c>
    </row>
    <row r="343" spans="3:14">
      <c r="C343" t="s">
        <v>66</v>
      </c>
      <c r="D343">
        <f>-73.7729*$D$239</f>
        <v>0</v>
      </c>
      <c r="E343">
        <f>2.7557*$E$239</f>
        <v>0</v>
      </c>
      <c r="F343">
        <f>-149.9183*$F$239</f>
        <v>0</v>
      </c>
      <c r="G343">
        <f>-5.8636*$G$239</f>
        <v>0</v>
      </c>
      <c r="H343">
        <f>0*$H$239</f>
        <v>0</v>
      </c>
      <c r="I343">
        <f>-10.7315*$I$239</f>
        <v>0</v>
      </c>
      <c r="J343">
        <f>-80.3643*$J$239</f>
        <v>0</v>
      </c>
      <c r="K343">
        <f>107.1524*$K$239</f>
        <v>0</v>
      </c>
      <c r="L343">
        <f>1.4814*$L$239</f>
        <v>0</v>
      </c>
      <c r="M343">
        <f>0+D343+E343+G343+H343+I343+J343+K343+L343</f>
        <v>0</v>
      </c>
      <c r="N343">
        <f>0+D343+F343+G343+H343+I343+J343+K343+L343</f>
        <v>0</v>
      </c>
    </row>
    <row r="344" spans="3:14">
      <c r="C344" t="s">
        <v>67</v>
      </c>
      <c r="D344">
        <f>-54.5396*$D$239</f>
        <v>0</v>
      </c>
      <c r="E344">
        <f>5.2893*$E$239</f>
        <v>0</v>
      </c>
      <c r="F344">
        <f>-111.6531*$F$239</f>
        <v>0</v>
      </c>
      <c r="G344">
        <f>-1.8163*$G$239</f>
        <v>0</v>
      </c>
      <c r="H344">
        <f>0*$H$239</f>
        <v>0</v>
      </c>
      <c r="I344">
        <f>-8.0492*$I$239</f>
        <v>0</v>
      </c>
      <c r="J344">
        <f>-91.1762*$J$239</f>
        <v>0</v>
      </c>
      <c r="K344">
        <f>121.5683*$K$239</f>
        <v>0</v>
      </c>
      <c r="L344">
        <f>8.3867*$L$239</f>
        <v>0</v>
      </c>
      <c r="M344">
        <f>0+D344+E344+G344+H344+I344+J344+K344+L344</f>
        <v>0</v>
      </c>
      <c r="N344">
        <f>0+D344+F344+G344+H344+I344+J344+K344+L344</f>
        <v>0</v>
      </c>
    </row>
    <row r="345" spans="3:14">
      <c r="C345" t="s">
        <v>67</v>
      </c>
      <c r="D345">
        <f>-53.5277*$D$239</f>
        <v>0</v>
      </c>
      <c r="E345">
        <f>3.9689*$E$239</f>
        <v>0</v>
      </c>
      <c r="F345">
        <f>-109.7394*$F$239</f>
        <v>0</v>
      </c>
      <c r="G345">
        <f>-3.6567*$G$239</f>
        <v>0</v>
      </c>
      <c r="H345">
        <f>0*$H$239</f>
        <v>0</v>
      </c>
      <c r="I345">
        <f>-7.8032*$I$239</f>
        <v>0</v>
      </c>
      <c r="J345">
        <f>-149.7808*$J$239</f>
        <v>0</v>
      </c>
      <c r="K345">
        <f>199.7077*$K$239</f>
        <v>0</v>
      </c>
      <c r="L345">
        <f>0.9256*$L$239</f>
        <v>0</v>
      </c>
      <c r="M345">
        <f>0+D345+E345+G345+H345+I345+J345+K345+L345</f>
        <v>0</v>
      </c>
      <c r="N345">
        <f>0+D345+F345+G345+H345+I345+J345+K345+L345</f>
        <v>0</v>
      </c>
    </row>
    <row r="346" spans="3:14">
      <c r="C346" t="s">
        <v>68</v>
      </c>
      <c r="D346">
        <f>-26.2296*$D$239</f>
        <v>0</v>
      </c>
      <c r="E346">
        <f>4.1827*$E$239</f>
        <v>0</v>
      </c>
      <c r="F346">
        <f>-54.6627*$F$239</f>
        <v>0</v>
      </c>
      <c r="G346">
        <f>-0.2958*$G$239</f>
        <v>0</v>
      </c>
      <c r="H346">
        <f>0*$H$239</f>
        <v>0</v>
      </c>
      <c r="I346">
        <f>-3.8455*$I$239</f>
        <v>0</v>
      </c>
      <c r="J346">
        <f>-103.6604*$J$239</f>
        <v>0</v>
      </c>
      <c r="K346">
        <f>138.2139*$K$239</f>
        <v>0</v>
      </c>
      <c r="L346">
        <f>4.3534*$L$239</f>
        <v>0</v>
      </c>
      <c r="M346">
        <f>0+D346+E346+G346+H346+I346+J346+K346+L346</f>
        <v>0</v>
      </c>
      <c r="N346">
        <f>0+D346+F346+G346+H346+I346+J346+K346+L346</f>
        <v>0</v>
      </c>
    </row>
    <row r="347" spans="3:14">
      <c r="C347" t="s">
        <v>68</v>
      </c>
      <c r="D347">
        <f>-24.8561*$D$239</f>
        <v>0</v>
      </c>
      <c r="E347">
        <f>4.7752*$E$239</f>
        <v>0</v>
      </c>
      <c r="F347">
        <f>-51.7138*$F$239</f>
        <v>0</v>
      </c>
      <c r="G347">
        <f>-2.0165*$G$239</f>
        <v>0</v>
      </c>
      <c r="H347">
        <f>0*$H$239</f>
        <v>0</v>
      </c>
      <c r="I347">
        <f>-3.52*$I$239</f>
        <v>0</v>
      </c>
      <c r="J347">
        <f>-224.1617*$J$239</f>
        <v>0</v>
      </c>
      <c r="K347">
        <f>298.8822*$K$239</f>
        <v>0</v>
      </c>
      <c r="L347">
        <f>2.9305*$L$239</f>
        <v>0</v>
      </c>
      <c r="M347">
        <f>0+D347+E347+G347+H347+I347+J347+K347+L347</f>
        <v>0</v>
      </c>
      <c r="N347">
        <f>0+D347+F347+G347+H347+I347+J347+K347+L347</f>
        <v>0</v>
      </c>
    </row>
    <row r="348" spans="3:14">
      <c r="C348" t="s">
        <v>69</v>
      </c>
      <c r="D348">
        <f>1.3011*$D$239</f>
        <v>0</v>
      </c>
      <c r="E348">
        <f>15.1819*$E$239</f>
        <v>0</v>
      </c>
      <c r="F348">
        <f>-6.6819*$F$239</f>
        <v>0</v>
      </c>
      <c r="G348">
        <f>-2.2614*$G$239</f>
        <v>0</v>
      </c>
      <c r="H348">
        <f>0*$H$239</f>
        <v>0</v>
      </c>
      <c r="I348">
        <f>0.3495*$I$239</f>
        <v>0</v>
      </c>
      <c r="J348">
        <f>87.3836*$J$239</f>
        <v>0</v>
      </c>
      <c r="K348">
        <f>-116.5114*$K$239</f>
        <v>0</v>
      </c>
      <c r="L348">
        <f>5.2344*$L$239</f>
        <v>0</v>
      </c>
      <c r="M348">
        <f>0+D348+E348+G348+H348+I348+J348+K348+L348</f>
        <v>0</v>
      </c>
      <c r="N348">
        <f>0+D348+F348+G348+H348+I348+J348+K348+L348</f>
        <v>0</v>
      </c>
    </row>
    <row r="353" spans="3:14">
      <c r="C353" t="s">
        <v>72</v>
      </c>
    </row>
    <row r="355" spans="3:14">
      <c r="C355" t="s">
        <v>2</v>
      </c>
    </row>
    <row r="356" spans="3:14">
      <c r="C356" t="s">
        <v>3</v>
      </c>
      <c r="D356" t="s">
        <v>4</v>
      </c>
      <c r="E356" t="s">
        <v>5</v>
      </c>
      <c r="F356" t="s">
        <v>6</v>
      </c>
      <c r="G356" t="s">
        <v>7</v>
      </c>
      <c r="H356" t="s">
        <v>8</v>
      </c>
      <c r="I356" t="s">
        <v>9</v>
      </c>
      <c r="J356" t="s">
        <v>10</v>
      </c>
      <c r="K356" t="s">
        <v>11</v>
      </c>
      <c r="L356" t="s">
        <v>12</v>
      </c>
      <c r="M356" t="s">
        <v>13</v>
      </c>
      <c r="N356" t="s">
        <v>14</v>
      </c>
    </row>
    <row r="357" spans="3:14">
      <c r="C357" t="s">
        <v>80</v>
      </c>
      <c r="D357">
        <f>55.077*$D$355</f>
        <v>0</v>
      </c>
      <c r="E357">
        <f>87.428*$E$355</f>
        <v>0</v>
      </c>
      <c r="F357">
        <f>-14.382*$F$355</f>
        <v>0</v>
      </c>
      <c r="G357">
        <f>3.527*$G$355</f>
        <v>0</v>
      </c>
      <c r="H357">
        <f>0*$H$355</f>
        <v>0</v>
      </c>
      <c r="I357">
        <f>7.793*$I$355</f>
        <v>0</v>
      </c>
      <c r="J357">
        <f>476.098*$J$355</f>
        <v>0</v>
      </c>
      <c r="K357">
        <f>-634.798*$K$355</f>
        <v>0</v>
      </c>
      <c r="L357">
        <f>-0.008272*$L$355</f>
        <v>0</v>
      </c>
      <c r="M357">
        <f>0+D357+E357+G357+H357+I357+J357+K357+L357</f>
        <v>0</v>
      </c>
      <c r="N357">
        <f>0+D357+F357+G357+H357+I357+J357+K357+L357</f>
        <v>0</v>
      </c>
    </row>
    <row r="358" spans="3:14">
      <c r="C358" t="s">
        <v>16</v>
      </c>
      <c r="D358">
        <f>89.953*$D$355</f>
        <v>0</v>
      </c>
      <c r="E358">
        <f>125.57*$E$355</f>
        <v>0</v>
      </c>
      <c r="F358">
        <f>-7.458*$F$355</f>
        <v>0</v>
      </c>
      <c r="G358">
        <f>10.957*$G$355</f>
        <v>0</v>
      </c>
      <c r="H358">
        <f>0*$H$355</f>
        <v>0</v>
      </c>
      <c r="I358">
        <f>12.66*$I$355</f>
        <v>0</v>
      </c>
      <c r="J358">
        <f>330.432*$J$355</f>
        <v>0</v>
      </c>
      <c r="K358">
        <f>-440.576*$K$355</f>
        <v>0</v>
      </c>
      <c r="L358">
        <f>-0.008924*$L$355</f>
        <v>0</v>
      </c>
      <c r="M358">
        <f>0+D358+E358+G358+H358+I358+J358+K358+L358</f>
        <v>0</v>
      </c>
      <c r="N358">
        <f>0+D358+F358+G358+H358+I358+J358+K358+L358</f>
        <v>0</v>
      </c>
    </row>
    <row r="359" spans="3:14">
      <c r="C359" t="s">
        <v>16</v>
      </c>
      <c r="D359">
        <f>95.815*$D$355</f>
        <v>0</v>
      </c>
      <c r="E359">
        <f>141.378*$E$355</f>
        <v>0</v>
      </c>
      <c r="F359">
        <f>-12.455*$F$355</f>
        <v>0</v>
      </c>
      <c r="G359">
        <f>14.715*$G$355</f>
        <v>0</v>
      </c>
      <c r="H359">
        <f>0*$H$355</f>
        <v>0</v>
      </c>
      <c r="I359">
        <f>13.361*$I$355</f>
        <v>0</v>
      </c>
      <c r="J359">
        <f>215.426*$J$355</f>
        <v>0</v>
      </c>
      <c r="K359">
        <f>-287.234*$K$355</f>
        <v>0</v>
      </c>
      <c r="L359">
        <f>-0.015*$L$355</f>
        <v>0</v>
      </c>
      <c r="M359">
        <f>0+D359+E359+G359+H359+I359+J359+K359+L359</f>
        <v>0</v>
      </c>
      <c r="N359">
        <f>0+D359+F359+G359+H359+I359+J359+K359+L359</f>
        <v>0</v>
      </c>
    </row>
    <row r="360" spans="3:14">
      <c r="C360" t="s">
        <v>17</v>
      </c>
      <c r="D360">
        <f>96.575*$D$355</f>
        <v>0</v>
      </c>
      <c r="E360">
        <f>147.915*$E$355</f>
        <v>0</v>
      </c>
      <c r="F360">
        <f>-18.101*$F$355</f>
        <v>0</v>
      </c>
      <c r="G360">
        <f>16.962*$G$355</f>
        <v>0</v>
      </c>
      <c r="H360">
        <f>0*$H$355</f>
        <v>0</v>
      </c>
      <c r="I360">
        <f>13.356*$I$355</f>
        <v>0</v>
      </c>
      <c r="J360">
        <f>133.601*$J$355</f>
        <v>0</v>
      </c>
      <c r="K360">
        <f>-178.135*$K$355</f>
        <v>0</v>
      </c>
      <c r="L360">
        <f>-0.017*$L$355</f>
        <v>0</v>
      </c>
      <c r="M360">
        <f>0+D360+E360+G360+H360+I360+J360+K360+L360</f>
        <v>0</v>
      </c>
      <c r="N360">
        <f>0+D360+F360+G360+H360+I360+J360+K360+L360</f>
        <v>0</v>
      </c>
    </row>
    <row r="361" spans="3:14">
      <c r="C361" t="s">
        <v>17</v>
      </c>
      <c r="D361">
        <f>94.514*$D$355</f>
        <v>0</v>
      </c>
      <c r="E361">
        <f>148.521*$E$355</f>
        <v>0</v>
      </c>
      <c r="F361">
        <f>-24.7*$F$355</f>
        <v>0</v>
      </c>
      <c r="G361">
        <f>18.658*$G$355</f>
        <v>0</v>
      </c>
      <c r="H361">
        <f>0*$H$355</f>
        <v>0</v>
      </c>
      <c r="I361">
        <f>12.919*$I$355</f>
        <v>0</v>
      </c>
      <c r="J361">
        <f>72.812*$J$355</f>
        <v>0</v>
      </c>
      <c r="K361">
        <f>-97.082*$K$355</f>
        <v>0</v>
      </c>
      <c r="L361">
        <f>-0.018*$L$355</f>
        <v>0</v>
      </c>
      <c r="M361">
        <f>0+D361+E361+G361+H361+I361+J361+K361+L361</f>
        <v>0</v>
      </c>
      <c r="N361">
        <f>0+D361+F361+G361+H361+I361+J361+K361+L361</f>
        <v>0</v>
      </c>
    </row>
    <row r="362" spans="3:14">
      <c r="C362" t="s">
        <v>18</v>
      </c>
      <c r="D362">
        <f>91.152*$D$355</f>
        <v>0</v>
      </c>
      <c r="E362">
        <f>146.806*$E$355</f>
        <v>0</v>
      </c>
      <c r="F362">
        <f>-28.944*$F$355</f>
        <v>0</v>
      </c>
      <c r="G362">
        <f>19.843*$G$355</f>
        <v>0</v>
      </c>
      <c r="H362">
        <f>0*$H$355</f>
        <v>0</v>
      </c>
      <c r="I362">
        <f>12.331*$I$355</f>
        <v>0</v>
      </c>
      <c r="J362">
        <f>25.334*$J$355</f>
        <v>0</v>
      </c>
      <c r="K362">
        <f>-33.778*$K$355</f>
        <v>0</v>
      </c>
      <c r="L362">
        <f>-0.018*$L$355</f>
        <v>0</v>
      </c>
      <c r="M362">
        <f>0+D362+E362+G362+H362+I362+J362+K362+L362</f>
        <v>0</v>
      </c>
      <c r="N362">
        <f>0+D362+F362+G362+H362+I362+J362+K362+L362</f>
        <v>0</v>
      </c>
    </row>
    <row r="363" spans="3:14">
      <c r="C363" t="s">
        <v>18</v>
      </c>
      <c r="D363">
        <f>85.247*$D$355</f>
        <v>0</v>
      </c>
      <c r="E363">
        <f>141.596*$E$355</f>
        <v>0</v>
      </c>
      <c r="F363">
        <f>-32.158*$F$355</f>
        <v>0</v>
      </c>
      <c r="G363">
        <f>21.25*$G$355</f>
        <v>0</v>
      </c>
      <c r="H363">
        <f>0*$H$355</f>
        <v>0</v>
      </c>
      <c r="I363">
        <f>11.336*$I$355</f>
        <v>0</v>
      </c>
      <c r="J363">
        <f>-20.256*$J$355</f>
        <v>0</v>
      </c>
      <c r="K363">
        <f>27.008*$K$355</f>
        <v>0</v>
      </c>
      <c r="L363">
        <f>-0.018*$L$355</f>
        <v>0</v>
      </c>
      <c r="M363">
        <f>0+D363+E363+G363+H363+I363+J363+K363+L363</f>
        <v>0</v>
      </c>
      <c r="N363">
        <f>0+D363+F363+G363+H363+I363+J363+K363+L363</f>
        <v>0</v>
      </c>
    </row>
    <row r="364" spans="3:14">
      <c r="C364" t="s">
        <v>19</v>
      </c>
      <c r="D364">
        <f>78.506*$D$355</f>
        <v>0</v>
      </c>
      <c r="E364">
        <f>135.564*$E$355</f>
        <v>0</v>
      </c>
      <c r="F364">
        <f>-36.527*$F$355</f>
        <v>0</v>
      </c>
      <c r="G364">
        <f>22.986*$G$355</f>
        <v>0</v>
      </c>
      <c r="H364">
        <f>0*$H$355</f>
        <v>0</v>
      </c>
      <c r="I364">
        <f>10.225*$I$355</f>
        <v>0</v>
      </c>
      <c r="J364">
        <f>-67.843*$J$355</f>
        <v>0</v>
      </c>
      <c r="K364">
        <f>90.458*$K$355</f>
        <v>0</v>
      </c>
      <c r="L364">
        <f>-0.018*$L$355</f>
        <v>0</v>
      </c>
      <c r="M364">
        <f>0+D364+E364+G364+H364+I364+J364+K364+L364</f>
        <v>0</v>
      </c>
      <c r="N364">
        <f>0+D364+F364+G364+H364+I364+J364+K364+L364</f>
        <v>0</v>
      </c>
    </row>
    <row r="365" spans="3:14">
      <c r="C365" t="s">
        <v>19</v>
      </c>
      <c r="D365">
        <f>69.656*$D$355</f>
        <v>0</v>
      </c>
      <c r="E365">
        <f>128.279*$E$355</f>
        <v>0</v>
      </c>
      <c r="F365">
        <f>-43.092*$F$355</f>
        <v>0</v>
      </c>
      <c r="G365">
        <f>25.246*$G$355</f>
        <v>0</v>
      </c>
      <c r="H365">
        <f>0*$H$355</f>
        <v>0</v>
      </c>
      <c r="I365">
        <f>8.796*$I$355</f>
        <v>0</v>
      </c>
      <c r="J365">
        <f>-123.902*$J$355</f>
        <v>0</v>
      </c>
      <c r="K365">
        <f>165.203*$K$355</f>
        <v>0</v>
      </c>
      <c r="L365">
        <f>-0.018*$L$355</f>
        <v>0</v>
      </c>
      <c r="M365">
        <f>0+D365+E365+G365+H365+I365+J365+K365+L365</f>
        <v>0</v>
      </c>
      <c r="N365">
        <f>0+D365+F365+G365+H365+I365+J365+K365+L365</f>
        <v>0</v>
      </c>
    </row>
    <row r="366" spans="3:14">
      <c r="C366" t="s">
        <v>20</v>
      </c>
      <c r="D366">
        <f>60.464*$D$355</f>
        <v>0</v>
      </c>
      <c r="E366">
        <f>122.71*$E$355</f>
        <v>0</v>
      </c>
      <c r="F366">
        <f>-52.246*$F$355</f>
        <v>0</v>
      </c>
      <c r="G366">
        <f>28.09*$G$355</f>
        <v>0</v>
      </c>
      <c r="H366">
        <f>0*$H$355</f>
        <v>0</v>
      </c>
      <c r="I366">
        <f>7.294*$I$355</f>
        <v>0</v>
      </c>
      <c r="J366">
        <f>-185.751*$J$355</f>
        <v>0</v>
      </c>
      <c r="K366">
        <f>247.668*$K$355</f>
        <v>0</v>
      </c>
      <c r="L366">
        <f>-0.017*$L$355</f>
        <v>0</v>
      </c>
      <c r="M366">
        <f>0+D366+E366+G366+H366+I366+J366+K366+L366</f>
        <v>0</v>
      </c>
      <c r="N366">
        <f>0+D366+F366+G366+H366+I366+J366+K366+L366</f>
        <v>0</v>
      </c>
    </row>
    <row r="367" spans="3:14">
      <c r="C367" t="s">
        <v>20</v>
      </c>
      <c r="D367">
        <f>74.355*$D$355</f>
        <v>0</v>
      </c>
      <c r="E367">
        <f>154.704*$E$355</f>
        <v>0</v>
      </c>
      <c r="F367">
        <f>-38.209*$F$355</f>
        <v>0</v>
      </c>
      <c r="G367">
        <f>-3.39*$G$355</f>
        <v>0</v>
      </c>
      <c r="H367">
        <f>0*$H$355</f>
        <v>0</v>
      </c>
      <c r="I367">
        <f>11.267*$I$355</f>
        <v>0</v>
      </c>
      <c r="J367">
        <f>208.342*$J$355</f>
        <v>0</v>
      </c>
      <c r="K367">
        <f>-277.789*$K$355</f>
        <v>0</v>
      </c>
      <c r="L367">
        <f>-0.016*$L$355</f>
        <v>0</v>
      </c>
      <c r="M367">
        <f>0+D367+E367+G367+H367+I367+J367+K367+L367</f>
        <v>0</v>
      </c>
      <c r="N367">
        <f>0+D367+F367+G367+H367+I367+J367+K367+L367</f>
        <v>0</v>
      </c>
    </row>
    <row r="368" spans="3:14">
      <c r="C368" t="s">
        <v>21</v>
      </c>
      <c r="D368">
        <f>64.233*$D$355</f>
        <v>0</v>
      </c>
      <c r="E368">
        <f>133.983*$E$355</f>
        <v>0</v>
      </c>
      <c r="F368">
        <f>-34.376*$F$355</f>
        <v>0</v>
      </c>
      <c r="G368">
        <f>-0.466*$G$355</f>
        <v>0</v>
      </c>
      <c r="H368">
        <f>0*$H$355</f>
        <v>0</v>
      </c>
      <c r="I368">
        <f>9.622*$I$355</f>
        <v>0</v>
      </c>
      <c r="J368">
        <f>148.845*$J$355</f>
        <v>0</v>
      </c>
      <c r="K368">
        <f>-198.46*$K$355</f>
        <v>0</v>
      </c>
      <c r="L368">
        <f>-0.016*$L$355</f>
        <v>0</v>
      </c>
      <c r="M368">
        <f>0+D368+E368+G368+H368+I368+J368+K368+L368</f>
        <v>0</v>
      </c>
      <c r="N368">
        <f>0+D368+F368+G368+H368+I368+J368+K368+L368</f>
        <v>0</v>
      </c>
    </row>
    <row r="369" spans="3:14">
      <c r="C369" t="s">
        <v>21</v>
      </c>
      <c r="D369">
        <f>53.381*$D$355</f>
        <v>0</v>
      </c>
      <c r="E369">
        <f>115.585*$E$355</f>
        <v>0</v>
      </c>
      <c r="F369">
        <f>-31.91*$F$355</f>
        <v>0</v>
      </c>
      <c r="G369">
        <f>1.972*$G$355</f>
        <v>0</v>
      </c>
      <c r="H369">
        <f>0*$H$355</f>
        <v>0</v>
      </c>
      <c r="I369">
        <f>7.885*$I$355</f>
        <v>0</v>
      </c>
      <c r="J369">
        <f>97.999*$J$355</f>
        <v>0</v>
      </c>
      <c r="K369">
        <f>-130.665*$K$355</f>
        <v>0</v>
      </c>
      <c r="L369">
        <f>-0.017*$L$355</f>
        <v>0</v>
      </c>
      <c r="M369">
        <f>0+D369+E369+G369+H369+I369+J369+K369+L369</f>
        <v>0</v>
      </c>
      <c r="N369">
        <f>0+D369+F369+G369+H369+I369+J369+K369+L369</f>
        <v>0</v>
      </c>
    </row>
    <row r="370" spans="3:14">
      <c r="C370" t="s">
        <v>22</v>
      </c>
      <c r="D370">
        <f>43.586*$D$355</f>
        <v>0</v>
      </c>
      <c r="E370">
        <f>100.145*$E$355</f>
        <v>0</v>
      </c>
      <c r="F370">
        <f>-30.596*$F$355</f>
        <v>0</v>
      </c>
      <c r="G370">
        <f>3.945*$G$355</f>
        <v>0</v>
      </c>
      <c r="H370">
        <f>0*$H$355</f>
        <v>0</v>
      </c>
      <c r="I370">
        <f>6.307*$I$355</f>
        <v>0</v>
      </c>
      <c r="J370">
        <f>59.011*$J$355</f>
        <v>0</v>
      </c>
      <c r="K370">
        <f>-78.682*$K$355</f>
        <v>0</v>
      </c>
      <c r="L370">
        <f>-0.017*$L$355</f>
        <v>0</v>
      </c>
      <c r="M370">
        <f>0+D370+E370+G370+H370+I370+J370+K370+L370</f>
        <v>0</v>
      </c>
      <c r="N370">
        <f>0+D370+F370+G370+H370+I370+J370+K370+L370</f>
        <v>0</v>
      </c>
    </row>
    <row r="371" spans="3:14">
      <c r="C371" t="s">
        <v>22</v>
      </c>
      <c r="D371">
        <f>33.397*$D$355</f>
        <v>0</v>
      </c>
      <c r="E371">
        <f>86.266*$E$355</f>
        <v>0</v>
      </c>
      <c r="F371">
        <f>-31.211*$F$355</f>
        <v>0</v>
      </c>
      <c r="G371">
        <f>5.716*$G$355</f>
        <v>0</v>
      </c>
      <c r="H371">
        <f>0*$H$355</f>
        <v>0</v>
      </c>
      <c r="I371">
        <f>4.654*$I$355</f>
        <v>0</v>
      </c>
      <c r="J371">
        <f>27.368*$J$355</f>
        <v>0</v>
      </c>
      <c r="K371">
        <f>-36.491*$K$355</f>
        <v>0</v>
      </c>
      <c r="L371">
        <f>-0.016*$L$355</f>
        <v>0</v>
      </c>
      <c r="M371">
        <f>0+D371+E371+G371+H371+I371+J371+K371+L371</f>
        <v>0</v>
      </c>
      <c r="N371">
        <f>0+D371+F371+G371+H371+I371+J371+K371+L371</f>
        <v>0</v>
      </c>
    </row>
    <row r="372" spans="3:14">
      <c r="C372" t="s">
        <v>23</v>
      </c>
      <c r="D372">
        <f>23.73*$D$355</f>
        <v>0</v>
      </c>
      <c r="E372">
        <f>75.722*$E$355</f>
        <v>0</v>
      </c>
      <c r="F372">
        <f>-34.194*$F$355</f>
        <v>0</v>
      </c>
      <c r="G372">
        <f>7.278*$G$355</f>
        <v>0</v>
      </c>
      <c r="H372">
        <f>0*$H$355</f>
        <v>0</v>
      </c>
      <c r="I372">
        <f>3.101*$I$355</f>
        <v>0</v>
      </c>
      <c r="J372">
        <f>0.953*$J$355</f>
        <v>0</v>
      </c>
      <c r="K372">
        <f>-1.271*$K$355</f>
        <v>0</v>
      </c>
      <c r="L372">
        <f>-0.016*$L$355</f>
        <v>0</v>
      </c>
      <c r="M372">
        <f>0+D372+E372+G372+H372+I372+J372+K372+L372</f>
        <v>0</v>
      </c>
      <c r="N372">
        <f>0+D372+F372+G372+H372+I372+J372+K372+L372</f>
        <v>0</v>
      </c>
    </row>
    <row r="373" spans="3:14">
      <c r="C373" t="s">
        <v>23</v>
      </c>
      <c r="D373">
        <f>13.329*$D$355</f>
        <v>0</v>
      </c>
      <c r="E373">
        <f>65.75*$E$355</f>
        <v>0</v>
      </c>
      <c r="F373">
        <f>-41.466*$F$355</f>
        <v>0</v>
      </c>
      <c r="G373">
        <f>9.452*$G$355</f>
        <v>0</v>
      </c>
      <c r="H373">
        <f>0*$H$355</f>
        <v>0</v>
      </c>
      <c r="I373">
        <f>1.39*$I$355</f>
        <v>0</v>
      </c>
      <c r="J373">
        <f>-26.966*$J$355</f>
        <v>0</v>
      </c>
      <c r="K373">
        <f>35.955*$K$355</f>
        <v>0</v>
      </c>
      <c r="L373">
        <f>-0.016*$L$355</f>
        <v>0</v>
      </c>
      <c r="M373">
        <f>0+D373+E373+G373+H373+I373+J373+K373+L373</f>
        <v>0</v>
      </c>
      <c r="N373">
        <f>0+D373+F373+G373+H373+I373+J373+K373+L373</f>
        <v>0</v>
      </c>
    </row>
    <row r="374" spans="3:14">
      <c r="C374" t="s">
        <v>24</v>
      </c>
      <c r="D374">
        <f>3.118*$D$355</f>
        <v>0</v>
      </c>
      <c r="E374">
        <f>60.754*$E$355</f>
        <v>0</v>
      </c>
      <c r="F374">
        <f>-53.421*$F$355</f>
        <v>0</v>
      </c>
      <c r="G374">
        <f>12.229*$G$355</f>
        <v>0</v>
      </c>
      <c r="H374">
        <f>0*$H$355</f>
        <v>0</v>
      </c>
      <c r="I374">
        <f>-0.305*$I$355</f>
        <v>0</v>
      </c>
      <c r="J374">
        <f>-58.484*$J$355</f>
        <v>0</v>
      </c>
      <c r="K374">
        <f>77.979*$K$355</f>
        <v>0</v>
      </c>
      <c r="L374">
        <f>-0.016*$L$355</f>
        <v>0</v>
      </c>
      <c r="M374">
        <f>0+D374+E374+G374+H374+I374+J374+K374+L374</f>
        <v>0</v>
      </c>
      <c r="N374">
        <f>0+D374+F374+G374+H374+I374+J374+K374+L374</f>
        <v>0</v>
      </c>
    </row>
    <row r="375" spans="3:14">
      <c r="C375" t="s">
        <v>24</v>
      </c>
      <c r="D375">
        <f>-8.437*$D$355</f>
        <v>0</v>
      </c>
      <c r="E375">
        <f>58.17*$E$355</f>
        <v>0</v>
      </c>
      <c r="F375">
        <f>-70.924*$F$355</f>
        <v>0</v>
      </c>
      <c r="G375">
        <f>15.835*$G$355</f>
        <v>0</v>
      </c>
      <c r="H375">
        <f>0*$H$355</f>
        <v>0</v>
      </c>
      <c r="I375">
        <f>-2.224*$I$355</f>
        <v>0</v>
      </c>
      <c r="J375">
        <f>-98.306*$J$355</f>
        <v>0</v>
      </c>
      <c r="K375">
        <f>131.075*$K$355</f>
        <v>0</v>
      </c>
      <c r="L375">
        <f>-0.016*$L$355</f>
        <v>0</v>
      </c>
      <c r="M375">
        <f>0+D375+E375+G375+H375+I375+J375+K375+L375</f>
        <v>0</v>
      </c>
      <c r="N375">
        <f>0+D375+F375+G375+H375+I375+J375+K375+L375</f>
        <v>0</v>
      </c>
    </row>
    <row r="376" spans="3:14">
      <c r="C376" t="s">
        <v>25</v>
      </c>
      <c r="D376">
        <f>-19.544*$D$355</f>
        <v>0</v>
      </c>
      <c r="E376">
        <f>62.126*$E$355</f>
        <v>0</v>
      </c>
      <c r="F376">
        <f>-92.893*$F$355</f>
        <v>0</v>
      </c>
      <c r="G376">
        <f>20.213*$G$355</f>
        <v>0</v>
      </c>
      <c r="H376">
        <f>0*$H$355</f>
        <v>0</v>
      </c>
      <c r="I376">
        <f>-4.114*$I$355</f>
        <v>0</v>
      </c>
      <c r="J376">
        <f>-143.784*$J$355</f>
        <v>0</v>
      </c>
      <c r="K376">
        <f>191.713*$K$355</f>
        <v>0</v>
      </c>
      <c r="L376">
        <f>-0.017*$L$355</f>
        <v>0</v>
      </c>
      <c r="M376">
        <f>0+D376+E376+G376+H376+I376+J376+K376+L376</f>
        <v>0</v>
      </c>
      <c r="N376">
        <f>0+D376+F376+G376+H376+I376+J376+K376+L376</f>
        <v>0</v>
      </c>
    </row>
    <row r="377" spans="3:14">
      <c r="C377" t="s">
        <v>25</v>
      </c>
      <c r="D377">
        <f>-3.487*$D$355</f>
        <v>0</v>
      </c>
      <c r="E377">
        <f>96.66*$E$355</f>
        <v>0</v>
      </c>
      <c r="F377">
        <f>-83.847*$F$355</f>
        <v>0</v>
      </c>
      <c r="G377">
        <f>-20.906*$G$355</f>
        <v>0</v>
      </c>
      <c r="H377">
        <f>0*$H$355</f>
        <v>0</v>
      </c>
      <c r="I377">
        <f>0.836*$I$355</f>
        <v>0</v>
      </c>
      <c r="J377">
        <f>150.031*$J$355</f>
        <v>0</v>
      </c>
      <c r="K377">
        <f>-200.041*$K$355</f>
        <v>0</v>
      </c>
      <c r="L377">
        <f>-0.014*$L$355</f>
        <v>0</v>
      </c>
      <c r="M377">
        <f>0+D377+E377+G377+H377+I377+J377+K377+L377</f>
        <v>0</v>
      </c>
      <c r="N377">
        <f>0+D377+F377+G377+H377+I377+J377+K377+L377</f>
        <v>0</v>
      </c>
    </row>
    <row r="378" spans="3:14">
      <c r="C378" t="s">
        <v>26</v>
      </c>
      <c r="D378">
        <f>-14.384*$D$355</f>
        <v>0</v>
      </c>
      <c r="E378">
        <f>71.736*$E$355</f>
        <v>0</v>
      </c>
      <c r="F378">
        <f>-63.559*$F$355</f>
        <v>0</v>
      </c>
      <c r="G378">
        <f>-16.414*$G$355</f>
        <v>0</v>
      </c>
      <c r="H378">
        <f>0*$H$355</f>
        <v>0</v>
      </c>
      <c r="I378">
        <f>-1.031*$I$355</f>
        <v>0</v>
      </c>
      <c r="J378">
        <f>105.468*$J$355</f>
        <v>0</v>
      </c>
      <c r="K378">
        <f>-140.625*$K$355</f>
        <v>0</v>
      </c>
      <c r="L378">
        <f>-0.015*$L$355</f>
        <v>0</v>
      </c>
      <c r="M378">
        <f>0+D378+E378+G378+H378+I378+J378+K378+L378</f>
        <v>0</v>
      </c>
      <c r="N378">
        <f>0+D378+F378+G378+H378+I378+J378+K378+L378</f>
        <v>0</v>
      </c>
    </row>
    <row r="379" spans="3:14">
      <c r="C379" t="s">
        <v>26</v>
      </c>
      <c r="D379">
        <f>-25.507*$D$355</f>
        <v>0</v>
      </c>
      <c r="E379">
        <f>47.564*$E$355</f>
        <v>0</v>
      </c>
      <c r="F379">
        <f>-60.981*$F$355</f>
        <v>0</v>
      </c>
      <c r="G379">
        <f>-12.577*$G$355</f>
        <v>0</v>
      </c>
      <c r="H379">
        <f>0*$H$355</f>
        <v>0</v>
      </c>
      <c r="I379">
        <f>-2.906*$I$355</f>
        <v>0</v>
      </c>
      <c r="J379">
        <f>67.532*$J$355</f>
        <v>0</v>
      </c>
      <c r="K379">
        <f>-90.042*$K$355</f>
        <v>0</v>
      </c>
      <c r="L379">
        <f>-0.016*$L$355</f>
        <v>0</v>
      </c>
      <c r="M379">
        <f>0+D379+E379+G379+H379+I379+J379+K379+L379</f>
        <v>0</v>
      </c>
      <c r="N379">
        <f>0+D379+F379+G379+H379+I379+J379+K379+L379</f>
        <v>0</v>
      </c>
    </row>
    <row r="380" spans="3:14">
      <c r="C380" t="s">
        <v>27</v>
      </c>
      <c r="D380">
        <f>-34.991*$D$355</f>
        <v>0</v>
      </c>
      <c r="E380">
        <f>34.511*$E$355</f>
        <v>0</v>
      </c>
      <c r="F380">
        <f>-62.063*$F$355</f>
        <v>0</v>
      </c>
      <c r="G380">
        <f>-9.442*$G$355</f>
        <v>0</v>
      </c>
      <c r="H380">
        <f>0*$H$355</f>
        <v>0</v>
      </c>
      <c r="I380">
        <f>-4.523*$I$355</f>
        <v>0</v>
      </c>
      <c r="J380">
        <f>38.893*$J$355</f>
        <v>0</v>
      </c>
      <c r="K380">
        <f>-51.857*$K$355</f>
        <v>0</v>
      </c>
      <c r="L380">
        <f>-0.016*$L$355</f>
        <v>0</v>
      </c>
      <c r="M380">
        <f>0+D380+E380+G380+H380+I380+J380+K380+L380</f>
        <v>0</v>
      </c>
      <c r="N380">
        <f>0+D380+F380+G380+H380+I380+J380+K380+L380</f>
        <v>0</v>
      </c>
    </row>
    <row r="381" spans="3:14">
      <c r="C381" t="s">
        <v>27</v>
      </c>
      <c r="D381">
        <f>-44.327*$D$355</f>
        <v>0</v>
      </c>
      <c r="E381">
        <f>26.987*$E$355</f>
        <v>0</v>
      </c>
      <c r="F381">
        <f>-69.08*$F$355</f>
        <v>0</v>
      </c>
      <c r="G381">
        <f>-6.764*$G$355</f>
        <v>0</v>
      </c>
      <c r="H381">
        <f>0*$H$355</f>
        <v>0</v>
      </c>
      <c r="I381">
        <f>-6.119*$I$355</f>
        <v>0</v>
      </c>
      <c r="J381">
        <f>14.993*$J$355</f>
        <v>0</v>
      </c>
      <c r="K381">
        <f>-19.99*$K$355</f>
        <v>0</v>
      </c>
      <c r="L381">
        <f>-0.017*$L$355</f>
        <v>0</v>
      </c>
      <c r="M381">
        <f>0+D381+E381+G381+H381+I381+J381+K381+L381</f>
        <v>0</v>
      </c>
      <c r="N381">
        <f>0+D381+F381+G381+H381+I381+J381+K381+L381</f>
        <v>0</v>
      </c>
    </row>
    <row r="382" spans="3:14">
      <c r="C382" t="s">
        <v>28</v>
      </c>
      <c r="D382">
        <f>-52.468*$D$355</f>
        <v>0</v>
      </c>
      <c r="E382">
        <f>23.876*$E$355</f>
        <v>0</v>
      </c>
      <c r="F382">
        <f>-81.279*$F$355</f>
        <v>0</v>
      </c>
      <c r="G382">
        <f>-4.54*$G$355</f>
        <v>0</v>
      </c>
      <c r="H382">
        <f>0*$H$355</f>
        <v>0</v>
      </c>
      <c r="I382">
        <f>-7.501*$I$355</f>
        <v>0</v>
      </c>
      <c r="J382">
        <f>-6.193*$J$355</f>
        <v>0</v>
      </c>
      <c r="K382">
        <f>8.258*$K$355</f>
        <v>0</v>
      </c>
      <c r="L382">
        <f>-0.017*$L$355</f>
        <v>0</v>
      </c>
      <c r="M382">
        <f>0+D382+E382+G382+H382+I382+J382+K382+L382</f>
        <v>0</v>
      </c>
      <c r="N382">
        <f>0+D382+F382+G382+H382+I382+J382+K382+L382</f>
        <v>0</v>
      </c>
    </row>
    <row r="383" spans="3:14">
      <c r="C383" t="s">
        <v>28</v>
      </c>
      <c r="D383">
        <f>-60.566*$D$355</f>
        <v>0</v>
      </c>
      <c r="E383">
        <f>21.332*$E$355</f>
        <v>0</v>
      </c>
      <c r="F383">
        <f>-95.216*$F$355</f>
        <v>0</v>
      </c>
      <c r="G383">
        <f>-1.912*$G$355</f>
        <v>0</v>
      </c>
      <c r="H383">
        <f>0*$H$355</f>
        <v>0</v>
      </c>
      <c r="I383">
        <f>-8.918*$I$355</f>
        <v>0</v>
      </c>
      <c r="J383">
        <f>-31.119*$J$355</f>
        <v>0</v>
      </c>
      <c r="K383">
        <f>41.492*$K$355</f>
        <v>0</v>
      </c>
      <c r="L383">
        <f>-0.018*$L$355</f>
        <v>0</v>
      </c>
      <c r="M383">
        <f>0+D383+E383+G383+H383+I383+J383+K383+L383</f>
        <v>0</v>
      </c>
      <c r="N383">
        <f>0+D383+F383+G383+H383+I383+J383+K383+L383</f>
        <v>0</v>
      </c>
    </row>
    <row r="384" spans="3:14">
      <c r="C384" t="s">
        <v>29</v>
      </c>
      <c r="D384">
        <f>-67.527*$D$355</f>
        <v>0</v>
      </c>
      <c r="E384">
        <f>23.252*$E$355</f>
        <v>0</v>
      </c>
      <c r="F384">
        <f>-110.338*$F$355</f>
        <v>0</v>
      </c>
      <c r="G384">
        <f>1.124*$G$355</f>
        <v>0</v>
      </c>
      <c r="H384">
        <f>0*$H$355</f>
        <v>0</v>
      </c>
      <c r="I384">
        <f>-10.17*$I$355</f>
        <v>0</v>
      </c>
      <c r="J384">
        <f>-61.853*$J$355</f>
        <v>0</v>
      </c>
      <c r="K384">
        <f>82.47*$K$355</f>
        <v>0</v>
      </c>
      <c r="L384">
        <f>-0.018*$L$355</f>
        <v>0</v>
      </c>
      <c r="M384">
        <f>0+D384+E384+G384+H384+I384+J384+K384+L384</f>
        <v>0</v>
      </c>
      <c r="N384">
        <f>0+D384+F384+G384+H384+I384+J384+K384+L384</f>
        <v>0</v>
      </c>
    </row>
    <row r="385" spans="3:14">
      <c r="C385" t="s">
        <v>29</v>
      </c>
      <c r="D385">
        <f>-74.818*$D$355</f>
        <v>0</v>
      </c>
      <c r="E385">
        <f>26.932*$E$355</f>
        <v>0</v>
      </c>
      <c r="F385">
        <f>-128.267*$F$355</f>
        <v>0</v>
      </c>
      <c r="G385">
        <f>4.84*$G$355</f>
        <v>0</v>
      </c>
      <c r="H385">
        <f>0*$H$355</f>
        <v>0</v>
      </c>
      <c r="I385">
        <f>-11.491*$I$355</f>
        <v>0</v>
      </c>
      <c r="J385">
        <f>-102.944*$J$355</f>
        <v>0</v>
      </c>
      <c r="K385">
        <f>137.258*$K$355</f>
        <v>0</v>
      </c>
      <c r="L385">
        <f>-0.018*$L$355</f>
        <v>0</v>
      </c>
      <c r="M385">
        <f>0+D385+E385+G385+H385+I385+J385+K385+L385</f>
        <v>0</v>
      </c>
      <c r="N385">
        <f>0+D385+F385+G385+H385+I385+J385+K385+L385</f>
        <v>0</v>
      </c>
    </row>
    <row r="386" spans="3:14">
      <c r="C386" t="s">
        <v>30</v>
      </c>
      <c r="D386">
        <f>-80.861*$D$355</f>
        <v>0</v>
      </c>
      <c r="E386">
        <f>31.836*$E$355</f>
        <v>0</v>
      </c>
      <c r="F386">
        <f>-148.511*$F$355</f>
        <v>0</v>
      </c>
      <c r="G386">
        <f>9.193*$G$355</f>
        <v>0</v>
      </c>
      <c r="H386">
        <f>0*$H$355</f>
        <v>0</v>
      </c>
      <c r="I386">
        <f>-12.659*$I$355</f>
        <v>0</v>
      </c>
      <c r="J386">
        <f>-151.622*$J$355</f>
        <v>0</v>
      </c>
      <c r="K386">
        <f>202.163*$K$355</f>
        <v>0</v>
      </c>
      <c r="L386">
        <f>-0.017*$L$355</f>
        <v>0</v>
      </c>
      <c r="M386">
        <f>0+D386+E386+G386+H386+I386+J386+K386+L386</f>
        <v>0</v>
      </c>
      <c r="N386">
        <f>0+D386+F386+G386+H386+I386+J386+K386+L386</f>
        <v>0</v>
      </c>
    </row>
    <row r="387" spans="3:14">
      <c r="C387" t="s">
        <v>30</v>
      </c>
      <c r="D387">
        <f>-90.855*$D$355</f>
        <v>0</v>
      </c>
      <c r="E387">
        <f>42.592*$E$355</f>
        <v>0</v>
      </c>
      <c r="F387">
        <f>-134.567*$F$355</f>
        <v>0</v>
      </c>
      <c r="G387">
        <f>-29.487*$G$355</f>
        <v>0</v>
      </c>
      <c r="H387">
        <f>0*$H$355</f>
        <v>0</v>
      </c>
      <c r="I387">
        <f>-11.528*$I$355</f>
        <v>0</v>
      </c>
      <c r="J387">
        <f>177.596*$J$355</f>
        <v>0</v>
      </c>
      <c r="K387">
        <f>-236.795*$K$355</f>
        <v>0</v>
      </c>
      <c r="L387">
        <f>-0.016*$L$355</f>
        <v>0</v>
      </c>
      <c r="M387">
        <f>0+D387+E387+G387+H387+I387+J387+K387+L387</f>
        <v>0</v>
      </c>
      <c r="N387">
        <f>0+D387+F387+G387+H387+I387+J387+K387+L387</f>
        <v>0</v>
      </c>
    </row>
    <row r="388" spans="3:14">
      <c r="C388" t="s">
        <v>31</v>
      </c>
      <c r="D388">
        <f>-94.396*$D$355</f>
        <v>0</v>
      </c>
      <c r="E388">
        <f>23.89*$E$355</f>
        <v>0</v>
      </c>
      <c r="F388">
        <f>-129.766*$F$355</f>
        <v>0</v>
      </c>
      <c r="G388">
        <f>-25.347*$G$355</f>
        <v>0</v>
      </c>
      <c r="H388">
        <f>0*$H$355</f>
        <v>0</v>
      </c>
      <c r="I388">
        <f>-12.321*$I$355</f>
        <v>0</v>
      </c>
      <c r="J388">
        <f>130.179*$J$355</f>
        <v>0</v>
      </c>
      <c r="K388">
        <f>-173.571*$K$355</f>
        <v>0</v>
      </c>
      <c r="L388">
        <f>-0.016*$L$355</f>
        <v>0</v>
      </c>
      <c r="M388">
        <f>0+D388+E388+G388+H388+I388+J388+K388+L388</f>
        <v>0</v>
      </c>
      <c r="N388">
        <f>0+D388+F388+G388+H388+I388+J388+K388+L388</f>
        <v>0</v>
      </c>
    </row>
    <row r="389" spans="3:14">
      <c r="C389" t="s">
        <v>31</v>
      </c>
      <c r="D389">
        <f>-96.972*$D$355</f>
        <v>0</v>
      </c>
      <c r="E389">
        <f>14.085*$E$355</f>
        <v>0</v>
      </c>
      <c r="F389">
        <f>-127.898*$F$355</f>
        <v>0</v>
      </c>
      <c r="G389">
        <f>-21.648*$G$355</f>
        <v>0</v>
      </c>
      <c r="H389">
        <f>0*$H$355</f>
        <v>0</v>
      </c>
      <c r="I389">
        <f>-12.951*$I$355</f>
        <v>0</v>
      </c>
      <c r="J389">
        <f>86.213*$J$355</f>
        <v>0</v>
      </c>
      <c r="K389">
        <f>-114.95*$K$355</f>
        <v>0</v>
      </c>
      <c r="L389">
        <f>-0.018*$L$355</f>
        <v>0</v>
      </c>
      <c r="M389">
        <f>0+D389+E389+G389+H389+I389+J389+K389+L389</f>
        <v>0</v>
      </c>
      <c r="N389">
        <f>0+D389+F389+G389+H389+I389+J389+K389+L389</f>
        <v>0</v>
      </c>
    </row>
    <row r="390" spans="3:14">
      <c r="C390" t="s">
        <v>32</v>
      </c>
      <c r="D390">
        <f>-97.056*$D$355</f>
        <v>0</v>
      </c>
      <c r="E390">
        <f>7.556*$E$355</f>
        <v>0</v>
      </c>
      <c r="F390">
        <f>-127.228*$F$355</f>
        <v>0</v>
      </c>
      <c r="G390">
        <f>-18.427*$G$355</f>
        <v>0</v>
      </c>
      <c r="H390">
        <f>0*$H$355</f>
        <v>0</v>
      </c>
      <c r="I390">
        <f>-13.209*$I$355</f>
        <v>0</v>
      </c>
      <c r="J390">
        <f>48.232*$J$355</f>
        <v>0</v>
      </c>
      <c r="K390">
        <f>-64.309*$K$355</f>
        <v>0</v>
      </c>
      <c r="L390">
        <f>-0.019*$L$355</f>
        <v>0</v>
      </c>
      <c r="M390">
        <f>0+D390+E390+G390+H390+I390+J390+K390+L390</f>
        <v>0</v>
      </c>
      <c r="N390">
        <f>0+D390+F390+G390+H390+I390+J390+K390+L390</f>
        <v>0</v>
      </c>
    </row>
    <row r="391" spans="3:14">
      <c r="C391" t="s">
        <v>32</v>
      </c>
      <c r="D391">
        <f>-95.379*$D$355</f>
        <v>0</v>
      </c>
      <c r="E391">
        <f>7.376*$E$355</f>
        <v>0</v>
      </c>
      <c r="F391">
        <f>-126.862*$F$355</f>
        <v>0</v>
      </c>
      <c r="G391">
        <f>-15.347*$G$355</f>
        <v>0</v>
      </c>
      <c r="H391">
        <f>0*$H$355</f>
        <v>0</v>
      </c>
      <c r="I391">
        <f>-13.232*$I$355</f>
        <v>0</v>
      </c>
      <c r="J391">
        <f>11.346*$J$355</f>
        <v>0</v>
      </c>
      <c r="K391">
        <f>-15.128*$K$355</f>
        <v>0</v>
      </c>
      <c r="L391">
        <f>-0.02*$L$355</f>
        <v>0</v>
      </c>
      <c r="M391">
        <f>0+D391+E391+G391+H391+I391+J391+K391+L391</f>
        <v>0</v>
      </c>
      <c r="N391">
        <f>0+D391+F391+G391+H391+I391+J391+K391+L391</f>
        <v>0</v>
      </c>
    </row>
    <row r="392" spans="3:14">
      <c r="C392" t="s">
        <v>33</v>
      </c>
      <c r="D392">
        <f>-90.167*$D$355</f>
        <v>0</v>
      </c>
      <c r="E392">
        <f>12.198*$E$355</f>
        <v>0</v>
      </c>
      <c r="F392">
        <f>-124.066*$F$355</f>
        <v>0</v>
      </c>
      <c r="G392">
        <f>-12.588*$G$355</f>
        <v>0</v>
      </c>
      <c r="H392">
        <f>0*$H$355</f>
        <v>0</v>
      </c>
      <c r="I392">
        <f>-12.706*$I$355</f>
        <v>0</v>
      </c>
      <c r="J392">
        <f>-25.525*$J$355</f>
        <v>0</v>
      </c>
      <c r="K392">
        <f>34.033*$K$355</f>
        <v>0</v>
      </c>
      <c r="L392">
        <f>-0.021*$L$355</f>
        <v>0</v>
      </c>
      <c r="M392">
        <f>0+D392+E392+G392+H392+I392+J392+K392+L392</f>
        <v>0</v>
      </c>
      <c r="N392">
        <f>0+D392+F392+G392+H392+I392+J392+K392+L392</f>
        <v>0</v>
      </c>
    </row>
    <row r="393" spans="3:14">
      <c r="C393" t="s">
        <v>33</v>
      </c>
      <c r="D393">
        <f>-81.264*$D$355</f>
        <v>0</v>
      </c>
      <c r="E393">
        <f>19.189*$E$355</f>
        <v>0</v>
      </c>
      <c r="F393">
        <f>-119.175*$F$355</f>
        <v>0</v>
      </c>
      <c r="G393">
        <f>-9.113*$G$355</f>
        <v>0</v>
      </c>
      <c r="H393">
        <f>0*$H$355</f>
        <v>0</v>
      </c>
      <c r="I393">
        <f>-11.706*$I$355</f>
        <v>0</v>
      </c>
      <c r="J393">
        <f>-71.751*$J$355</f>
        <v>0</v>
      </c>
      <c r="K393">
        <f>95.668*$K$355</f>
        <v>0</v>
      </c>
      <c r="L393">
        <f>-0.02*$L$355</f>
        <v>0</v>
      </c>
      <c r="M393">
        <f>0+D393+E393+G393+H393+I393+J393+K393+L393</f>
        <v>0</v>
      </c>
      <c r="N393">
        <f>0+D393+F393+G393+H393+I393+J393+K393+L393</f>
        <v>0</v>
      </c>
    </row>
    <row r="394" spans="3:14">
      <c r="C394" t="s">
        <v>34</v>
      </c>
      <c r="D394">
        <f>-66.587*$D$355</f>
        <v>0</v>
      </c>
      <c r="E394">
        <f>27.001*$E$355</f>
        <v>0</v>
      </c>
      <c r="F394">
        <f>-109.666*$F$355</f>
        <v>0</v>
      </c>
      <c r="G394">
        <f>-5.04*$G$355</f>
        <v>0</v>
      </c>
      <c r="H394">
        <f>0*$H$355</f>
        <v>0</v>
      </c>
      <c r="I394">
        <f>-9.875*$I$355</f>
        <v>0</v>
      </c>
      <c r="J394">
        <f>-128.465*$J$355</f>
        <v>0</v>
      </c>
      <c r="K394">
        <f>171.287*$K$355</f>
        <v>0</v>
      </c>
      <c r="L394">
        <f>-0.016*$L$355</f>
        <v>0</v>
      </c>
      <c r="M394">
        <f>0+D394+E394+G394+H394+I394+J394+K394+L394</f>
        <v>0</v>
      </c>
      <c r="N394">
        <f>0+D394+F394+G394+H394+I394+J394+K394+L394</f>
        <v>0</v>
      </c>
    </row>
    <row r="395" spans="3:14">
      <c r="C395" t="s">
        <v>34</v>
      </c>
      <c r="D395">
        <f>-45.217*$D$355</f>
        <v>0</v>
      </c>
      <c r="E395">
        <f>38.057*$E$355</f>
        <v>0</v>
      </c>
      <c r="F395">
        <f>-95.121*$F$355</f>
        <v>0</v>
      </c>
      <c r="G395">
        <f>0.348*$G$355</f>
        <v>0</v>
      </c>
      <c r="H395">
        <f>0*$H$355</f>
        <v>0</v>
      </c>
      <c r="I395">
        <f>-7.14*$I$355</f>
        <v>0</v>
      </c>
      <c r="J395">
        <f>-204.975*$J$355</f>
        <v>0</v>
      </c>
      <c r="K395">
        <f>273.3*$K$355</f>
        <v>0</v>
      </c>
      <c r="L395">
        <f>-0.005694*$L$355</f>
        <v>0</v>
      </c>
      <c r="M395">
        <f>0+D395+E395+G395+H395+I395+J395+K395+L395</f>
        <v>0</v>
      </c>
      <c r="N395">
        <f>0+D395+F395+G395+H395+I395+J395+K395+L395</f>
        <v>0</v>
      </c>
    </row>
    <row r="396" spans="3:14">
      <c r="C396" t="s">
        <v>35</v>
      </c>
      <c r="D396">
        <f>-16.913*$D$355</f>
        <v>0</v>
      </c>
      <c r="E396">
        <f>52.757*$E$355</f>
        <v>0</v>
      </c>
      <c r="F396">
        <f>-85.049*$F$355</f>
        <v>0</v>
      </c>
      <c r="G396">
        <f>7.127*$G$355</f>
        <v>0</v>
      </c>
      <c r="H396">
        <f>0*$H$355</f>
        <v>0</v>
      </c>
      <c r="I396">
        <f>-3.466*$I$355</f>
        <v>0</v>
      </c>
      <c r="J396">
        <f>-298.346*$J$355</f>
        <v>0</v>
      </c>
      <c r="K396">
        <f>397.795*$K$355</f>
        <v>0</v>
      </c>
      <c r="L396">
        <f>0.008008*$L$355</f>
        <v>0</v>
      </c>
      <c r="M396">
        <f>0+D396+E396+G396+H396+I396+J396+K396+L396</f>
        <v>0</v>
      </c>
      <c r="N396">
        <f>0+D396+F396+G396+H396+I396+J396+K396+L396</f>
        <v>0</v>
      </c>
    </row>
    <row r="397" spans="3:14">
      <c r="C397" t="s">
        <v>35</v>
      </c>
      <c r="D397">
        <f>-36.411*$D$355</f>
        <v>0</v>
      </c>
      <c r="E397">
        <f>10.718*$E$355</f>
        <v>0</v>
      </c>
      <c r="F397">
        <f>-43.509*$F$355</f>
        <v>0</v>
      </c>
      <c r="G397">
        <f>-6.234*$G$355</f>
        <v>0</v>
      </c>
      <c r="H397">
        <f>0*$H$355</f>
        <v>0</v>
      </c>
      <c r="I397">
        <f>-4.999*$I$355</f>
        <v>0</v>
      </c>
      <c r="J397">
        <f>62.117*$J$355</f>
        <v>0</v>
      </c>
      <c r="K397">
        <f>-82.823*$K$355</f>
        <v>0</v>
      </c>
      <c r="L397">
        <f>-0.012*$L$355</f>
        <v>0</v>
      </c>
      <c r="M397">
        <f>0+D397+E397+G397+H397+I397+J397+K397+L397</f>
        <v>0</v>
      </c>
      <c r="N397">
        <f>0+D397+F397+G397+H397+I397+J397+K397+L397</f>
        <v>0</v>
      </c>
    </row>
    <row r="398" spans="3:14">
      <c r="C398" t="s">
        <v>36</v>
      </c>
      <c r="D398">
        <f>-36.411*$D$355</f>
        <v>0</v>
      </c>
      <c r="E398">
        <f>10.718*$E$355</f>
        <v>0</v>
      </c>
      <c r="F398">
        <f>-43.569*$F$355</f>
        <v>0</v>
      </c>
      <c r="G398">
        <f>-6.234*$G$355</f>
        <v>0</v>
      </c>
      <c r="H398">
        <f>0*$H$355</f>
        <v>0</v>
      </c>
      <c r="I398">
        <f>-4.999*$I$355</f>
        <v>0</v>
      </c>
      <c r="J398">
        <f>62.117*$J$355</f>
        <v>0</v>
      </c>
      <c r="K398">
        <f>-82.823*$K$355</f>
        <v>0</v>
      </c>
      <c r="L398">
        <f>-0.012*$L$355</f>
        <v>0</v>
      </c>
      <c r="M398">
        <f>0+D398+E398+G398+H398+I398+J398+K398+L398</f>
        <v>0</v>
      </c>
      <c r="N398">
        <f>0+D398+F398+G398+H398+I398+J398+K398+L398</f>
        <v>0</v>
      </c>
    </row>
    <row r="399" spans="3:14">
      <c r="C399" t="s">
        <v>36</v>
      </c>
      <c r="D399">
        <f>35.28*$D$355</f>
        <v>0</v>
      </c>
      <c r="E399">
        <f>43.695*$E$355</f>
        <v>0</v>
      </c>
      <c r="F399">
        <f>-6.218*$F$355</f>
        <v>0</v>
      </c>
      <c r="G399">
        <f>6.135*$G$355</f>
        <v>0</v>
      </c>
      <c r="H399">
        <f>0*$H$355</f>
        <v>0</v>
      </c>
      <c r="I399">
        <f>4.839*$I$355</f>
        <v>0</v>
      </c>
      <c r="J399">
        <f>-62.26*$J$355</f>
        <v>0</v>
      </c>
      <c r="K399">
        <f>83.013*$K$355</f>
        <v>0</v>
      </c>
      <c r="L399">
        <f>-0.204*$L$355</f>
        <v>0</v>
      </c>
      <c r="M399">
        <f>0+D399+E399+G399+H399+I399+J399+K399+L399</f>
        <v>0</v>
      </c>
      <c r="N399">
        <f>0+D399+F399+G399+H399+I399+J399+K399+L399</f>
        <v>0</v>
      </c>
    </row>
    <row r="400" spans="3:14">
      <c r="C400" t="s">
        <v>37</v>
      </c>
      <c r="D400">
        <f>35.28*$D$355</f>
        <v>0</v>
      </c>
      <c r="E400">
        <f>43.653*$E$355</f>
        <v>0</v>
      </c>
      <c r="F400">
        <f>-6.218*$F$355</f>
        <v>0</v>
      </c>
      <c r="G400">
        <f>6.135*$G$355</f>
        <v>0</v>
      </c>
      <c r="H400">
        <f>0*$H$355</f>
        <v>0</v>
      </c>
      <c r="I400">
        <f>4.839*$I$355</f>
        <v>0</v>
      </c>
      <c r="J400">
        <f>-62.26*$J$355</f>
        <v>0</v>
      </c>
      <c r="K400">
        <f>83.013*$K$355</f>
        <v>0</v>
      </c>
      <c r="L400">
        <f>-0.204*$L$355</f>
        <v>0</v>
      </c>
      <c r="M400">
        <f>0+D400+E400+G400+H400+I400+J400+K400+L400</f>
        <v>0</v>
      </c>
      <c r="N400">
        <f>0+D400+F400+G400+H400+I400+J400+K400+L400</f>
        <v>0</v>
      </c>
    </row>
    <row r="401" spans="3:14">
      <c r="C401" t="s">
        <v>37</v>
      </c>
      <c r="D401">
        <f>9.972*$D$355</f>
        <v>0</v>
      </c>
      <c r="E401">
        <f>67.115*$E$355</f>
        <v>0</v>
      </c>
      <c r="F401">
        <f>-48.154*$F$355</f>
        <v>0</v>
      </c>
      <c r="G401">
        <f>-7.181*$G$355</f>
        <v>0</v>
      </c>
      <c r="H401">
        <f>0*$H$355</f>
        <v>0</v>
      </c>
      <c r="I401">
        <f>2.465*$I$355</f>
        <v>0</v>
      </c>
      <c r="J401">
        <f>301.323*$J$355</f>
        <v>0</v>
      </c>
      <c r="K401">
        <f>-401.764*$K$355</f>
        <v>0</v>
      </c>
      <c r="L401">
        <f>0.034*$L$355</f>
        <v>0</v>
      </c>
      <c r="M401">
        <f>0+D401+E401+G401+H401+I401+J401+K401+L401</f>
        <v>0</v>
      </c>
      <c r="N401">
        <f>0+D401+F401+G401+H401+I401+J401+K401+L401</f>
        <v>0</v>
      </c>
    </row>
    <row r="402" spans="3:14">
      <c r="C402" t="s">
        <v>38</v>
      </c>
      <c r="D402">
        <f>37.279*$D$355</f>
        <v>0</v>
      </c>
      <c r="E402">
        <f>83.619*$E$355</f>
        <v>0</v>
      </c>
      <c r="F402">
        <f>-34.785*$F$355</f>
        <v>0</v>
      </c>
      <c r="G402">
        <f>-0.498*$G$355</f>
        <v>0</v>
      </c>
      <c r="H402">
        <f>0*$H$355</f>
        <v>0</v>
      </c>
      <c r="I402">
        <f>6.001*$I$355</f>
        <v>0</v>
      </c>
      <c r="J402">
        <f>207.601*$J$355</f>
        <v>0</v>
      </c>
      <c r="K402">
        <f>-276.801*$K$355</f>
        <v>0</v>
      </c>
      <c r="L402">
        <f>-0.407*$L$355</f>
        <v>0</v>
      </c>
      <c r="M402">
        <f>0+D402+E402+G402+H402+I402+J402+K402+L402</f>
        <v>0</v>
      </c>
      <c r="N402">
        <f>0+D402+F402+G402+H402+I402+J402+K402+L402</f>
        <v>0</v>
      </c>
    </row>
    <row r="403" spans="3:14">
      <c r="C403" t="s">
        <v>38</v>
      </c>
      <c r="D403">
        <f>57.885*$D$355</f>
        <v>0</v>
      </c>
      <c r="E403">
        <f>102.895*$E$355</f>
        <v>0</v>
      </c>
      <c r="F403">
        <f>-24.509*$F$355</f>
        <v>0</v>
      </c>
      <c r="G403">
        <f>4.799*$G$355</f>
        <v>0</v>
      </c>
      <c r="H403">
        <f>0*$H$355</f>
        <v>0</v>
      </c>
      <c r="I403">
        <f>8.631*$I$355</f>
        <v>0</v>
      </c>
      <c r="J403">
        <f>130.653*$J$355</f>
        <v>0</v>
      </c>
      <c r="K403">
        <f>-174.204*$K$355</f>
        <v>0</v>
      </c>
      <c r="L403">
        <f>-0.828*$L$355</f>
        <v>0</v>
      </c>
      <c r="M403">
        <f>0+D403+E403+G403+H403+I403+J403+K403+L403</f>
        <v>0</v>
      </c>
      <c r="N403">
        <f>0+D403+F403+G403+H403+I403+J403+K403+L403</f>
        <v>0</v>
      </c>
    </row>
    <row r="404" spans="3:14">
      <c r="C404" t="s">
        <v>39</v>
      </c>
      <c r="D404">
        <f>72.066*$D$355</f>
        <v>0</v>
      </c>
      <c r="E404">
        <f>114.817*$E$355</f>
        <v>0</v>
      </c>
      <c r="F404">
        <f>-16.805*$F$355</f>
        <v>0</v>
      </c>
      <c r="G404">
        <f>8.794*$G$355</f>
        <v>0</v>
      </c>
      <c r="H404">
        <f>0*$H$355</f>
        <v>0</v>
      </c>
      <c r="I404">
        <f>10.396*$I$355</f>
        <v>0</v>
      </c>
      <c r="J404">
        <f>73.492*$J$355</f>
        <v>0</v>
      </c>
      <c r="K404">
        <f>-97.989*$K$355</f>
        <v>0</v>
      </c>
      <c r="L404">
        <f>-1.109*$L$355</f>
        <v>0</v>
      </c>
      <c r="M404">
        <f>0+D404+E404+G404+H404+I404+J404+K404+L404</f>
        <v>0</v>
      </c>
      <c r="N404">
        <f>0+D404+F404+G404+H404+I404+J404+K404+L404</f>
        <v>0</v>
      </c>
    </row>
    <row r="405" spans="3:14">
      <c r="C405" t="s">
        <v>39</v>
      </c>
      <c r="D405">
        <f>80.676*$D$355</f>
        <v>0</v>
      </c>
      <c r="E405">
        <f>121.144*$E$355</f>
        <v>0</v>
      </c>
      <c r="F405">
        <f>-11.294*$F$355</f>
        <v>0</v>
      </c>
      <c r="G405">
        <f>12.197*$G$355</f>
        <v>0</v>
      </c>
      <c r="H405">
        <f>0*$H$355</f>
        <v>0</v>
      </c>
      <c r="I405">
        <f>11.358*$I$355</f>
        <v>0</v>
      </c>
      <c r="J405">
        <f>26.747*$J$355</f>
        <v>0</v>
      </c>
      <c r="K405">
        <f>-35.663*$K$355</f>
        <v>0</v>
      </c>
      <c r="L405">
        <f>-1.324*$L$355</f>
        <v>0</v>
      </c>
      <c r="M405">
        <f>0+D405+E405+G405+H405+I405+J405+K405+L405</f>
        <v>0</v>
      </c>
      <c r="N405">
        <f>0+D405+F405+G405+H405+I405+J405+K405+L405</f>
        <v>0</v>
      </c>
    </row>
    <row r="406" spans="3:14">
      <c r="C406" t="s">
        <v>40</v>
      </c>
      <c r="D406">
        <f>85.722*$D$355</f>
        <v>0</v>
      </c>
      <c r="E406">
        <f>124.219*$E$355</f>
        <v>0</v>
      </c>
      <c r="F406">
        <f>-8.067*$F$355</f>
        <v>0</v>
      </c>
      <c r="G406">
        <f>14.89*$G$355</f>
        <v>0</v>
      </c>
      <c r="H406">
        <f>0*$H$355</f>
        <v>0</v>
      </c>
      <c r="I406">
        <f>11.865*$I$355</f>
        <v>0</v>
      </c>
      <c r="J406">
        <f>-10.642*$J$355</f>
        <v>0</v>
      </c>
      <c r="K406">
        <f>14.189*$K$355</f>
        <v>0</v>
      </c>
      <c r="L406">
        <f>-1.496*$L$355</f>
        <v>0</v>
      </c>
      <c r="M406">
        <f>0+D406+E406+G406+H406+I406+J406+K406+L406</f>
        <v>0</v>
      </c>
      <c r="N406">
        <f>0+D406+F406+G406+H406+I406+J406+K406+L406</f>
        <v>0</v>
      </c>
    </row>
    <row r="407" spans="3:14">
      <c r="C407" t="s">
        <v>40</v>
      </c>
      <c r="D407">
        <f>87.378*$D$355</f>
        <v>0</v>
      </c>
      <c r="E407">
        <f>124.452*$E$355</f>
        <v>0</v>
      </c>
      <c r="F407">
        <f>-9.292*$F$355</f>
        <v>0</v>
      </c>
      <c r="G407">
        <f>17.898*$G$355</f>
        <v>0</v>
      </c>
      <c r="H407">
        <f>0*$H$355</f>
        <v>0</v>
      </c>
      <c r="I407">
        <f>11.844*$I$355</f>
        <v>0</v>
      </c>
      <c r="J407">
        <f>-48.176*$J$355</f>
        <v>0</v>
      </c>
      <c r="K407">
        <f>64.235*$K$355</f>
        <v>0</v>
      </c>
      <c r="L407">
        <f>-1.658*$L$355</f>
        <v>0</v>
      </c>
      <c r="M407">
        <f>0+D407+E407+G407+H407+I407+J407+K407+L407</f>
        <v>0</v>
      </c>
      <c r="N407">
        <f>0+D407+F407+G407+H407+I407+J407+K407+L407</f>
        <v>0</v>
      </c>
    </row>
    <row r="408" spans="3:14">
      <c r="C408" t="s">
        <v>41</v>
      </c>
      <c r="D408">
        <f>87.357*$D$355</f>
        <v>0</v>
      </c>
      <c r="E408">
        <f>124.36*$E$355</f>
        <v>0</v>
      </c>
      <c r="F408">
        <f>-14.47*$F$355</f>
        <v>0</v>
      </c>
      <c r="G408">
        <f>21.047*$G$355</f>
        <v>0</v>
      </c>
      <c r="H408">
        <f>0*$H$355</f>
        <v>0</v>
      </c>
      <c r="I408">
        <f>11.601*$I$355</f>
        <v>0</v>
      </c>
      <c r="J408">
        <f>-86.841*$J$355</f>
        <v>0</v>
      </c>
      <c r="K408">
        <f>115.788*$K$355</f>
        <v>0</v>
      </c>
      <c r="L408">
        <f>-1.823*$L$355</f>
        <v>0</v>
      </c>
      <c r="M408">
        <f>0+D408+E408+G408+H408+I408+J408+K408+L408</f>
        <v>0</v>
      </c>
      <c r="N408">
        <f>0+D408+F408+G408+H408+I408+J408+K408+L408</f>
        <v>0</v>
      </c>
    </row>
    <row r="409" spans="3:14">
      <c r="C409" t="s">
        <v>41</v>
      </c>
      <c r="D409">
        <f>84.958*$D$355</f>
        <v>0</v>
      </c>
      <c r="E409">
        <f>124.046*$E$355</f>
        <v>0</v>
      </c>
      <c r="F409">
        <f>-27.86*$F$355</f>
        <v>0</v>
      </c>
      <c r="G409">
        <f>24.667*$G$355</f>
        <v>0</v>
      </c>
      <c r="H409">
        <f>0*$H$355</f>
        <v>0</v>
      </c>
      <c r="I409">
        <f>11.002*$I$355</f>
        <v>0</v>
      </c>
      <c r="J409">
        <f>-131.6*$J$355</f>
        <v>0</v>
      </c>
      <c r="K409">
        <f>175.467*$K$355</f>
        <v>0</v>
      </c>
      <c r="L409">
        <f>-1.978*$L$355</f>
        <v>0</v>
      </c>
      <c r="M409">
        <f>0+D409+E409+G409+H409+I409+J409+K409+L409</f>
        <v>0</v>
      </c>
      <c r="N409">
        <f>0+D409+F409+G409+H409+I409+J409+K409+L409</f>
        <v>0</v>
      </c>
    </row>
    <row r="410" spans="3:14">
      <c r="C410" t="s">
        <v>42</v>
      </c>
      <c r="D410">
        <f>81.655*$D$355</f>
        <v>0</v>
      </c>
      <c r="E410">
        <f>126.185*$E$355</f>
        <v>0</v>
      </c>
      <c r="F410">
        <f>-39.904*$F$355</f>
        <v>0</v>
      </c>
      <c r="G410">
        <f>28.733*$G$355</f>
        <v>0</v>
      </c>
      <c r="H410">
        <f>0*$H$355</f>
        <v>0</v>
      </c>
      <c r="I410">
        <f>10.249*$I$355</f>
        <v>0</v>
      </c>
      <c r="J410">
        <f>-179.801*$J$355</f>
        <v>0</v>
      </c>
      <c r="K410">
        <f>239.735*$K$355</f>
        <v>0</v>
      </c>
      <c r="L410">
        <f>-2.149*$L$355</f>
        <v>0</v>
      </c>
      <c r="M410">
        <f>0+D410+E410+G410+H410+I410+J410+K410+L410</f>
        <v>0</v>
      </c>
      <c r="N410">
        <f>0+D410+F410+G410+H410+I410+J410+K410+L410</f>
        <v>0</v>
      </c>
    </row>
    <row r="411" spans="3:14">
      <c r="C411" t="s">
        <v>42</v>
      </c>
      <c r="D411">
        <f>69.133*$D$355</f>
        <v>0</v>
      </c>
      <c r="E411">
        <f>141.653*$E$355</f>
        <v>0</v>
      </c>
      <c r="F411">
        <f>-30.932*$F$355</f>
        <v>0</v>
      </c>
      <c r="G411">
        <f>-9.48*$G$355</f>
        <v>0</v>
      </c>
      <c r="H411">
        <f>0*$H$355</f>
        <v>0</v>
      </c>
      <c r="I411">
        <f>10.987*$I$355</f>
        <v>0</v>
      </c>
      <c r="J411">
        <f>154.713*$J$355</f>
        <v>0</v>
      </c>
      <c r="K411">
        <f>-206.283*$K$355</f>
        <v>0</v>
      </c>
      <c r="L411">
        <f>-1.566*$L$355</f>
        <v>0</v>
      </c>
      <c r="M411">
        <f>0+D411+E411+G411+H411+I411+J411+K411+L411</f>
        <v>0</v>
      </c>
      <c r="N411">
        <f>0+D411+F411+G411+H411+I411+J411+K411+L411</f>
        <v>0</v>
      </c>
    </row>
    <row r="412" spans="3:14">
      <c r="C412" t="s">
        <v>43</v>
      </c>
      <c r="D412">
        <f>63.393*$D$355</f>
        <v>0</v>
      </c>
      <c r="E412">
        <f>121.904*$E$355</f>
        <v>0</v>
      </c>
      <c r="F412">
        <f>-24.958*$F$355</f>
        <v>0</v>
      </c>
      <c r="G412">
        <f>-5.191*$G$355</f>
        <v>0</v>
      </c>
      <c r="H412">
        <f>0*$H$355</f>
        <v>0</v>
      </c>
      <c r="I412">
        <f>9.867*$I$355</f>
        <v>0</v>
      </c>
      <c r="J412">
        <f>105.324*$J$355</f>
        <v>0</v>
      </c>
      <c r="K412">
        <f>-140.433*$K$355</f>
        <v>0</v>
      </c>
      <c r="L412">
        <f>-1.76*$L$355</f>
        <v>0</v>
      </c>
      <c r="M412">
        <f>0+D412+E412+G412+H412+I412+J412+K412+L412</f>
        <v>0</v>
      </c>
      <c r="N412">
        <f>0+D412+F412+G412+H412+I412+J412+K412+L412</f>
        <v>0</v>
      </c>
    </row>
    <row r="413" spans="3:14">
      <c r="C413" t="s">
        <v>43</v>
      </c>
      <c r="D413">
        <f>56.358*$D$355</f>
        <v>0</v>
      </c>
      <c r="E413">
        <f>101.997*$E$355</f>
        <v>0</v>
      </c>
      <c r="F413">
        <f>-20.327*$F$355</f>
        <v>0</v>
      </c>
      <c r="G413">
        <f>-1.521*$G$355</f>
        <v>0</v>
      </c>
      <c r="H413">
        <f>0*$H$355</f>
        <v>0</v>
      </c>
      <c r="I413">
        <f>8.586*$I$355</f>
        <v>0</v>
      </c>
      <c r="J413">
        <f>63.712*$J$355</f>
        <v>0</v>
      </c>
      <c r="K413">
        <f>-84.949*$K$355</f>
        <v>0</v>
      </c>
      <c r="L413">
        <f>-1.953*$L$355</f>
        <v>0</v>
      </c>
      <c r="M413">
        <f>0+D413+E413+G413+H413+I413+J413+K413+L413</f>
        <v>0</v>
      </c>
      <c r="N413">
        <f>0+D413+F413+G413+H413+I413+J413+K413+L413</f>
        <v>0</v>
      </c>
    </row>
    <row r="414" spans="3:14">
      <c r="C414" t="s">
        <v>44</v>
      </c>
      <c r="D414">
        <f>49.601*$D$355</f>
        <v>0</v>
      </c>
      <c r="E414">
        <f>86.927*$E$355</f>
        <v>0</v>
      </c>
      <c r="F414">
        <f>-16.922*$F$355</f>
        <v>0</v>
      </c>
      <c r="G414">
        <f>1.502*$G$355</f>
        <v>0</v>
      </c>
      <c r="H414">
        <f>0*$H$355</f>
        <v>0</v>
      </c>
      <c r="I414">
        <f>7.365*$I$355</f>
        <v>0</v>
      </c>
      <c r="J414">
        <f>32.791*$J$355</f>
        <v>0</v>
      </c>
      <c r="K414">
        <f>-43.722*$K$355</f>
        <v>0</v>
      </c>
      <c r="L414">
        <f>-2.108*$L$355</f>
        <v>0</v>
      </c>
      <c r="M414">
        <f>0+D414+E414+G414+H414+I414+J414+K414+L414</f>
        <v>0</v>
      </c>
      <c r="N414">
        <f>0+D414+F414+G414+H414+I414+J414+K414+L414</f>
        <v>0</v>
      </c>
    </row>
    <row r="415" spans="3:14">
      <c r="C415" t="s">
        <v>44</v>
      </c>
      <c r="D415">
        <f>41.635*$D$355</f>
        <v>0</v>
      </c>
      <c r="E415">
        <f>73.312*$E$355</f>
        <v>0</v>
      </c>
      <c r="F415">
        <f>-15.319*$F$355</f>
        <v>0</v>
      </c>
      <c r="G415">
        <f>4.148*$G$355</f>
        <v>0</v>
      </c>
      <c r="H415">
        <f>0*$H$355</f>
        <v>0</v>
      </c>
      <c r="I415">
        <f>5.967*$I$355</f>
        <v>0</v>
      </c>
      <c r="J415">
        <f>8.022*$J$355</f>
        <v>0</v>
      </c>
      <c r="K415">
        <f>-10.696*$K$355</f>
        <v>0</v>
      </c>
      <c r="L415">
        <f>-2.247*$L$355</f>
        <v>0</v>
      </c>
      <c r="M415">
        <f>0+D415+E415+G415+H415+I415+J415+K415+L415</f>
        <v>0</v>
      </c>
      <c r="N415">
        <f>0+D415+F415+G415+H415+I415+J415+K415+L415</f>
        <v>0</v>
      </c>
    </row>
    <row r="416" spans="3:14">
      <c r="C416" t="s">
        <v>45</v>
      </c>
      <c r="D416">
        <f>33.586*$D$355</f>
        <v>0</v>
      </c>
      <c r="E416">
        <f>63.099*$E$355</f>
        <v>0</v>
      </c>
      <c r="F416">
        <f>-15.751*$F$355</f>
        <v>0</v>
      </c>
      <c r="G416">
        <f>6.438*$G$355</f>
        <v>0</v>
      </c>
      <c r="H416">
        <f>0*$H$355</f>
        <v>0</v>
      </c>
      <c r="I416">
        <f>4.593*$I$355</f>
        <v>0</v>
      </c>
      <c r="J416">
        <f>-12.549*$J$355</f>
        <v>0</v>
      </c>
      <c r="K416">
        <f>16.731*$K$355</f>
        <v>0</v>
      </c>
      <c r="L416">
        <f>-2.347*$L$355</f>
        <v>0</v>
      </c>
      <c r="M416">
        <f>0+D416+E416+G416+H416+I416+J416+K416+L416</f>
        <v>0</v>
      </c>
      <c r="N416">
        <f>0+D416+F416+G416+H416+I416+J416+K416+L416</f>
        <v>0</v>
      </c>
    </row>
    <row r="417" spans="3:14">
      <c r="C417" t="s">
        <v>45</v>
      </c>
      <c r="D417">
        <f>24.279*$D$355</f>
        <v>0</v>
      </c>
      <c r="E417">
        <f>56.647*$E$355</f>
        <v>0</v>
      </c>
      <c r="F417">
        <f>-22.477*$F$355</f>
        <v>0</v>
      </c>
      <c r="G417">
        <f>9.227*$G$355</f>
        <v>0</v>
      </c>
      <c r="H417">
        <f>0*$H$355</f>
        <v>0</v>
      </c>
      <c r="I417">
        <f>2.994*$I$355</f>
        <v>0</v>
      </c>
      <c r="J417">
        <f>-35.348*$J$355</f>
        <v>0</v>
      </c>
      <c r="K417">
        <f>47.13*$K$355</f>
        <v>0</v>
      </c>
      <c r="L417">
        <f>-2.405*$L$355</f>
        <v>0</v>
      </c>
      <c r="M417">
        <f>0+D417+E417+G417+H417+I417+J417+K417+L417</f>
        <v>0</v>
      </c>
      <c r="N417">
        <f>0+D417+F417+G417+H417+I417+J417+K417+L417</f>
        <v>0</v>
      </c>
    </row>
    <row r="418" spans="3:14">
      <c r="C418" t="s">
        <v>46</v>
      </c>
      <c r="D418">
        <f>14.817*$D$355</f>
        <v>0</v>
      </c>
      <c r="E418">
        <f>54.538*$E$355</f>
        <v>0</v>
      </c>
      <c r="F418">
        <f>-37.785*$F$355</f>
        <v>0</v>
      </c>
      <c r="G418">
        <f>12.536*$G$355</f>
        <v>0</v>
      </c>
      <c r="H418">
        <f>0*$H$355</f>
        <v>0</v>
      </c>
      <c r="I418">
        <f>1.368*$I$355</f>
        <v>0</v>
      </c>
      <c r="J418">
        <f>-62.272*$J$355</f>
        <v>0</v>
      </c>
      <c r="K418">
        <f>83.029*$K$355</f>
        <v>0</v>
      </c>
      <c r="L418">
        <f>-2.406*$L$355</f>
        <v>0</v>
      </c>
      <c r="M418">
        <f>0+D418+E418+G418+H418+I418+J418+K418+L418</f>
        <v>0</v>
      </c>
      <c r="N418">
        <f>0+D418+F418+G418+H418+I418+J418+K418+L418</f>
        <v>0</v>
      </c>
    </row>
    <row r="419" spans="3:14">
      <c r="C419" t="s">
        <v>46</v>
      </c>
      <c r="D419">
        <f>3.696*$D$355</f>
        <v>0</v>
      </c>
      <c r="E419">
        <f>58.679*$E$355</f>
        <v>0</v>
      </c>
      <c r="F419">
        <f>-60.02*$F$355</f>
        <v>0</v>
      </c>
      <c r="G419">
        <f>16.609*$G$355</f>
        <v>0</v>
      </c>
      <c r="H419">
        <f>0*$H$355</f>
        <v>0</v>
      </c>
      <c r="I419">
        <f>-0.523*$I$355</f>
        <v>0</v>
      </c>
      <c r="J419">
        <f>-97.901*$J$355</f>
        <v>0</v>
      </c>
      <c r="K419">
        <f>130.534*$K$355</f>
        <v>0</v>
      </c>
      <c r="L419">
        <f>-2.323*$L$355</f>
        <v>0</v>
      </c>
      <c r="M419">
        <f>0+D419+E419+G419+H419+I419+J419+K419+L419</f>
        <v>0</v>
      </c>
      <c r="N419">
        <f>0+D419+F419+G419+H419+I419+J419+K419+L419</f>
        <v>0</v>
      </c>
    </row>
    <row r="420" spans="3:14">
      <c r="C420" t="s">
        <v>47</v>
      </c>
      <c r="D420">
        <f>-7.173*$D$355</f>
        <v>0</v>
      </c>
      <c r="E420">
        <f>65.688*$E$355</f>
        <v>0</v>
      </c>
      <c r="F420">
        <f>-86.296*$F$355</f>
        <v>0</v>
      </c>
      <c r="G420">
        <f>21.405*$G$355</f>
        <v>0</v>
      </c>
      <c r="H420">
        <f>0*$H$355</f>
        <v>0</v>
      </c>
      <c r="I420">
        <f>-2.409*$I$355</f>
        <v>0</v>
      </c>
      <c r="J420">
        <f>-139.491*$J$355</f>
        <v>0</v>
      </c>
      <c r="K420">
        <f>185.987*$K$355</f>
        <v>0</v>
      </c>
      <c r="L420">
        <f>-2.17*$L$355</f>
        <v>0</v>
      </c>
      <c r="M420">
        <f>0+D420+E420+G420+H420+I420+J420+K420+L420</f>
        <v>0</v>
      </c>
      <c r="N420">
        <f>0+D420+F420+G420+H420+I420+J420+K420+L420</f>
        <v>0</v>
      </c>
    </row>
    <row r="421" spans="3:14">
      <c r="C421" t="s">
        <v>47</v>
      </c>
      <c r="D421">
        <f>8.213*$D$355</f>
        <v>0</v>
      </c>
      <c r="E421">
        <f>86.778*$E$355</f>
        <v>0</v>
      </c>
      <c r="F421">
        <f>-65.503*$F$355</f>
        <v>0</v>
      </c>
      <c r="G421">
        <f>-20.839*$G$355</f>
        <v>0</v>
      </c>
      <c r="H421">
        <f>0*$H$355</f>
        <v>0</v>
      </c>
      <c r="I421">
        <f>2.539*$I$355</f>
        <v>0</v>
      </c>
      <c r="J421">
        <f>142.685*$J$355</f>
        <v>0</v>
      </c>
      <c r="K421">
        <f>-190.246*$K$355</f>
        <v>0</v>
      </c>
      <c r="L421">
        <f>-3.391*$L$355</f>
        <v>0</v>
      </c>
      <c r="M421">
        <f>0+D421+E421+G421+H421+I421+J421+K421+L421</f>
        <v>0</v>
      </c>
      <c r="N421">
        <f>0+D421+F421+G421+H421+I421+J421+K421+L421</f>
        <v>0</v>
      </c>
    </row>
    <row r="422" spans="3:14">
      <c r="C422" t="s">
        <v>48</v>
      </c>
      <c r="D422">
        <f>-2.778*$D$355</f>
        <v>0</v>
      </c>
      <c r="E422">
        <f>61.648*$E$355</f>
        <v>0</v>
      </c>
      <c r="F422">
        <f>-58.937*$F$355</f>
        <v>0</v>
      </c>
      <c r="G422">
        <f>-16.039*$G$355</f>
        <v>0</v>
      </c>
      <c r="H422">
        <f>0*$H$355</f>
        <v>0</v>
      </c>
      <c r="I422">
        <f>0.635*$I$355</f>
        <v>0</v>
      </c>
      <c r="J422">
        <f>101.203*$J$355</f>
        <v>0</v>
      </c>
      <c r="K422">
        <f>-134.937*$K$355</f>
        <v>0</v>
      </c>
      <c r="L422">
        <f>-3.144*$L$355</f>
        <v>0</v>
      </c>
      <c r="M422">
        <f>0+D422+E422+G422+H422+I422+J422+K422+L422</f>
        <v>0</v>
      </c>
      <c r="N422">
        <f>0+D422+F422+G422+H422+I422+J422+K422+L422</f>
        <v>0</v>
      </c>
    </row>
    <row r="423" spans="3:14">
      <c r="C423" t="s">
        <v>48</v>
      </c>
      <c r="D423">
        <f>-14.153*$D$355</f>
        <v>0</v>
      </c>
      <c r="E423">
        <f>38.335*$E$355</f>
        <v>0</v>
      </c>
      <c r="F423">
        <f>-54.555*$F$355</f>
        <v>0</v>
      </c>
      <c r="G423">
        <f>-11.96*$G$355</f>
        <v>0</v>
      </c>
      <c r="H423">
        <f>0*$H$355</f>
        <v>0</v>
      </c>
      <c r="I423">
        <f>-1.293*$I$355</f>
        <v>0</v>
      </c>
      <c r="J423">
        <f>65.797*$J$355</f>
        <v>0</v>
      </c>
      <c r="K423">
        <f>-87.73*$K$355</f>
        <v>0</v>
      </c>
      <c r="L423">
        <f>-2.865*$L$355</f>
        <v>0</v>
      </c>
      <c r="M423">
        <f>0+D423+E423+G423+H423+I423+J423+K423+L423</f>
        <v>0</v>
      </c>
      <c r="N423">
        <f>0+D423+F423+G423+H423+I423+J423+K423+L423</f>
        <v>0</v>
      </c>
    </row>
    <row r="424" spans="3:14">
      <c r="C424" t="s">
        <v>49</v>
      </c>
      <c r="D424">
        <f>-24.01*$D$355</f>
        <v>0</v>
      </c>
      <c r="E424">
        <f>23.493*$E$355</f>
        <v>0</v>
      </c>
      <c r="F424">
        <f>-56.513*$F$355</f>
        <v>0</v>
      </c>
      <c r="G424">
        <f>-8.642*$G$355</f>
        <v>0</v>
      </c>
      <c r="H424">
        <f>0*$H$355</f>
        <v>0</v>
      </c>
      <c r="I424">
        <f>-2.978*$I$355</f>
        <v>0</v>
      </c>
      <c r="J424">
        <f>39.207*$J$355</f>
        <v>0</v>
      </c>
      <c r="K424">
        <f>-52.276*$K$355</f>
        <v>0</v>
      </c>
      <c r="L424">
        <f>-2.517*$L$355</f>
        <v>0</v>
      </c>
      <c r="M424">
        <f>0+D424+E424+G424+H424+I424+J424+K424+L424</f>
        <v>0</v>
      </c>
      <c r="N424">
        <f>0+D424+F424+G424+H424+I424+J424+K424+L424</f>
        <v>0</v>
      </c>
    </row>
    <row r="425" spans="3:14">
      <c r="C425" t="s">
        <v>49</v>
      </c>
      <c r="D425">
        <f>-33.875*$D$355</f>
        <v>0</v>
      </c>
      <c r="E425">
        <f>17.935*$E$355</f>
        <v>0</v>
      </c>
      <c r="F425">
        <f>-63.578*$F$355</f>
        <v>0</v>
      </c>
      <c r="G425">
        <f>-5.841*$G$355</f>
        <v>0</v>
      </c>
      <c r="H425">
        <f>0*$H$355</f>
        <v>0</v>
      </c>
      <c r="I425">
        <f>-4.659*$I$355</f>
        <v>0</v>
      </c>
      <c r="J425">
        <f>16.871*$J$355</f>
        <v>0</v>
      </c>
      <c r="K425">
        <f>-22.495*$K$355</f>
        <v>0</v>
      </c>
      <c r="L425">
        <f>-2.088*$L$355</f>
        <v>0</v>
      </c>
      <c r="M425">
        <f>0+D425+E425+G425+H425+I425+J425+K425+L425</f>
        <v>0</v>
      </c>
      <c r="N425">
        <f>0+D425+F425+G425+H425+I425+J425+K425+L425</f>
        <v>0</v>
      </c>
    </row>
    <row r="426" spans="3:14">
      <c r="C426" t="s">
        <v>50</v>
      </c>
      <c r="D426">
        <f>-42.672*$D$355</f>
        <v>0</v>
      </c>
      <c r="E426">
        <f>18.138*$E$355</f>
        <v>0</v>
      </c>
      <c r="F426">
        <f>-73.942*$F$355</f>
        <v>0</v>
      </c>
      <c r="G426">
        <f>-3.541*$G$355</f>
        <v>0</v>
      </c>
      <c r="H426">
        <f>0*$H$355</f>
        <v>0</v>
      </c>
      <c r="I426">
        <f>-6.143*$I$355</f>
        <v>0</v>
      </c>
      <c r="J426">
        <f>-3.113*$J$355</f>
        <v>0</v>
      </c>
      <c r="K426">
        <f>4.151*$K$355</f>
        <v>0</v>
      </c>
      <c r="L426">
        <f>-1.531*$L$355</f>
        <v>0</v>
      </c>
      <c r="M426">
        <f>0+D426+E426+G426+H426+I426+J426+K426+L426</f>
        <v>0</v>
      </c>
      <c r="N426">
        <f>0+D426+F426+G426+H426+I426+J426+K426+L426</f>
        <v>0</v>
      </c>
    </row>
    <row r="427" spans="3:14">
      <c r="C427" t="s">
        <v>50</v>
      </c>
      <c r="D427">
        <f>-51.623*$D$355</f>
        <v>0</v>
      </c>
      <c r="E427">
        <f>19.843*$E$355</f>
        <v>0</v>
      </c>
      <c r="F427">
        <f>-87.659*$F$355</f>
        <v>0</v>
      </c>
      <c r="G427">
        <f>-0.885*$G$355</f>
        <v>0</v>
      </c>
      <c r="H427">
        <f>0*$H$355</f>
        <v>0</v>
      </c>
      <c r="I427">
        <f>-7.686*$I$355</f>
        <v>0</v>
      </c>
      <c r="J427">
        <f>-27.142*$J$355</f>
        <v>0</v>
      </c>
      <c r="K427">
        <f>36.189*$K$355</f>
        <v>0</v>
      </c>
      <c r="L427">
        <f>-0.801*$L$355</f>
        <v>0</v>
      </c>
      <c r="M427">
        <f>0+D427+E427+G427+H427+I427+J427+K427+L427</f>
        <v>0</v>
      </c>
      <c r="N427">
        <f>0+D427+F427+G427+H427+I427+J427+K427+L427</f>
        <v>0</v>
      </c>
    </row>
    <row r="428" spans="3:14">
      <c r="C428" t="s">
        <v>51</v>
      </c>
      <c r="D428">
        <f>-59.634*$D$355</f>
        <v>0</v>
      </c>
      <c r="E428">
        <f>23.107*$E$355</f>
        <v>0</v>
      </c>
      <c r="F428">
        <f>-103.123*$F$355</f>
        <v>0</v>
      </c>
      <c r="G428">
        <f>2.141*$G$355</f>
        <v>0</v>
      </c>
      <c r="H428">
        <f>0*$H$355</f>
        <v>0</v>
      </c>
      <c r="I428">
        <f>-9.091*$I$355</f>
        <v>0</v>
      </c>
      <c r="J428">
        <f>-57.185*$J$355</f>
        <v>0</v>
      </c>
      <c r="K428">
        <f>76.246*$K$355</f>
        <v>0</v>
      </c>
      <c r="L428">
        <f>0.074*$L$355</f>
        <v>0</v>
      </c>
      <c r="M428">
        <f>0+D428+E428+G428+H428+I428+J428+K428+L428</f>
        <v>0</v>
      </c>
      <c r="N428">
        <f>0+D428+F428+G428+H428+I428+J428+K428+L428</f>
        <v>0</v>
      </c>
    </row>
    <row r="429" spans="3:14">
      <c r="C429" t="s">
        <v>51</v>
      </c>
      <c r="D429">
        <f>-68.197*$D$355</f>
        <v>0</v>
      </c>
      <c r="E429">
        <f>27.411*$E$355</f>
        <v>0</v>
      </c>
      <c r="F429">
        <f>-124.679*$F$355</f>
        <v>0</v>
      </c>
      <c r="G429">
        <f>5.807*$G$355</f>
        <v>0</v>
      </c>
      <c r="H429">
        <f>0*$H$355</f>
        <v>0</v>
      </c>
      <c r="I429">
        <f>-10.596*$I$355</f>
        <v>0</v>
      </c>
      <c r="J429">
        <f>-97.777*$J$355</f>
        <v>0</v>
      </c>
      <c r="K429">
        <f>130.37*$K$355</f>
        <v>0</v>
      </c>
      <c r="L429">
        <f>1.111*$L$355</f>
        <v>0</v>
      </c>
      <c r="M429">
        <f>0+D429+E429+G429+H429+I429+J429+K429+L429</f>
        <v>0</v>
      </c>
      <c r="N429">
        <f>0+D429+F429+G429+H429+I429+J429+K429+L429</f>
        <v>0</v>
      </c>
    </row>
    <row r="430" spans="3:14">
      <c r="C430" t="s">
        <v>52</v>
      </c>
      <c r="D430">
        <f>-75.712*$D$355</f>
        <v>0</v>
      </c>
      <c r="E430">
        <f>33.286*$E$355</f>
        <v>0</v>
      </c>
      <c r="F430">
        <f>-145.028*$F$355</f>
        <v>0</v>
      </c>
      <c r="G430">
        <f>10.079*$G$355</f>
        <v>0</v>
      </c>
      <c r="H430">
        <f>0*$H$355</f>
        <v>0</v>
      </c>
      <c r="I430">
        <f>-11.975*$I$355</f>
        <v>0</v>
      </c>
      <c r="J430">
        <f>-146.072*$J$355</f>
        <v>0</v>
      </c>
      <c r="K430">
        <f>194.763*$K$355</f>
        <v>0</v>
      </c>
      <c r="L430">
        <f>2.297*$L$355</f>
        <v>0</v>
      </c>
      <c r="M430">
        <f>0+D430+E430+G430+H430+I430+J430+K430+L430</f>
        <v>0</v>
      </c>
      <c r="N430">
        <f>0+D430+F430+G430+H430+I430+J430+K430+L430</f>
        <v>0</v>
      </c>
    </row>
    <row r="431" spans="3:14">
      <c r="C431" t="s">
        <v>52</v>
      </c>
      <c r="D431">
        <f>-77.736*$D$355</f>
        <v>0</v>
      </c>
      <c r="E431">
        <f>40.442*$E$355</f>
        <v>0</v>
      </c>
      <c r="F431">
        <f>-124.126*$F$355</f>
        <v>0</v>
      </c>
      <c r="G431">
        <f>-27.974*$G$355</f>
        <v>0</v>
      </c>
      <c r="H431">
        <f>0*$H$355</f>
        <v>0</v>
      </c>
      <c r="I431">
        <f>-9.704*$I$355</f>
        <v>0</v>
      </c>
      <c r="J431">
        <f>182.362*$J$355</f>
        <v>0</v>
      </c>
      <c r="K431">
        <f>-243.149*$K$355</f>
        <v>0</v>
      </c>
      <c r="L431">
        <f>-6.308*$L$355</f>
        <v>0</v>
      </c>
      <c r="M431">
        <f>0+D431+E431+G431+H431+I431+J431+K431+L431</f>
        <v>0</v>
      </c>
      <c r="N431">
        <f>0+D431+F431+G431+H431+I431+J431+K431+L431</f>
        <v>0</v>
      </c>
    </row>
    <row r="432" spans="3:14">
      <c r="C432" t="s">
        <v>53</v>
      </c>
      <c r="D432">
        <f>-82.85*$D$355</f>
        <v>0</v>
      </c>
      <c r="E432">
        <f>21.699*$E$355</f>
        <v>0</v>
      </c>
      <c r="F432">
        <f>-121.77*$F$355</f>
        <v>0</v>
      </c>
      <c r="G432">
        <f>-23.949*$G$355</f>
        <v>0</v>
      </c>
      <c r="H432">
        <f>0*$H$355</f>
        <v>0</v>
      </c>
      <c r="I432">
        <f>-10.721*$I$355</f>
        <v>0</v>
      </c>
      <c r="J432">
        <f>135.116*$J$355</f>
        <v>0</v>
      </c>
      <c r="K432">
        <f>-180.155*$K$355</f>
        <v>0</v>
      </c>
      <c r="L432">
        <f>-4.758*$L$355</f>
        <v>0</v>
      </c>
      <c r="M432">
        <f>0+D432+E432+G432+H432+I432+J432+K432+L432</f>
        <v>0</v>
      </c>
      <c r="N432">
        <f>0+D432+F432+G432+H432+I432+J432+K432+L432</f>
        <v>0</v>
      </c>
    </row>
    <row r="433" spans="3:14">
      <c r="C433" t="s">
        <v>53</v>
      </c>
      <c r="D433">
        <f>-87.066*$D$355</f>
        <v>0</v>
      </c>
      <c r="E433">
        <f>12.673*$E$355</f>
        <v>0</v>
      </c>
      <c r="F433">
        <f>-122.536*$F$355</f>
        <v>0</v>
      </c>
      <c r="G433">
        <f>-20.382*$G$355</f>
        <v>0</v>
      </c>
      <c r="H433">
        <f>0*$H$355</f>
        <v>0</v>
      </c>
      <c r="I433">
        <f>-11.584*$I$355</f>
        <v>0</v>
      </c>
      <c r="J433">
        <f>91.232*$J$355</f>
        <v>0</v>
      </c>
      <c r="K433">
        <f>-121.643*$K$355</f>
        <v>0</v>
      </c>
      <c r="L433">
        <f>-2.879*$L$355</f>
        <v>0</v>
      </c>
      <c r="M433">
        <f>0+D433+E433+G433+H433+I433+J433+K433+L433</f>
        <v>0</v>
      </c>
      <c r="N433">
        <f>0+D433+F433+G433+H433+I433+J433+K433+L433</f>
        <v>0</v>
      </c>
    </row>
    <row r="434" spans="3:14">
      <c r="C434" t="s">
        <v>54</v>
      </c>
      <c r="D434">
        <f>-88.888*$D$355</f>
        <v>0</v>
      </c>
      <c r="E434">
        <f>7.612*$E$355</f>
        <v>0</v>
      </c>
      <c r="F434">
        <f>-123.466*$F$355</f>
        <v>0</v>
      </c>
      <c r="G434">
        <f>-17.311*$G$355</f>
        <v>0</v>
      </c>
      <c r="H434">
        <f>0*$H$355</f>
        <v>0</v>
      </c>
      <c r="I434">
        <f>-12.089*$I$355</f>
        <v>0</v>
      </c>
      <c r="J434">
        <f>53.265*$J$355</f>
        <v>0</v>
      </c>
      <c r="K434">
        <f>-71.02*$K$355</f>
        <v>0</v>
      </c>
      <c r="L434">
        <f>-0.63*$L$355</f>
        <v>0</v>
      </c>
      <c r="M434">
        <f>0+D434+E434+G434+H434+I434+J434+K434+L434</f>
        <v>0</v>
      </c>
      <c r="N434">
        <f>0+D434+F434+G434+H434+I434+J434+K434+L434</f>
        <v>0</v>
      </c>
    </row>
    <row r="435" spans="3:14">
      <c r="C435" t="s">
        <v>54</v>
      </c>
      <c r="D435">
        <f>-89.134*$D$355</f>
        <v>0</v>
      </c>
      <c r="E435">
        <f>7.149*$E$355</f>
        <v>0</v>
      </c>
      <c r="F435">
        <f>-123.683*$F$355</f>
        <v>0</v>
      </c>
      <c r="G435">
        <f>-14.409*$G$355</f>
        <v>0</v>
      </c>
      <c r="H435">
        <f>0*$H$355</f>
        <v>0</v>
      </c>
      <c r="I435">
        <f>-12.384*$I$355</f>
        <v>0</v>
      </c>
      <c r="J435">
        <f>16.309*$J$355</f>
        <v>0</v>
      </c>
      <c r="K435">
        <f>-21.745*$K$355</f>
        <v>0</v>
      </c>
      <c r="L435">
        <f>1.901*$L$355</f>
        <v>0</v>
      </c>
      <c r="M435">
        <f>0+D435+E435+G435+H435+I435+J435+K435+L435</f>
        <v>0</v>
      </c>
      <c r="N435">
        <f>0+D435+F435+G435+H435+I435+J435+K435+L435</f>
        <v>0</v>
      </c>
    </row>
    <row r="436" spans="3:14">
      <c r="C436" t="s">
        <v>55</v>
      </c>
      <c r="D436">
        <f>-86.11*$D$355</f>
        <v>0</v>
      </c>
      <c r="E436">
        <f>8.412*$E$355</f>
        <v>0</v>
      </c>
      <c r="F436">
        <f>-121.39*$F$355</f>
        <v>0</v>
      </c>
      <c r="G436">
        <f>-11.863*$G$355</f>
        <v>0</v>
      </c>
      <c r="H436">
        <f>0*$H$355</f>
        <v>0</v>
      </c>
      <c r="I436">
        <f>-12.169*$I$355</f>
        <v>0</v>
      </c>
      <c r="J436">
        <f>-20.702*$J$355</f>
        <v>0</v>
      </c>
      <c r="K436">
        <f>27.603*$K$355</f>
        <v>0</v>
      </c>
      <c r="L436">
        <f>4.803*$L$355</f>
        <v>0</v>
      </c>
      <c r="M436">
        <f>0+D436+E436+G436+H436+I436+J436+K436+L436</f>
        <v>0</v>
      </c>
      <c r="N436">
        <f>0+D436+F436+G436+H436+I436+J436+K436+L436</f>
        <v>0</v>
      </c>
    </row>
    <row r="437" spans="3:14">
      <c r="C437" t="s">
        <v>55</v>
      </c>
      <c r="D437">
        <f>-79.924*$D$355</f>
        <v>0</v>
      </c>
      <c r="E437">
        <f>16.019*$E$355</f>
        <v>0</v>
      </c>
      <c r="F437">
        <f>-115.864*$F$355</f>
        <v>0</v>
      </c>
      <c r="G437">
        <f>-8.662*$G$355</f>
        <v>0</v>
      </c>
      <c r="H437">
        <f>0*$H$355</f>
        <v>0</v>
      </c>
      <c r="I437">
        <f>-11.554*$I$355</f>
        <v>0</v>
      </c>
      <c r="J437">
        <f>-67.182*$J$355</f>
        <v>0</v>
      </c>
      <c r="K437">
        <f>89.576*$K$355</f>
        <v>0</v>
      </c>
      <c r="L437">
        <f>7.699*$L$355</f>
        <v>0</v>
      </c>
      <c r="M437">
        <f>0+D437+E437+G437+H437+I437+J437+K437+L437</f>
        <v>0</v>
      </c>
      <c r="N437">
        <f>0+D437+F437+G437+H437+I437+J437+K437+L437</f>
        <v>0</v>
      </c>
    </row>
    <row r="438" spans="3:14">
      <c r="C438" t="s">
        <v>56</v>
      </c>
      <c r="D438">
        <f>-68.598*$D$355</f>
        <v>0</v>
      </c>
      <c r="E438">
        <f>21.234*$E$355</f>
        <v>0</v>
      </c>
      <c r="F438">
        <f>-104.806*$F$355</f>
        <v>0</v>
      </c>
      <c r="G438">
        <f>-4.937*$G$355</f>
        <v>0</v>
      </c>
      <c r="H438">
        <f>0*$H$355</f>
        <v>0</v>
      </c>
      <c r="I438">
        <f>-10.197*$I$355</f>
        <v>0</v>
      </c>
      <c r="J438">
        <f>-124.279*$J$355</f>
        <v>0</v>
      </c>
      <c r="K438">
        <f>165.705*$K$355</f>
        <v>0</v>
      </c>
      <c r="L438">
        <f>10.355*$L$355</f>
        <v>0</v>
      </c>
      <c r="M438">
        <f>0+D438+E438+G438+H438+I438+J438+K438+L438</f>
        <v>0</v>
      </c>
      <c r="N438">
        <f>0+D438+F438+G438+H438+I438+J438+K438+L438</f>
        <v>0</v>
      </c>
    </row>
    <row r="439" spans="3:14">
      <c r="C439" t="s">
        <v>56</v>
      </c>
      <c r="D439">
        <f>-51.539*$D$355</f>
        <v>0</v>
      </c>
      <c r="E439">
        <f>28.824*$E$355</f>
        <v>0</v>
      </c>
      <c r="F439">
        <f>-87.258*$F$355</f>
        <v>0</v>
      </c>
      <c r="G439">
        <f>-0.01*$G$355</f>
        <v>0</v>
      </c>
      <c r="H439">
        <f>0*$H$355</f>
        <v>0</v>
      </c>
      <c r="I439">
        <f>-8.071*$I$355</f>
        <v>0</v>
      </c>
      <c r="J439">
        <f>-201.392*$J$355</f>
        <v>0</v>
      </c>
      <c r="K439">
        <f>268.523*$K$355</f>
        <v>0</v>
      </c>
      <c r="L439">
        <f>11.867*$L$355</f>
        <v>0</v>
      </c>
      <c r="M439">
        <f>0+D439+E439+G439+H439+I439+J439+K439+L439</f>
        <v>0</v>
      </c>
      <c r="N439">
        <f>0+D439+F439+G439+H439+I439+J439+K439+L439</f>
        <v>0</v>
      </c>
    </row>
    <row r="440" spans="3:14">
      <c r="C440" t="s">
        <v>57</v>
      </c>
      <c r="D440">
        <f>-28.421*$D$355</f>
        <v>0</v>
      </c>
      <c r="E440">
        <f>39.745*$E$355</f>
        <v>0</v>
      </c>
      <c r="F440">
        <f>-71.473*$F$355</f>
        <v>0</v>
      </c>
      <c r="G440">
        <f>6.212*$G$355</f>
        <v>0</v>
      </c>
      <c r="H440">
        <f>0*$H$355</f>
        <v>0</v>
      </c>
      <c r="I440">
        <f>-5.131*$I$355</f>
        <v>0</v>
      </c>
      <c r="J440">
        <f>-295.486*$J$355</f>
        <v>0</v>
      </c>
      <c r="K440">
        <f>393.981*$K$355</f>
        <v>0</v>
      </c>
      <c r="L440">
        <f>13.151*$L$355</f>
        <v>0</v>
      </c>
      <c r="M440">
        <f>0+D440+E440+G440+H440+I440+J440+K440+L440</f>
        <v>0</v>
      </c>
      <c r="N440">
        <f>0+D440+F440+G440+H440+I440+J440+K440+L440</f>
        <v>0</v>
      </c>
    </row>
    <row r="441" spans="3:14">
      <c r="C441" t="s">
        <v>57</v>
      </c>
      <c r="D441">
        <f>-32.557*$D$355</f>
        <v>0</v>
      </c>
      <c r="E441">
        <f>10.712*$E$355</f>
        <v>0</v>
      </c>
      <c r="F441">
        <f>-43.025*$F$355</f>
        <v>0</v>
      </c>
      <c r="G441">
        <f>-5.819*$G$355</f>
        <v>0</v>
      </c>
      <c r="H441">
        <f>0*$H$355</f>
        <v>0</v>
      </c>
      <c r="I441">
        <f>-4.453*$I$355</f>
        <v>0</v>
      </c>
      <c r="J441">
        <f>62.636*$J$355</f>
        <v>0</v>
      </c>
      <c r="K441">
        <f>-83.514*$K$355</f>
        <v>0</v>
      </c>
      <c r="L441">
        <f>0.604*$L$355</f>
        <v>0</v>
      </c>
      <c r="M441">
        <f>0+D441+E441+G441+H441+I441+J441+K441+L441</f>
        <v>0</v>
      </c>
      <c r="N441">
        <f>0+D441+F441+G441+H441+I441+J441+K441+L441</f>
        <v>0</v>
      </c>
    </row>
    <row r="442" spans="3:14">
      <c r="C442" t="s">
        <v>58</v>
      </c>
      <c r="D442">
        <f>-32.557*$D$355</f>
        <v>0</v>
      </c>
      <c r="E442">
        <f>10.712*$E$355</f>
        <v>0</v>
      </c>
      <c r="F442">
        <f>-42.968*$F$355</f>
        <v>0</v>
      </c>
      <c r="G442">
        <f>-5.819*$G$355</f>
        <v>0</v>
      </c>
      <c r="H442">
        <f>0*$H$355</f>
        <v>0</v>
      </c>
      <c r="I442">
        <f>-4.453*$I$355</f>
        <v>0</v>
      </c>
      <c r="J442">
        <f>62.636*$J$355</f>
        <v>0</v>
      </c>
      <c r="K442">
        <f>-83.514*$K$355</f>
        <v>0</v>
      </c>
      <c r="L442">
        <f>0.604*$L$355</f>
        <v>0</v>
      </c>
      <c r="M442">
        <f>0+D442+E442+G442+H442+I442+J442+K442+L442</f>
        <v>0</v>
      </c>
      <c r="N442">
        <f>0+D442+F442+G442+H442+I442+J442+K442+L442</f>
        <v>0</v>
      </c>
    </row>
    <row r="443" spans="3:14">
      <c r="C443" t="s">
        <v>58</v>
      </c>
      <c r="D443">
        <f>16.857*$D$355</f>
        <v>0</v>
      </c>
      <c r="E443">
        <f>24.879*$E$355</f>
        <v>0</v>
      </c>
      <c r="F443">
        <f>-6.717*$F$355</f>
        <v>0</v>
      </c>
      <c r="G443">
        <f>4.591*$G$355</f>
        <v>0</v>
      </c>
      <c r="H443">
        <f>0*$H$355</f>
        <v>0</v>
      </c>
      <c r="I443">
        <f>2.19*$I$355</f>
        <v>0</v>
      </c>
      <c r="J443">
        <f>-58.867*$J$355</f>
        <v>0</v>
      </c>
      <c r="K443">
        <f>78.489*$K$355</f>
        <v>0</v>
      </c>
      <c r="L443">
        <f>1.846*$L$355</f>
        <v>0</v>
      </c>
      <c r="M443">
        <f>0+D443+E443+G443+H443+I443+J443+K443+L443</f>
        <v>0</v>
      </c>
      <c r="N443">
        <f>0+D443+F443+G443+H443+I443+J443+K443+L443</f>
        <v>0</v>
      </c>
    </row>
    <row r="444" spans="3:14">
      <c r="C444" t="s">
        <v>59</v>
      </c>
      <c r="D444">
        <f>16.857*$D$355</f>
        <v>0</v>
      </c>
      <c r="E444">
        <f>24.879*$E$355</f>
        <v>0</v>
      </c>
      <c r="F444">
        <f>-6.716*$F$355</f>
        <v>0</v>
      </c>
      <c r="G444">
        <f>4.591*$G$355</f>
        <v>0</v>
      </c>
      <c r="H444">
        <f>0*$H$355</f>
        <v>0</v>
      </c>
      <c r="I444">
        <f>2.19*$I$355</f>
        <v>0</v>
      </c>
      <c r="J444">
        <f>-58.867*$J$355</f>
        <v>0</v>
      </c>
      <c r="K444">
        <f>78.489*$K$355</f>
        <v>0</v>
      </c>
      <c r="L444">
        <f>1.846*$L$355</f>
        <v>0</v>
      </c>
      <c r="M444">
        <f>0+D444+E444+G444+H444+I444+J444+K444+L444</f>
        <v>0</v>
      </c>
      <c r="N444">
        <f>0+D444+F444+G444+H444+I444+J444+K444+L444</f>
        <v>0</v>
      </c>
    </row>
    <row r="445" spans="3:14">
      <c r="C445" t="s">
        <v>59</v>
      </c>
      <c r="D445">
        <f>-15.998*$D$355</f>
        <v>0</v>
      </c>
      <c r="E445">
        <f>40.666*$E$355</f>
        <v>0</v>
      </c>
      <c r="F445">
        <f>-47.915*$F$355</f>
        <v>0</v>
      </c>
      <c r="G445">
        <f>-8.565*$G$355</f>
        <v>0</v>
      </c>
      <c r="H445">
        <f>0*$H$355</f>
        <v>0</v>
      </c>
      <c r="I445">
        <f>-1.335*$I$355</f>
        <v>0</v>
      </c>
      <c r="J445">
        <f>319.347*$J$355</f>
        <v>0</v>
      </c>
      <c r="K445">
        <f>-425.796*$K$355</f>
        <v>0</v>
      </c>
      <c r="L445">
        <f>-2.312*$L$355</f>
        <v>0</v>
      </c>
      <c r="M445">
        <f>0+D445+E445+G445+H445+I445+J445+K445+L445</f>
        <v>0</v>
      </c>
      <c r="N445">
        <f>0+D445+F445+G445+H445+I445+J445+K445+L445</f>
        <v>0</v>
      </c>
    </row>
    <row r="446" spans="3:14">
      <c r="C446" t="s">
        <v>60</v>
      </c>
      <c r="D446">
        <f>-2.357*$D$355</f>
        <v>0</v>
      </c>
      <c r="E446">
        <f>42.526*$E$355</f>
        <v>0</v>
      </c>
      <c r="F446">
        <f>-34.313*$F$355</f>
        <v>0</v>
      </c>
      <c r="G446">
        <f>-3.02*$G$355</f>
        <v>0</v>
      </c>
      <c r="H446">
        <f>0*$H$355</f>
        <v>0</v>
      </c>
      <c r="I446">
        <f>0.228*$I$355</f>
        <v>0</v>
      </c>
      <c r="J446">
        <f>231.492*$J$355</f>
        <v>0</v>
      </c>
      <c r="K446">
        <f>-308.655*$K$355</f>
        <v>0</v>
      </c>
      <c r="L446">
        <f>3.574*$L$355</f>
        <v>0</v>
      </c>
      <c r="M446">
        <f>0+D446+E446+G446+H446+I446+J446+K446+L446</f>
        <v>0</v>
      </c>
      <c r="N446">
        <f>0+D446+F446+G446+H446+I446+J446+K446+L446</f>
        <v>0</v>
      </c>
    </row>
    <row r="447" spans="3:14">
      <c r="C447" t="s">
        <v>60</v>
      </c>
      <c r="D447">
        <f>7.517*$D$355</f>
        <v>0</v>
      </c>
      <c r="E447">
        <f>46.183*$E$355</f>
        <v>0</v>
      </c>
      <c r="F447">
        <f>-23.582*$F$355</f>
        <v>0</v>
      </c>
      <c r="G447">
        <f>1.254*$G$355</f>
        <v>0</v>
      </c>
      <c r="H447">
        <f>0*$H$355</f>
        <v>0</v>
      </c>
      <c r="I447">
        <f>1.316*$I$355</f>
        <v>0</v>
      </c>
      <c r="J447">
        <f>158.918*$J$355</f>
        <v>0</v>
      </c>
      <c r="K447">
        <f>-211.891*$K$355</f>
        <v>0</v>
      </c>
      <c r="L447">
        <f>8.926*$L$355</f>
        <v>0</v>
      </c>
      <c r="M447">
        <f>0+D447+E447+G447+H447+I447+J447+K447+L447</f>
        <v>0</v>
      </c>
      <c r="N447">
        <f>0+D447+F447+G447+H447+I447+J447+K447+L447</f>
        <v>0</v>
      </c>
    </row>
    <row r="448" spans="3:14">
      <c r="C448" t="s">
        <v>61</v>
      </c>
      <c r="D448">
        <f>14.109*$D$355</f>
        <v>0</v>
      </c>
      <c r="E448">
        <f>48.401*$E$355</f>
        <v>0</v>
      </c>
      <c r="F448">
        <f>-15.237*$F$355</f>
        <v>0</v>
      </c>
      <c r="G448">
        <f>4.327*$G$355</f>
        <v>0</v>
      </c>
      <c r="H448">
        <f>0*$H$355</f>
        <v>0</v>
      </c>
      <c r="I448">
        <f>2*$I$355</f>
        <v>0</v>
      </c>
      <c r="J448">
        <f>103.786*$J$355</f>
        <v>0</v>
      </c>
      <c r="K448">
        <f>-138.382*$K$355</f>
        <v>0</v>
      </c>
      <c r="L448">
        <f>15.952*$L$355</f>
        <v>0</v>
      </c>
      <c r="M448">
        <f>0+D448+E448+G448+H448+I448+J448+K448+L448</f>
        <v>0</v>
      </c>
      <c r="N448">
        <f>0+D448+F448+G448+H448+I448+J448+K448+L448</f>
        <v>0</v>
      </c>
    </row>
    <row r="449" spans="3:14">
      <c r="C449" t="s">
        <v>61</v>
      </c>
      <c r="D449">
        <f>17.423*$D$355</f>
        <v>0</v>
      </c>
      <c r="E449">
        <f>48.365*$E$355</f>
        <v>0</v>
      </c>
      <c r="F449">
        <f>-11.554*$F$355</f>
        <v>0</v>
      </c>
      <c r="G449">
        <f>6.848*$G$355</f>
        <v>0</v>
      </c>
      <c r="H449">
        <f>0*$H$355</f>
        <v>0</v>
      </c>
      <c r="I449">
        <f>2.222*$I$355</f>
        <v>0</v>
      </c>
      <c r="J449">
        <f>57.227*$J$355</f>
        <v>0</v>
      </c>
      <c r="K449">
        <f>-76.303*$K$355</f>
        <v>0</v>
      </c>
      <c r="L449">
        <f>23.008*$L$355</f>
        <v>0</v>
      </c>
      <c r="M449">
        <f>0+D449+E449+G449+H449+I449+J449+K449+L449</f>
        <v>0</v>
      </c>
      <c r="N449">
        <f>0+D449+F449+G449+H449+I449+J449+K449+L449</f>
        <v>0</v>
      </c>
    </row>
    <row r="450" spans="3:14">
      <c r="C450" t="s">
        <v>62</v>
      </c>
      <c r="D450">
        <f>18.942*$D$355</f>
        <v>0</v>
      </c>
      <c r="E450">
        <f>47.76*$E$355</f>
        <v>0</v>
      </c>
      <c r="F450">
        <f>-13.197*$F$355</f>
        <v>0</v>
      </c>
      <c r="G450">
        <f>8.619*$G$355</f>
        <v>0</v>
      </c>
      <c r="H450">
        <f>0*$H$355</f>
        <v>0</v>
      </c>
      <c r="I450">
        <f>2.254*$I$355</f>
        <v>0</v>
      </c>
      <c r="J450">
        <f>17.604*$J$355</f>
        <v>0</v>
      </c>
      <c r="K450">
        <f>-23.472*$K$355</f>
        <v>0</v>
      </c>
      <c r="L450">
        <f>29.979*$L$355</f>
        <v>0</v>
      </c>
      <c r="M450">
        <f>0+D450+E450+G450+H450+I450+J450+K450+L450</f>
        <v>0</v>
      </c>
      <c r="N450">
        <f>0+D450+F450+G450+H450+I450+J450+K450+L450</f>
        <v>0</v>
      </c>
    </row>
    <row r="451" spans="3:14">
      <c r="C451" t="s">
        <v>62</v>
      </c>
      <c r="D451">
        <f>18.182*$D$355</f>
        <v>0</v>
      </c>
      <c r="E451">
        <f>46.519*$E$355</f>
        <v>0</v>
      </c>
      <c r="F451">
        <f>-19.913*$F$355</f>
        <v>0</v>
      </c>
      <c r="G451">
        <f>10.597*$G$355</f>
        <v>0</v>
      </c>
      <c r="H451">
        <f>0*$H$355</f>
        <v>0</v>
      </c>
      <c r="I451">
        <f>1.931*$I$355</f>
        <v>0</v>
      </c>
      <c r="J451">
        <f>-24.479*$J$355</f>
        <v>0</v>
      </c>
      <c r="K451">
        <f>32.639*$K$355</f>
        <v>0</v>
      </c>
      <c r="L451">
        <f>36.762*$L$355</f>
        <v>0</v>
      </c>
      <c r="M451">
        <f>0+D451+E451+G451+H451+I451+J451+K451+L451</f>
        <v>0</v>
      </c>
      <c r="N451">
        <f>0+D451+F451+G451+H451+I451+J451+K451+L451</f>
        <v>0</v>
      </c>
    </row>
    <row r="452" spans="3:14">
      <c r="C452" t="s">
        <v>63</v>
      </c>
      <c r="D452">
        <f>16.562*$D$355</f>
        <v>0</v>
      </c>
      <c r="E452">
        <f>46.113*$E$355</f>
        <v>0</v>
      </c>
      <c r="F452">
        <f>-28.908*$F$355</f>
        <v>0</v>
      </c>
      <c r="G452">
        <f>12.55*$G$355</f>
        <v>0</v>
      </c>
      <c r="H452">
        <f>0*$H$355</f>
        <v>0</v>
      </c>
      <c r="I452">
        <f>1.517*$I$355</f>
        <v>0</v>
      </c>
      <c r="J452">
        <f>-70.302*$J$355</f>
        <v>0</v>
      </c>
      <c r="K452">
        <f>93.737*$K$355</f>
        <v>0</v>
      </c>
      <c r="L452">
        <f>43.16*$L$355</f>
        <v>0</v>
      </c>
      <c r="M452">
        <f>0+D452+E452+G452+H452+I452+J452+K452+L452</f>
        <v>0</v>
      </c>
      <c r="N452">
        <f>0+D452+F452+G452+H452+I452+J452+K452+L452</f>
        <v>0</v>
      </c>
    </row>
    <row r="453" spans="3:14">
      <c r="C453" t="s">
        <v>63</v>
      </c>
      <c r="D453">
        <f>13.174*$D$355</f>
        <v>0</v>
      </c>
      <c r="E453">
        <f>49.891*$E$355</f>
        <v>0</v>
      </c>
      <c r="F453">
        <f>-42.851*$F$355</f>
        <v>0</v>
      </c>
      <c r="G453">
        <f>14.82*$G$355</f>
        <v>0</v>
      </c>
      <c r="H453">
        <f>0*$H$355</f>
        <v>0</v>
      </c>
      <c r="I453">
        <f>0.848*$I$355</f>
        <v>0</v>
      </c>
      <c r="J453">
        <f>-124.601*$J$355</f>
        <v>0</v>
      </c>
      <c r="K453">
        <f>166.135*$K$355</f>
        <v>0</v>
      </c>
      <c r="L453">
        <f>49.391*$L$355</f>
        <v>0</v>
      </c>
      <c r="M453">
        <f>0+D453+E453+G453+H453+I453+J453+K453+L453</f>
        <v>0</v>
      </c>
      <c r="N453">
        <f>0+D453+F453+G453+H453+I453+J453+K453+L453</f>
        <v>0</v>
      </c>
    </row>
    <row r="454" spans="3:14">
      <c r="C454" t="s">
        <v>64</v>
      </c>
      <c r="D454">
        <f>9.678*$D$355</f>
        <v>0</v>
      </c>
      <c r="E454">
        <f>54.393*$E$355</f>
        <v>0</v>
      </c>
      <c r="F454">
        <f>-60.863*$F$355</f>
        <v>0</v>
      </c>
      <c r="G454">
        <f>17.39*$G$355</f>
        <v>0</v>
      </c>
      <c r="H454">
        <f>0*$H$355</f>
        <v>0</v>
      </c>
      <c r="I454">
        <f>0.152*$I$355</f>
        <v>0</v>
      </c>
      <c r="J454">
        <f>-184.596*$J$355</f>
        <v>0</v>
      </c>
      <c r="K454">
        <f>246.127*$K$355</f>
        <v>0</v>
      </c>
      <c r="L454">
        <f>55.088*$L$355</f>
        <v>0</v>
      </c>
      <c r="M454">
        <f>0+D454+E454+G454+H454+I454+J454+K454+L454</f>
        <v>0</v>
      </c>
      <c r="N454">
        <f>0+D454+F454+G454+H454+I454+J454+K454+L454</f>
        <v>0</v>
      </c>
    </row>
    <row r="455" spans="3:14">
      <c r="C455" t="s">
        <v>64</v>
      </c>
      <c r="D455">
        <f>2.775*$D$355</f>
        <v>0</v>
      </c>
      <c r="E455">
        <f>59.241*$E$355</f>
        <v>0</v>
      </c>
      <c r="F455">
        <f>-41.346*$F$355</f>
        <v>0</v>
      </c>
      <c r="G455">
        <f>-12.598*$G$355</f>
        <v>0</v>
      </c>
      <c r="H455">
        <f>0*$H$355</f>
        <v>0</v>
      </c>
      <c r="I455">
        <f>1.224*$I$355</f>
        <v>0</v>
      </c>
      <c r="J455">
        <f>234.135*$J$355</f>
        <v>0</v>
      </c>
      <c r="K455">
        <f>-312.18*$K$355</f>
        <v>0</v>
      </c>
      <c r="L455">
        <f>-41.705*$L$355</f>
        <v>0</v>
      </c>
      <c r="M455">
        <f>0+D455+E455+G455+H455+I455+J455+K455+L455</f>
        <v>0</v>
      </c>
      <c r="N455">
        <f>0+D455+F455+G455+H455+I455+J455+K455+L455</f>
        <v>0</v>
      </c>
    </row>
    <row r="456" spans="3:14">
      <c r="C456" t="s">
        <v>65</v>
      </c>
      <c r="D456">
        <f>-1.898*$D$355</f>
        <v>0</v>
      </c>
      <c r="E456">
        <f>40.352*$E$355</f>
        <v>0</v>
      </c>
      <c r="F456">
        <f>-37.039*$F$355</f>
        <v>0</v>
      </c>
      <c r="G456">
        <f>-10.083*$G$355</f>
        <v>0</v>
      </c>
      <c r="H456">
        <f>0*$H$355</f>
        <v>0</v>
      </c>
      <c r="I456">
        <f>0.367*$I$355</f>
        <v>0</v>
      </c>
      <c r="J456">
        <f>168.68*$J$355</f>
        <v>0</v>
      </c>
      <c r="K456">
        <f>-224.907*$K$355</f>
        <v>0</v>
      </c>
      <c r="L456">
        <f>-36.215*$L$355</f>
        <v>0</v>
      </c>
      <c r="M456">
        <f>0+D456+E456+G456+H456+I456+J456+K456+L456</f>
        <v>0</v>
      </c>
      <c r="N456">
        <f>0+D456+F456+G456+H456+I456+J456+K456+L456</f>
        <v>0</v>
      </c>
    </row>
    <row r="457" spans="3:14">
      <c r="C457" t="s">
        <v>65</v>
      </c>
      <c r="D457">
        <f>-7.312*$D$355</f>
        <v>0</v>
      </c>
      <c r="E457">
        <f>24.659*$E$355</f>
        <v>0</v>
      </c>
      <c r="F457">
        <f>-34.765*$F$355</f>
        <v>0</v>
      </c>
      <c r="G457">
        <f>-8.181*$G$355</f>
        <v>0</v>
      </c>
      <c r="H457">
        <f>0*$H$355</f>
        <v>0</v>
      </c>
      <c r="I457">
        <f>-0.569*$I$355</f>
        <v>0</v>
      </c>
      <c r="J457">
        <f>109.777*$J$355</f>
        <v>0</v>
      </c>
      <c r="K457">
        <f>-146.369*$K$355</f>
        <v>0</v>
      </c>
      <c r="L457">
        <f>-30.996*$L$355</f>
        <v>0</v>
      </c>
      <c r="M457">
        <f>0+D457+E457+G457+H457+I457+J457+K457+L457</f>
        <v>0</v>
      </c>
      <c r="N457">
        <f>0+D457+F457+G457+H457+I457+J457+K457+L457</f>
        <v>0</v>
      </c>
    </row>
    <row r="458" spans="3:14">
      <c r="C458" t="s">
        <v>66</v>
      </c>
      <c r="D458">
        <f>-11.678*$D$355</f>
        <v>0</v>
      </c>
      <c r="E458">
        <f>17.602*$E$355</f>
        <v>0</v>
      </c>
      <c r="F458">
        <f>-38.001*$F$355</f>
        <v>0</v>
      </c>
      <c r="G458">
        <f>-6.891*$G$355</f>
        <v>0</v>
      </c>
      <c r="H458">
        <f>0*$H$355</f>
        <v>0</v>
      </c>
      <c r="I458">
        <f>-1.33*$I$355</f>
        <v>0</v>
      </c>
      <c r="J458">
        <f>59.757*$J$355</f>
        <v>0</v>
      </c>
      <c r="K458">
        <f>-79.676*$K$355</f>
        <v>0</v>
      </c>
      <c r="L458">
        <f>-26.426*$L$355</f>
        <v>0</v>
      </c>
      <c r="M458">
        <f>0+D458+E458+G458+H458+I458+J458+K458+L458</f>
        <v>0</v>
      </c>
      <c r="N458">
        <f>0+D458+F458+G458+H458+I458+J458+K458+L458</f>
        <v>0</v>
      </c>
    </row>
    <row r="459" spans="3:14">
      <c r="C459" t="s">
        <v>66</v>
      </c>
      <c r="D459">
        <f>-16.472*$D$355</f>
        <v>0</v>
      </c>
      <c r="E459">
        <f>11.024*$E$355</f>
        <v>0</v>
      </c>
      <c r="F459">
        <f>-43.414*$F$355</f>
        <v>0</v>
      </c>
      <c r="G459">
        <f>-5.989*$G$355</f>
        <v>0</v>
      </c>
      <c r="H459">
        <f>0*$H$355</f>
        <v>0</v>
      </c>
      <c r="I459">
        <f>-2.149*$I$355</f>
        <v>0</v>
      </c>
      <c r="J459">
        <f>12.369*$J$355</f>
        <v>0</v>
      </c>
      <c r="K459">
        <f>-16.492*$K$355</f>
        <v>0</v>
      </c>
      <c r="L459">
        <f>-22.2*$L$355</f>
        <v>0</v>
      </c>
      <c r="M459">
        <f>0+D459+E459+G459+H459+I459+J459+K459+L459</f>
        <v>0</v>
      </c>
      <c r="N459">
        <f>0+D459+F459+G459+H459+I459+J459+K459+L459</f>
        <v>0</v>
      </c>
    </row>
    <row r="460" spans="3:14">
      <c r="C460" t="s">
        <v>67</v>
      </c>
      <c r="D460">
        <f>-20.266*$D$355</f>
        <v>0</v>
      </c>
      <c r="E460">
        <f>9.293*$E$355</f>
        <v>0</v>
      </c>
      <c r="F460">
        <f>-48.615*$F$355</f>
        <v>0</v>
      </c>
      <c r="G460">
        <f>-5.493*$G$355</f>
        <v>0</v>
      </c>
      <c r="H460">
        <f>0*$H$355</f>
        <v>0</v>
      </c>
      <c r="I460">
        <f>-2.772*$I$355</f>
        <v>0</v>
      </c>
      <c r="J460">
        <f>-37.142*$J$355</f>
        <v>0</v>
      </c>
      <c r="K460">
        <f>49.522*$K$355</f>
        <v>0</v>
      </c>
      <c r="L460">
        <f>-18.5*$L$355</f>
        <v>0</v>
      </c>
      <c r="M460">
        <f>0+D460+E460+G460+H460+I460+J460+K460+L460</f>
        <v>0</v>
      </c>
      <c r="N460">
        <f>0+D460+F460+G460+H460+I460+J460+K460+L460</f>
        <v>0</v>
      </c>
    </row>
    <row r="461" spans="3:14">
      <c r="C461" t="s">
        <v>67</v>
      </c>
      <c r="D461">
        <f>-24.524*$D$355</f>
        <v>0</v>
      </c>
      <c r="E461">
        <f>7.292*$E$355</f>
        <v>0</v>
      </c>
      <c r="F461">
        <f>-54.942*$F$355</f>
        <v>0</v>
      </c>
      <c r="G461">
        <f>-4.662*$G$355</f>
        <v>0</v>
      </c>
      <c r="H461">
        <f>0*$H$355</f>
        <v>0</v>
      </c>
      <c r="I461">
        <f>-3.487*$I$355</f>
        <v>0</v>
      </c>
      <c r="J461">
        <f>-99.716*$J$355</f>
        <v>0</v>
      </c>
      <c r="K461">
        <f>132.954*$K$355</f>
        <v>0</v>
      </c>
      <c r="L461">
        <f>-14.861*$L$355</f>
        <v>0</v>
      </c>
      <c r="M461">
        <f>0+D461+E461+G461+H461+I461+J461+K461+L461</f>
        <v>0</v>
      </c>
      <c r="N461">
        <f>0+D461+F461+G461+H461+I461+J461+K461+L461</f>
        <v>0</v>
      </c>
    </row>
    <row r="462" spans="3:14">
      <c r="C462" t="s">
        <v>68</v>
      </c>
      <c r="D462">
        <f>-27.917*$D$355</f>
        <v>0</v>
      </c>
      <c r="E462">
        <f>6.399*$E$355</f>
        <v>0</v>
      </c>
      <c r="F462">
        <f>-60.41*$F$355</f>
        <v>0</v>
      </c>
      <c r="G462">
        <f>-3.557*$G$355</f>
        <v>0</v>
      </c>
      <c r="H462">
        <f>0*$H$355</f>
        <v>0</v>
      </c>
      <c r="I462">
        <f>-4.037*$I$355</f>
        <v>0</v>
      </c>
      <c r="J462">
        <f>-184.244*$J$355</f>
        <v>0</v>
      </c>
      <c r="K462">
        <f>245.659*$K$355</f>
        <v>0</v>
      </c>
      <c r="L462">
        <f>-11.047*$L$355</f>
        <v>0</v>
      </c>
      <c r="M462">
        <f>0+D462+E462+G462+H462+I462+J462+K462+L462</f>
        <v>0</v>
      </c>
      <c r="N462">
        <f>0+D462+F462+G462+H462+I462+J462+K462+L462</f>
        <v>0</v>
      </c>
    </row>
    <row r="463" spans="3:14">
      <c r="C463" t="s">
        <v>68</v>
      </c>
      <c r="D463">
        <f>-30.385*$D$355</f>
        <v>0</v>
      </c>
      <c r="E463">
        <f>5.985*$E$355</f>
        <v>0</v>
      </c>
      <c r="F463">
        <f>-64.699*$F$355</f>
        <v>0</v>
      </c>
      <c r="G463">
        <f>-1.469*$G$355</f>
        <v>0</v>
      </c>
      <c r="H463">
        <f>0*$H$355</f>
        <v>0</v>
      </c>
      <c r="I463">
        <f>-4.463*$I$355</f>
        <v>0</v>
      </c>
      <c r="J463">
        <f>-303.026*$J$355</f>
        <v>0</v>
      </c>
      <c r="K463">
        <f>404.035*$K$355</f>
        <v>0</v>
      </c>
      <c r="L463">
        <f>-8.005*$L$355</f>
        <v>0</v>
      </c>
      <c r="M463">
        <f>0+D463+E463+G463+H463+I463+J463+K463+L463</f>
        <v>0</v>
      </c>
      <c r="N463">
        <f>0+D463+F463+G463+H463+I463+J463+K463+L463</f>
        <v>0</v>
      </c>
    </row>
    <row r="464" spans="3:14">
      <c r="C464" t="s">
        <v>69</v>
      </c>
      <c r="D464">
        <f>-20.879*$D$355</f>
        <v>0</v>
      </c>
      <c r="E464">
        <f>9.168*$E$355</f>
        <v>0</v>
      </c>
      <c r="F464">
        <f>-59.373*$F$355</f>
        <v>0</v>
      </c>
      <c r="G464">
        <f>2.494*$G$355</f>
        <v>0</v>
      </c>
      <c r="H464">
        <f>0*$H$355</f>
        <v>0</v>
      </c>
      <c r="I464">
        <f>-3.137*$I$355</f>
        <v>0</v>
      </c>
      <c r="J464">
        <f>-455.266*$J$355</f>
        <v>0</v>
      </c>
      <c r="K464">
        <f>607.021*$K$355</f>
        <v>0</v>
      </c>
      <c r="L464">
        <f>-4.617*$L$355</f>
        <v>0</v>
      </c>
      <c r="M464">
        <f>0+D464+E464+G464+H464+I464+J464+K464+L464</f>
        <v>0</v>
      </c>
      <c r="N464">
        <f>0+D464+F464+G464+H464+I464+J464+K464+L464</f>
        <v>0</v>
      </c>
    </row>
    <row r="469" spans="3:14">
      <c r="C469" t="s">
        <v>73</v>
      </c>
    </row>
    <row r="471" spans="3:14">
      <c r="C471" t="s">
        <v>2</v>
      </c>
    </row>
    <row r="472" spans="3:14">
      <c r="C472" t="s">
        <v>3</v>
      </c>
      <c r="D472" t="s">
        <v>4</v>
      </c>
      <c r="E472" t="s">
        <v>5</v>
      </c>
      <c r="F472" t="s">
        <v>6</v>
      </c>
      <c r="G472" t="s">
        <v>7</v>
      </c>
      <c r="H472" t="s">
        <v>8</v>
      </c>
      <c r="I472" t="s">
        <v>9</v>
      </c>
      <c r="J472" t="s">
        <v>10</v>
      </c>
      <c r="K472" t="s">
        <v>11</v>
      </c>
      <c r="L472" t="s">
        <v>12</v>
      </c>
      <c r="M472" t="s">
        <v>13</v>
      </c>
      <c r="N472" t="s">
        <v>14</v>
      </c>
    </row>
    <row r="473" spans="3:14">
      <c r="C473" t="s">
        <v>80</v>
      </c>
      <c r="D473">
        <f>0.095*$D$471</f>
        <v>0</v>
      </c>
      <c r="E473">
        <f>450.008*$E$471</f>
        <v>0</v>
      </c>
      <c r="F473">
        <f>-436.405*$F$471</f>
        <v>0</v>
      </c>
      <c r="G473">
        <f>-25.864*$G$471</f>
        <v>0</v>
      </c>
      <c r="H473">
        <f>0*$H$471</f>
        <v>0</v>
      </c>
      <c r="I473">
        <f>1.709*$I$471</f>
        <v>0</v>
      </c>
      <c r="J473">
        <f>-352.003*$J$471</f>
        <v>0</v>
      </c>
      <c r="K473">
        <f>469.337*$K$471</f>
        <v>0</v>
      </c>
      <c r="L473">
        <f>0.18*$L$471</f>
        <v>0</v>
      </c>
      <c r="M473">
        <f>0+D473+E473+G473+H473+I473+J473+K473+L473</f>
        <v>0</v>
      </c>
      <c r="N473">
        <f>0+D473+F473+G473+H473+I473+J473+K473+L473</f>
        <v>0</v>
      </c>
    </row>
    <row r="474" spans="3:14">
      <c r="C474" t="s">
        <v>16</v>
      </c>
      <c r="D474">
        <f>2.03*$D$471</f>
        <v>0</v>
      </c>
      <c r="E474">
        <f>439.432*$E$471</f>
        <v>0</v>
      </c>
      <c r="F474">
        <f>-423.229*$F$471</f>
        <v>0</v>
      </c>
      <c r="G474">
        <f>-24.781*$G$471</f>
        <v>0</v>
      </c>
      <c r="H474">
        <f>0*$H$471</f>
        <v>0</v>
      </c>
      <c r="I474">
        <f>1.918*$I$471</f>
        <v>0</v>
      </c>
      <c r="J474">
        <f>-299.406*$J$471</f>
        <v>0</v>
      </c>
      <c r="K474">
        <f>399.208*$K$471</f>
        <v>0</v>
      </c>
      <c r="L474">
        <f>0.174*$L$471</f>
        <v>0</v>
      </c>
      <c r="M474">
        <f>0+D474+E474+G474+H474+I474+J474+K474+L474</f>
        <v>0</v>
      </c>
      <c r="N474">
        <f>0+D474+F474+G474+H474+I474+J474+K474+L474</f>
        <v>0</v>
      </c>
    </row>
    <row r="475" spans="3:14">
      <c r="C475" t="s">
        <v>16</v>
      </c>
      <c r="D475">
        <f>-19.069*$D$471</f>
        <v>0</v>
      </c>
      <c r="E475">
        <f>411.892*$E$471</f>
        <v>0</v>
      </c>
      <c r="F475">
        <f>-428.783*$F$471</f>
        <v>0</v>
      </c>
      <c r="G475">
        <f>-25.406*$G$471</f>
        <v>0</v>
      </c>
      <c r="H475">
        <f>0*$H$471</f>
        <v>0</v>
      </c>
      <c r="I475">
        <f>-1.242*$I$471</f>
        <v>0</v>
      </c>
      <c r="J475">
        <f>-217.414*$J$471</f>
        <v>0</v>
      </c>
      <c r="K475">
        <f>289.885*$K$471</f>
        <v>0</v>
      </c>
      <c r="L475">
        <f>0.168*$L$471</f>
        <v>0</v>
      </c>
      <c r="M475">
        <f>0+D475+E475+G475+H475+I475+J475+K475+L475</f>
        <v>0</v>
      </c>
      <c r="N475">
        <f>0+D475+F475+G475+H475+I475+J475+K475+L475</f>
        <v>0</v>
      </c>
    </row>
    <row r="476" spans="3:14">
      <c r="C476" t="s">
        <v>17</v>
      </c>
      <c r="D476">
        <f>-11.708*$D$471</f>
        <v>0</v>
      </c>
      <c r="E476">
        <f>403.822*$E$471</f>
        <v>0</v>
      </c>
      <c r="F476">
        <f>-412.342*$F$471</f>
        <v>0</v>
      </c>
      <c r="G476">
        <f>-23.124*$G$471</f>
        <v>0</v>
      </c>
      <c r="H476">
        <f>0*$H$471</f>
        <v>0</v>
      </c>
      <c r="I476">
        <f>-0.3*$I$471</f>
        <v>0</v>
      </c>
      <c r="J476">
        <f>-148.729*$J$471</f>
        <v>0</v>
      </c>
      <c r="K476">
        <f>198.306*$K$471</f>
        <v>0</v>
      </c>
      <c r="L476">
        <f>0.163*$L$471</f>
        <v>0</v>
      </c>
      <c r="M476">
        <f>0+D476+E476+G476+H476+I476+J476+K476+L476</f>
        <v>0</v>
      </c>
      <c r="N476">
        <f>0+D476+F476+G476+H476+I476+J476+K476+L476</f>
        <v>0</v>
      </c>
    </row>
    <row r="477" spans="3:14">
      <c r="C477" t="s">
        <v>17</v>
      </c>
      <c r="D477">
        <f>-32.117*$D$471</f>
        <v>0</v>
      </c>
      <c r="E477">
        <f>381.959*$E$471</f>
        <v>0</v>
      </c>
      <c r="F477">
        <f>-422.688*$F$471</f>
        <v>0</v>
      </c>
      <c r="G477">
        <f>-22.89*$G$471</f>
        <v>0</v>
      </c>
      <c r="H477">
        <f>0*$H$471</f>
        <v>0</v>
      </c>
      <c r="I477">
        <f>-3.38*$I$471</f>
        <v>0</v>
      </c>
      <c r="J477">
        <f>-103.521*$J$471</f>
        <v>0</v>
      </c>
      <c r="K477">
        <f>138.027*$K$471</f>
        <v>0</v>
      </c>
      <c r="L477">
        <f>0.158*$L$471</f>
        <v>0</v>
      </c>
      <c r="M477">
        <f>0+D477+E477+G477+H477+I477+J477+K477+L477</f>
        <v>0</v>
      </c>
      <c r="N477">
        <f>0+D477+F477+G477+H477+I477+J477+K477+L477</f>
        <v>0</v>
      </c>
    </row>
    <row r="478" spans="3:14">
      <c r="C478" t="s">
        <v>18</v>
      </c>
      <c r="D478">
        <f>-23.616*$D$471</f>
        <v>0</v>
      </c>
      <c r="E478">
        <f>374.831*$E$471</f>
        <v>0</v>
      </c>
      <c r="F478">
        <f>-406.151*$F$471</f>
        <v>0</v>
      </c>
      <c r="G478">
        <f>-19.112*$G$471</f>
        <v>0</v>
      </c>
      <c r="H478">
        <f>0*$H$471</f>
        <v>0</v>
      </c>
      <c r="I478">
        <f>-2.361*$I$471</f>
        <v>0</v>
      </c>
      <c r="J478">
        <f>-78.423*$J$471</f>
        <v>0</v>
      </c>
      <c r="K478">
        <f>104.564*$K$471</f>
        <v>0</v>
      </c>
      <c r="L478">
        <f>0.154*$L$471</f>
        <v>0</v>
      </c>
      <c r="M478">
        <f>0+D478+E478+G478+H478+I478+J478+K478+L478</f>
        <v>0</v>
      </c>
      <c r="N478">
        <f>0+D478+F478+G478+H478+I478+J478+K478+L478</f>
        <v>0</v>
      </c>
    </row>
    <row r="479" spans="3:14">
      <c r="C479" t="s">
        <v>18</v>
      </c>
      <c r="D479">
        <f>-51.834*$D$471</f>
        <v>0</v>
      </c>
      <c r="E479">
        <f>359.159*$E$471</f>
        <v>0</v>
      </c>
      <c r="F479">
        <f>-432.663*$F$471</f>
        <v>0</v>
      </c>
      <c r="G479">
        <f>-18.791*$G$471</f>
        <v>0</v>
      </c>
      <c r="H479">
        <f>0*$H$471</f>
        <v>0</v>
      </c>
      <c r="I479">
        <f>-6.57*$I$471</f>
        <v>0</v>
      </c>
      <c r="J479">
        <f>-70.507*$J$471</f>
        <v>0</v>
      </c>
      <c r="K479">
        <f>94.009*$K$471</f>
        <v>0</v>
      </c>
      <c r="L479">
        <f>0.15*$L$471</f>
        <v>0</v>
      </c>
      <c r="M479">
        <f>0+D479+E479+G479+H479+I479+J479+K479+L479</f>
        <v>0</v>
      </c>
      <c r="N479">
        <f>0+D479+F479+G479+H479+I479+J479+K479+L479</f>
        <v>0</v>
      </c>
    </row>
    <row r="480" spans="3:14">
      <c r="C480" t="s">
        <v>19</v>
      </c>
      <c r="D480">
        <f>-43.787*$D$471</f>
        <v>0</v>
      </c>
      <c r="E480">
        <f>353.354*$E$471</f>
        <v>0</v>
      </c>
      <c r="F480">
        <f>-416.817*$F$471</f>
        <v>0</v>
      </c>
      <c r="G480">
        <f>-13.856*$G$471</f>
        <v>0</v>
      </c>
      <c r="H480">
        <f>0*$H$471</f>
        <v>0</v>
      </c>
      <c r="I480">
        <f>-5.695*$I$471</f>
        <v>0</v>
      </c>
      <c r="J480">
        <f>-77.656*$J$471</f>
        <v>0</v>
      </c>
      <c r="K480">
        <f>103.541*$K$471</f>
        <v>0</v>
      </c>
      <c r="L480">
        <f>0.146*$L$471</f>
        <v>0</v>
      </c>
      <c r="M480">
        <f>0+D480+E480+G480+H480+I480+J480+K480+L480</f>
        <v>0</v>
      </c>
      <c r="N480">
        <f>0+D480+F480+G480+H480+I480+J480+K480+L480</f>
        <v>0</v>
      </c>
    </row>
    <row r="481" spans="3:14">
      <c r="C481" t="s">
        <v>19</v>
      </c>
      <c r="D481">
        <f>-73.098*$D$471</f>
        <v>0</v>
      </c>
      <c r="E481">
        <f>338.36*$E$471</f>
        <v>0</v>
      </c>
      <c r="F481">
        <f>-442.341*$F$471</f>
        <v>0</v>
      </c>
      <c r="G481">
        <f>-12.863*$G$471</f>
        <v>0</v>
      </c>
      <c r="H481">
        <f>0*$H$471</f>
        <v>0</v>
      </c>
      <c r="I481">
        <f>-10.067*$I$471</f>
        <v>0</v>
      </c>
      <c r="J481">
        <f>-91.318*$J$471</f>
        <v>0</v>
      </c>
      <c r="K481">
        <f>121.757*$K$471</f>
        <v>0</v>
      </c>
      <c r="L481">
        <f>0.14*$L$471</f>
        <v>0</v>
      </c>
      <c r="M481">
        <f>0+D481+E481+G481+H481+I481+J481+K481+L481</f>
        <v>0</v>
      </c>
      <c r="N481">
        <f>0+D481+F481+G481+H481+I481+J481+K481+L481</f>
        <v>0</v>
      </c>
    </row>
    <row r="482" spans="3:14">
      <c r="C482" t="s">
        <v>20</v>
      </c>
      <c r="D482">
        <f>-65.164*$D$471</f>
        <v>0</v>
      </c>
      <c r="E482">
        <f>330.409*$E$471</f>
        <v>0</v>
      </c>
      <c r="F482">
        <f>-425.21*$F$471</f>
        <v>0</v>
      </c>
      <c r="G482">
        <f>-8.95*$G$471</f>
        <v>0</v>
      </c>
      <c r="H482">
        <f>0*$H$471</f>
        <v>0</v>
      </c>
      <c r="I482">
        <f>-9.139*$I$471</f>
        <v>0</v>
      </c>
      <c r="J482">
        <f>-94.157*$J$471</f>
        <v>0</v>
      </c>
      <c r="K482">
        <f>125.543*$K$471</f>
        <v>0</v>
      </c>
      <c r="L482">
        <f>0.133*$L$471</f>
        <v>0</v>
      </c>
      <c r="M482">
        <f>0+D482+E482+G482+H482+I482+J482+K482+L482</f>
        <v>0</v>
      </c>
      <c r="N482">
        <f>0+D482+F482+G482+H482+I482+J482+K482+L482</f>
        <v>0</v>
      </c>
    </row>
    <row r="483" spans="3:14">
      <c r="C483" t="s">
        <v>20</v>
      </c>
      <c r="D483">
        <f>-71.928*$D$471</f>
        <v>0</v>
      </c>
      <c r="E483">
        <f>330.251*$E$471</f>
        <v>0</v>
      </c>
      <c r="F483">
        <f>-433.446*$F$471</f>
        <v>0</v>
      </c>
      <c r="G483">
        <f>-8.415*$G$471</f>
        <v>0</v>
      </c>
      <c r="H483">
        <f>0*$H$471</f>
        <v>0</v>
      </c>
      <c r="I483">
        <f>-10.179*$I$471</f>
        <v>0</v>
      </c>
      <c r="J483">
        <f>-93.439*$J$471</f>
        <v>0</v>
      </c>
      <c r="K483">
        <f>124.585*$K$471</f>
        <v>0</v>
      </c>
      <c r="L483">
        <f>0.136*$L$471</f>
        <v>0</v>
      </c>
      <c r="M483">
        <f>0+D483+E483+G483+H483+I483+J483+K483+L483</f>
        <v>0</v>
      </c>
      <c r="N483">
        <f>0+D483+F483+G483+H483+I483+J483+K483+L483</f>
        <v>0</v>
      </c>
    </row>
    <row r="484" spans="3:14">
      <c r="C484" t="s">
        <v>21</v>
      </c>
      <c r="D484">
        <f>-64.31*$D$471</f>
        <v>0</v>
      </c>
      <c r="E484">
        <f>320.684*$E$471</f>
        <v>0</v>
      </c>
      <c r="F484">
        <f>-414.988*$F$471</f>
        <v>0</v>
      </c>
      <c r="G484">
        <f>-6.916*$G$471</f>
        <v>0</v>
      </c>
      <c r="H484">
        <f>0*$H$471</f>
        <v>0</v>
      </c>
      <c r="I484">
        <f>-9.119*$I$471</f>
        <v>0</v>
      </c>
      <c r="J484">
        <f>-77.267*$J$471</f>
        <v>0</v>
      </c>
      <c r="K484">
        <f>103.023*$K$471</f>
        <v>0</v>
      </c>
      <c r="L484">
        <f>0.129*$L$471</f>
        <v>0</v>
      </c>
      <c r="M484">
        <f>0+D484+E484+G484+H484+I484+J484+K484+L484</f>
        <v>0</v>
      </c>
      <c r="N484">
        <f>0+D484+F484+G484+H484+I484+J484+K484+L484</f>
        <v>0</v>
      </c>
    </row>
    <row r="485" spans="3:14">
      <c r="C485" t="s">
        <v>21</v>
      </c>
      <c r="D485">
        <f>-72.727*$D$471</f>
        <v>0</v>
      </c>
      <c r="E485">
        <f>309.511*$E$471</f>
        <v>0</v>
      </c>
      <c r="F485">
        <f>-414.745*$F$471</f>
        <v>0</v>
      </c>
      <c r="G485">
        <f>-7.952*$G$471</f>
        <v>0</v>
      </c>
      <c r="H485">
        <f>0*$H$471</f>
        <v>0</v>
      </c>
      <c r="I485">
        <f>-10.334*$I$471</f>
        <v>0</v>
      </c>
      <c r="J485">
        <f>-52.414*$J$471</f>
        <v>0</v>
      </c>
      <c r="K485">
        <f>69.886*$K$471</f>
        <v>0</v>
      </c>
      <c r="L485">
        <f>0.124*$L$471</f>
        <v>0</v>
      </c>
      <c r="M485">
        <f>0+D485+E485+G485+H485+I485+J485+K485+L485</f>
        <v>0</v>
      </c>
      <c r="N485">
        <f>0+D485+F485+G485+H485+I485+J485+K485+L485</f>
        <v>0</v>
      </c>
    </row>
    <row r="486" spans="3:14">
      <c r="C486" t="s">
        <v>22</v>
      </c>
      <c r="D486">
        <f>-66.495*$D$471</f>
        <v>0</v>
      </c>
      <c r="E486">
        <f>301.362*$E$471</f>
        <v>0</v>
      </c>
      <c r="F486">
        <f>-397.205*$F$471</f>
        <v>0</v>
      </c>
      <c r="G486">
        <f>-7.74*$G$471</f>
        <v>0</v>
      </c>
      <c r="H486">
        <f>0*$H$471</f>
        <v>0</v>
      </c>
      <c r="I486">
        <f>-9.397*$I$471</f>
        <v>0</v>
      </c>
      <c r="J486">
        <f>-29.734*$J$471</f>
        <v>0</v>
      </c>
      <c r="K486">
        <f>39.646*$K$471</f>
        <v>0</v>
      </c>
      <c r="L486">
        <f>0.119*$L$471</f>
        <v>0</v>
      </c>
      <c r="M486">
        <f>0+D486+E486+G486+H486+I486+J486+K486+L486</f>
        <v>0</v>
      </c>
      <c r="N486">
        <f>0+D486+F486+G486+H486+I486+J486+K486+L486</f>
        <v>0</v>
      </c>
    </row>
    <row r="487" spans="3:14">
      <c r="C487" t="s">
        <v>22</v>
      </c>
      <c r="D487">
        <f>-79.314*$D$471</f>
        <v>0</v>
      </c>
      <c r="E487">
        <f>294.417*$E$471</f>
        <v>0</v>
      </c>
      <c r="F487">
        <f>-403.106*$F$471</f>
        <v>0</v>
      </c>
      <c r="G487">
        <f>-8.712*$G$471</f>
        <v>0</v>
      </c>
      <c r="H487">
        <f>0*$H$471</f>
        <v>0</v>
      </c>
      <c r="I487">
        <f>-11.259*$I$471</f>
        <v>0</v>
      </c>
      <c r="J487">
        <f>-15.943*$J$471</f>
        <v>0</v>
      </c>
      <c r="K487">
        <f>21.257*$K$471</f>
        <v>0</v>
      </c>
      <c r="L487">
        <f>0.118*$L$471</f>
        <v>0</v>
      </c>
      <c r="M487">
        <f>0+D487+E487+G487+H487+I487+J487+K487+L487</f>
        <v>0</v>
      </c>
      <c r="N487">
        <f>0+D487+F487+G487+H487+I487+J487+K487+L487</f>
        <v>0</v>
      </c>
    </row>
    <row r="488" spans="3:14">
      <c r="C488" t="s">
        <v>23</v>
      </c>
      <c r="D488">
        <f>-76.581*$D$471</f>
        <v>0</v>
      </c>
      <c r="E488">
        <f>285.172*$E$471</f>
        <v>0</v>
      </c>
      <c r="F488">
        <f>-390.611*$F$471</f>
        <v>0</v>
      </c>
      <c r="G488">
        <f>-7.211*$G$471</f>
        <v>0</v>
      </c>
      <c r="H488">
        <f>0*$H$471</f>
        <v>0</v>
      </c>
      <c r="I488">
        <f>-10.935*$I$471</f>
        <v>0</v>
      </c>
      <c r="J488">
        <f>-10.779*$J$471</f>
        <v>0</v>
      </c>
      <c r="K488">
        <f>14.372*$K$471</f>
        <v>0</v>
      </c>
      <c r="L488">
        <f>0.113*$L$471</f>
        <v>0</v>
      </c>
      <c r="M488">
        <f>0+D488+E488+G488+H488+I488+J488+K488+L488</f>
        <v>0</v>
      </c>
      <c r="N488">
        <f>0+D488+F488+G488+H488+I488+J488+K488+L488</f>
        <v>0</v>
      </c>
    </row>
    <row r="489" spans="3:14">
      <c r="C489" t="s">
        <v>23</v>
      </c>
      <c r="D489">
        <f>-80.6*$D$471</f>
        <v>0</v>
      </c>
      <c r="E489">
        <f>276.6*$E$471</f>
        <v>0</v>
      </c>
      <c r="F489">
        <f>-387.189*$F$471</f>
        <v>0</v>
      </c>
      <c r="G489">
        <f>-5.4*$G$471</f>
        <v>0</v>
      </c>
      <c r="H489">
        <f>0*$H$471</f>
        <v>0</v>
      </c>
      <c r="I489">
        <f>-11.611*$I$471</f>
        <v>0</v>
      </c>
      <c r="J489">
        <f>-13.156*$J$471</f>
        <v>0</v>
      </c>
      <c r="K489">
        <f>17.542*$K$471</f>
        <v>0</v>
      </c>
      <c r="L489">
        <f>0.109*$L$471</f>
        <v>0</v>
      </c>
      <c r="M489">
        <f>0+D489+E489+G489+H489+I489+J489+K489+L489</f>
        <v>0</v>
      </c>
      <c r="N489">
        <f>0+D489+F489+G489+H489+I489+J489+K489+L489</f>
        <v>0</v>
      </c>
    </row>
    <row r="490" spans="3:14">
      <c r="C490" t="s">
        <v>24</v>
      </c>
      <c r="D490">
        <f>-81.534*$D$471</f>
        <v>0</v>
      </c>
      <c r="E490">
        <f>266.484*$E$471</f>
        <v>0</v>
      </c>
      <c r="F490">
        <f>-380.833*$F$471</f>
        <v>0</v>
      </c>
      <c r="G490">
        <f>-2.409*$G$471</f>
        <v>0</v>
      </c>
      <c r="H490">
        <f>0*$H$471</f>
        <v>0</v>
      </c>
      <c r="I490">
        <f>-11.94*$I$471</f>
        <v>0</v>
      </c>
      <c r="J490">
        <f>-23.45*$J$471</f>
        <v>0</v>
      </c>
      <c r="K490">
        <f>31.266*$K$471</f>
        <v>0</v>
      </c>
      <c r="L490">
        <f>0.105*$L$471</f>
        <v>0</v>
      </c>
      <c r="M490">
        <f>0+D490+E490+G490+H490+I490+J490+K490+L490</f>
        <v>0</v>
      </c>
      <c r="N490">
        <f>0+D490+F490+G490+H490+I490+J490+K490+L490</f>
        <v>0</v>
      </c>
    </row>
    <row r="491" spans="3:14">
      <c r="C491" t="s">
        <v>24</v>
      </c>
      <c r="D491">
        <f>-88.465*$D$471</f>
        <v>0</v>
      </c>
      <c r="E491">
        <f>257.379*$E$471</f>
        <v>0</v>
      </c>
      <c r="F491">
        <f>-382.534*$F$471</f>
        <v>0</v>
      </c>
      <c r="G491">
        <f>-0.09*$G$471</f>
        <v>0</v>
      </c>
      <c r="H491">
        <f>0*$H$471</f>
        <v>0</v>
      </c>
      <c r="I491">
        <f>-13.066*$I$471</f>
        <v>0</v>
      </c>
      <c r="J491">
        <f>-34.968*$J$471</f>
        <v>0</v>
      </c>
      <c r="K491">
        <f>46.623*$K$471</f>
        <v>0</v>
      </c>
      <c r="L491">
        <f>0.1*$L$471</f>
        <v>0</v>
      </c>
      <c r="M491">
        <f>0+D491+E491+G491+H491+I491+J491+K491+L491</f>
        <v>0</v>
      </c>
      <c r="N491">
        <f>0+D491+F491+G491+H491+I491+J491+K491+L491</f>
        <v>0</v>
      </c>
    </row>
    <row r="492" spans="3:14">
      <c r="C492" t="s">
        <v>25</v>
      </c>
      <c r="D492">
        <f>-90.872*$D$471</f>
        <v>0</v>
      </c>
      <c r="E492">
        <f>245.742*$E$471</f>
        <v>0</v>
      </c>
      <c r="F492">
        <f>-375.343*$F$471</f>
        <v>0</v>
      </c>
      <c r="G492">
        <f>1.45*$G$471</f>
        <v>0</v>
      </c>
      <c r="H492">
        <f>0*$H$471</f>
        <v>0</v>
      </c>
      <c r="I492">
        <f>-13.52*$I$471</f>
        <v>0</v>
      </c>
      <c r="J492">
        <f>-40.403*$J$471</f>
        <v>0</v>
      </c>
      <c r="K492">
        <f>53.87*$K$471</f>
        <v>0</v>
      </c>
      <c r="L492">
        <f>0.092*$L$471</f>
        <v>0</v>
      </c>
      <c r="M492">
        <f>0+D492+E492+G492+H492+I492+J492+K492+L492</f>
        <v>0</v>
      </c>
      <c r="N492">
        <f>0+D492+F492+G492+H492+I492+J492+K492+L492</f>
        <v>0</v>
      </c>
    </row>
    <row r="493" spans="3:14">
      <c r="C493" t="s">
        <v>25</v>
      </c>
      <c r="D493">
        <f>-91.669*$D$471</f>
        <v>0</v>
      </c>
      <c r="E493">
        <f>239.199*$E$471</f>
        <v>0</v>
      </c>
      <c r="F493">
        <f>-365.287*$F$471</f>
        <v>0</v>
      </c>
      <c r="G493">
        <f>1.586*$G$471</f>
        <v>0</v>
      </c>
      <c r="H493">
        <f>0*$H$471</f>
        <v>0</v>
      </c>
      <c r="I493">
        <f>-13.631*$I$471</f>
        <v>0</v>
      </c>
      <c r="J493">
        <f>-39.495*$J$471</f>
        <v>0</v>
      </c>
      <c r="K493">
        <f>52.659*$K$471</f>
        <v>0</v>
      </c>
      <c r="L493">
        <f>0.096*$L$471</f>
        <v>0</v>
      </c>
      <c r="M493">
        <f>0+D493+E493+G493+H493+I493+J493+K493+L493</f>
        <v>0</v>
      </c>
      <c r="N493">
        <f>0+D493+F493+G493+H493+I493+J493+K493+L493</f>
        <v>0</v>
      </c>
    </row>
    <row r="494" spans="3:14">
      <c r="C494" t="s">
        <v>26</v>
      </c>
      <c r="D494">
        <f>-94.848*$D$471</f>
        <v>0</v>
      </c>
      <c r="E494">
        <f>224.691*$E$471</f>
        <v>0</v>
      </c>
      <c r="F494">
        <f>-354.062*$F$471</f>
        <v>0</v>
      </c>
      <c r="G494">
        <f>0.095*$G$471</f>
        <v>0</v>
      </c>
      <c r="H494">
        <f>0*$H$471</f>
        <v>0</v>
      </c>
      <c r="I494">
        <f>-13.981*$I$471</f>
        <v>0</v>
      </c>
      <c r="J494">
        <f>-30.947*$J$471</f>
        <v>0</v>
      </c>
      <c r="K494">
        <f>41.263*$K$471</f>
        <v>0</v>
      </c>
      <c r="L494">
        <f>0.088*$L$471</f>
        <v>0</v>
      </c>
      <c r="M494">
        <f>0+D494+E494+G494+H494+I494+J494+K494+L494</f>
        <v>0</v>
      </c>
      <c r="N494">
        <f>0+D494+F494+G494+H494+I494+J494+K494+L494</f>
        <v>0</v>
      </c>
    </row>
    <row r="495" spans="3:14">
      <c r="C495" t="s">
        <v>26</v>
      </c>
      <c r="D495">
        <f>-91.667*$D$471</f>
        <v>0</v>
      </c>
      <c r="E495">
        <f>213.782*$E$471</f>
        <v>0</v>
      </c>
      <c r="F495">
        <f>-333.077*$F$471</f>
        <v>0</v>
      </c>
      <c r="G495">
        <f>-1.959*$G$471</f>
        <v>0</v>
      </c>
      <c r="H495">
        <f>0*$H$471</f>
        <v>0</v>
      </c>
      <c r="I495">
        <f>-13.399*$I$471</f>
        <v>0</v>
      </c>
      <c r="J495">
        <f>-15.883*$J$471</f>
        <v>0</v>
      </c>
      <c r="K495">
        <f>21.177*$K$471</f>
        <v>0</v>
      </c>
      <c r="L495">
        <f>0.082*$L$471</f>
        <v>0</v>
      </c>
      <c r="M495">
        <f>0+D495+E495+G495+H495+I495+J495+K495+L495</f>
        <v>0</v>
      </c>
      <c r="N495">
        <f>0+D495+F495+G495+H495+I495+J495+K495+L495</f>
        <v>0</v>
      </c>
    </row>
    <row r="496" spans="3:14">
      <c r="C496" t="s">
        <v>27</v>
      </c>
      <c r="D496">
        <f>-96.199*$D$471</f>
        <v>0</v>
      </c>
      <c r="E496">
        <f>197.864*$E$471</f>
        <v>0</v>
      </c>
      <c r="F496">
        <f>-321.472*$F$471</f>
        <v>0</v>
      </c>
      <c r="G496">
        <f>-4.815*$G$471</f>
        <v>0</v>
      </c>
      <c r="H496">
        <f>0*$H$471</f>
        <v>0</v>
      </c>
      <c r="I496">
        <f>-13.864*$I$471</f>
        <v>0</v>
      </c>
      <c r="J496">
        <f>-1.85*$J$471</f>
        <v>0</v>
      </c>
      <c r="K496">
        <f>2.467*$K$471</f>
        <v>0</v>
      </c>
      <c r="L496">
        <f>0.078*$L$471</f>
        <v>0</v>
      </c>
      <c r="M496">
        <f>0+D496+E496+G496+H496+I496+J496+K496+L496</f>
        <v>0</v>
      </c>
      <c r="N496">
        <f>0+D496+F496+G496+H496+I496+J496+K496+L496</f>
        <v>0</v>
      </c>
    </row>
    <row r="497" spans="3:14">
      <c r="C497" t="s">
        <v>27</v>
      </c>
      <c r="D497">
        <f>-95.493*$D$471</f>
        <v>0</v>
      </c>
      <c r="E497">
        <f>186.473*$E$471</f>
        <v>0</v>
      </c>
      <c r="F497">
        <f>-308.286*$F$471</f>
        <v>0</v>
      </c>
      <c r="G497">
        <f>-6.147*$G$471</f>
        <v>0</v>
      </c>
      <c r="H497">
        <f>0*$H$471</f>
        <v>0</v>
      </c>
      <c r="I497">
        <f>-13.684*$I$471</f>
        <v>0</v>
      </c>
      <c r="J497">
        <f>5.757*$J$471</f>
        <v>0</v>
      </c>
      <c r="K497">
        <f>-7.676*$K$471</f>
        <v>0</v>
      </c>
      <c r="L497">
        <f>0.074*$L$471</f>
        <v>0</v>
      </c>
      <c r="M497">
        <f>0+D497+E497+G497+H497+I497+J497+K497+L497</f>
        <v>0</v>
      </c>
      <c r="N497">
        <f>0+D497+F497+G497+H497+I497+J497+K497+L497</f>
        <v>0</v>
      </c>
    </row>
    <row r="498" spans="3:14">
      <c r="C498" t="s">
        <v>28</v>
      </c>
      <c r="D498">
        <f>-102.977*$D$471</f>
        <v>0</v>
      </c>
      <c r="E498">
        <f>170.549*$E$471</f>
        <v>0</v>
      </c>
      <c r="F498">
        <f>-302.423*$F$471</f>
        <v>0</v>
      </c>
      <c r="G498">
        <f>-7.187*$G$471</f>
        <v>0</v>
      </c>
      <c r="H498">
        <f>0*$H$471</f>
        <v>0</v>
      </c>
      <c r="I498">
        <f>-14.723*$I$471</f>
        <v>0</v>
      </c>
      <c r="J498">
        <f>6.903*$J$471</f>
        <v>0</v>
      </c>
      <c r="K498">
        <f>-9.204*$K$471</f>
        <v>0</v>
      </c>
      <c r="L498">
        <f>0.069*$L$471</f>
        <v>0</v>
      </c>
      <c r="M498">
        <f>0+D498+E498+G498+H498+I498+J498+K498+L498</f>
        <v>0</v>
      </c>
      <c r="N498">
        <f>0+D498+F498+G498+H498+I498+J498+K498+L498</f>
        <v>0</v>
      </c>
    </row>
    <row r="499" spans="3:14">
      <c r="C499" t="s">
        <v>28</v>
      </c>
      <c r="D499">
        <f>-90.132*$D$471</f>
        <v>0</v>
      </c>
      <c r="E499">
        <f>164.121*$E$471</f>
        <v>0</v>
      </c>
      <c r="F499">
        <f>-278.457*$F$471</f>
        <v>0</v>
      </c>
      <c r="G499">
        <f>-5.158*$G$471</f>
        <v>0</v>
      </c>
      <c r="H499">
        <f>0*$H$471</f>
        <v>0</v>
      </c>
      <c r="I499">
        <f>-12.913*$I$471</f>
        <v>0</v>
      </c>
      <c r="J499">
        <f>1.401*$J$471</f>
        <v>0</v>
      </c>
      <c r="K499">
        <f>-1.867*$K$471</f>
        <v>0</v>
      </c>
      <c r="L499">
        <f>0.066*$L$471</f>
        <v>0</v>
      </c>
      <c r="M499">
        <f>0+D499+E499+G499+H499+I499+J499+K499+L499</f>
        <v>0</v>
      </c>
      <c r="N499">
        <f>0+D499+F499+G499+H499+I499+J499+K499+L499</f>
        <v>0</v>
      </c>
    </row>
    <row r="500" spans="3:14">
      <c r="C500" t="s">
        <v>29</v>
      </c>
      <c r="D500">
        <f>-99.845*$D$471</f>
        <v>0</v>
      </c>
      <c r="E500">
        <f>148.653*$E$471</f>
        <v>0</v>
      </c>
      <c r="F500">
        <f>-279.913*$F$471</f>
        <v>0</v>
      </c>
      <c r="G500">
        <f>-4.388*$G$471</f>
        <v>0</v>
      </c>
      <c r="H500">
        <f>0*$H$471</f>
        <v>0</v>
      </c>
      <c r="I500">
        <f>-14.421*$I$471</f>
        <v>0</v>
      </c>
      <c r="J500">
        <f>-10.999*$J$471</f>
        <v>0</v>
      </c>
      <c r="K500">
        <f>14.665*$K$471</f>
        <v>0</v>
      </c>
      <c r="L500">
        <f>0.061*$L$471</f>
        <v>0</v>
      </c>
      <c r="M500">
        <f>0+D500+E500+G500+H500+I500+J500+K500+L500</f>
        <v>0</v>
      </c>
      <c r="N500">
        <f>0+D500+F500+G500+H500+I500+J500+K500+L500</f>
        <v>0</v>
      </c>
    </row>
    <row r="501" spans="3:14">
      <c r="C501" t="s">
        <v>29</v>
      </c>
      <c r="D501">
        <f>-92.144*$D$471</f>
        <v>0</v>
      </c>
      <c r="E501">
        <f>142.801*$E$471</f>
        <v>0</v>
      </c>
      <c r="F501">
        <f>-263.592*$F$471</f>
        <v>0</v>
      </c>
      <c r="G501">
        <f>-2.013*$G$471</f>
        <v>0</v>
      </c>
      <c r="H501">
        <f>0*$H$471</f>
        <v>0</v>
      </c>
      <c r="I501">
        <f>-13.394*$I$471</f>
        <v>0</v>
      </c>
      <c r="J501">
        <f>-24.846*$J$471</f>
        <v>0</v>
      </c>
      <c r="K501">
        <f>33.128*$K$471</f>
        <v>0</v>
      </c>
      <c r="L501">
        <f>0.053*$L$471</f>
        <v>0</v>
      </c>
      <c r="M501">
        <f>0+D501+E501+G501+H501+I501+J501+K501+L501</f>
        <v>0</v>
      </c>
      <c r="N501">
        <f>0+D501+F501+G501+H501+I501+J501+K501+L501</f>
        <v>0</v>
      </c>
    </row>
    <row r="502" spans="3:14">
      <c r="C502" t="s">
        <v>30</v>
      </c>
      <c r="D502">
        <f>-103.166*$D$471</f>
        <v>0</v>
      </c>
      <c r="E502">
        <f>129.894*$E$471</f>
        <v>0</v>
      </c>
      <c r="F502">
        <f>-266.507*$F$471</f>
        <v>0</v>
      </c>
      <c r="G502">
        <f>-2.455*$G$471</f>
        <v>0</v>
      </c>
      <c r="H502">
        <f>0*$H$471</f>
        <v>0</v>
      </c>
      <c r="I502">
        <f>-15.018*$I$471</f>
        <v>0</v>
      </c>
      <c r="J502">
        <f>-31.289*$J$471</f>
        <v>0</v>
      </c>
      <c r="K502">
        <f>41.718*$K$471</f>
        <v>0</v>
      </c>
      <c r="L502">
        <f>0.044*$L$471</f>
        <v>0</v>
      </c>
      <c r="M502">
        <f>0+D502+E502+G502+H502+I502+J502+K502+L502</f>
        <v>0</v>
      </c>
      <c r="N502">
        <f>0+D502+F502+G502+H502+I502+J502+K502+L502</f>
        <v>0</v>
      </c>
    </row>
    <row r="503" spans="3:14">
      <c r="C503" t="s">
        <v>30</v>
      </c>
      <c r="D503">
        <f>-100.747*$D$471</f>
        <v>0</v>
      </c>
      <c r="E503">
        <f>111.386*$E$471</f>
        <v>0</v>
      </c>
      <c r="F503">
        <f>-244.246*$F$471</f>
        <v>0</v>
      </c>
      <c r="G503">
        <f>-2.118*$G$471</f>
        <v>0</v>
      </c>
      <c r="H503">
        <f>0*$H$471</f>
        <v>0</v>
      </c>
      <c r="I503">
        <f>-14.647*$I$471</f>
        <v>0</v>
      </c>
      <c r="J503">
        <f>-26.924*$J$471</f>
        <v>0</v>
      </c>
      <c r="K503">
        <f>35.898*$K$471</f>
        <v>0</v>
      </c>
      <c r="L503">
        <f>0.049*$L$471</f>
        <v>0</v>
      </c>
      <c r="M503">
        <f>0+D503+E503+G503+H503+I503+J503+K503+L503</f>
        <v>0</v>
      </c>
      <c r="N503">
        <f>0+D503+F503+G503+H503+I503+J503+K503+L503</f>
        <v>0</v>
      </c>
    </row>
    <row r="504" spans="3:14">
      <c r="C504" t="s">
        <v>31</v>
      </c>
      <c r="D504">
        <f>-111.791*$D$471</f>
        <v>0</v>
      </c>
      <c r="E504">
        <f>98.445*$E$471</f>
        <v>0</v>
      </c>
      <c r="F504">
        <f>-243.206*$F$471</f>
        <v>0</v>
      </c>
      <c r="G504">
        <f>-4.754*$G$471</f>
        <v>0</v>
      </c>
      <c r="H504">
        <f>0*$H$471</f>
        <v>0</v>
      </c>
      <c r="I504">
        <f>-16.102*$I$471</f>
        <v>0</v>
      </c>
      <c r="J504">
        <f>-19.971*$J$471</f>
        <v>0</v>
      </c>
      <c r="K504">
        <f>26.628*$K$471</f>
        <v>0</v>
      </c>
      <c r="L504">
        <f>0.042*$L$471</f>
        <v>0</v>
      </c>
      <c r="M504">
        <f>0+D504+E504+G504+H504+I504+J504+K504+L504</f>
        <v>0</v>
      </c>
      <c r="N504">
        <f>0+D504+F504+G504+H504+I504+J504+K504+L504</f>
        <v>0</v>
      </c>
    </row>
    <row r="505" spans="3:14">
      <c r="C505" t="s">
        <v>31</v>
      </c>
      <c r="D505">
        <f>-85.482*$D$471</f>
        <v>0</v>
      </c>
      <c r="E505">
        <f>91.486*$E$471</f>
        <v>0</v>
      </c>
      <c r="F505">
        <f>-196.475*$F$471</f>
        <v>0</v>
      </c>
      <c r="G505">
        <f>-4.701*$G$471</f>
        <v>0</v>
      </c>
      <c r="H505">
        <f>0*$H$471</f>
        <v>0</v>
      </c>
      <c r="I505">
        <f>-12.217*$I$471</f>
        <v>0</v>
      </c>
      <c r="J505">
        <f>-4.51*$J$471</f>
        <v>0</v>
      </c>
      <c r="K505">
        <f>6.013*$K$471</f>
        <v>0</v>
      </c>
      <c r="L505">
        <f>0.037*$L$471</f>
        <v>0</v>
      </c>
      <c r="M505">
        <f>0+D505+E505+G505+H505+I505+J505+K505+L505</f>
        <v>0</v>
      </c>
      <c r="N505">
        <f>0+D505+F505+G505+H505+I505+J505+K505+L505</f>
        <v>0</v>
      </c>
    </row>
    <row r="506" spans="3:14">
      <c r="C506" t="s">
        <v>32</v>
      </c>
      <c r="D506">
        <f>-96.347*$D$471</f>
        <v>0</v>
      </c>
      <c r="E506">
        <f>74.65*$E$471</f>
        <v>0</v>
      </c>
      <c r="F506">
        <f>-190.964*$F$471</f>
        <v>0</v>
      </c>
      <c r="G506">
        <f>-8.447*$G$471</f>
        <v>0</v>
      </c>
      <c r="H506">
        <f>0*$H$471</f>
        <v>0</v>
      </c>
      <c r="I506">
        <f>-13.571*$I$471</f>
        <v>0</v>
      </c>
      <c r="J506">
        <f>8.511*$J$471</f>
        <v>0</v>
      </c>
      <c r="K506">
        <f>-11.348*$K$471</f>
        <v>0</v>
      </c>
      <c r="L506">
        <f>0.034*$L$471</f>
        <v>0</v>
      </c>
      <c r="M506">
        <f>0+D506+E506+G506+H506+I506+J506+K506+L506</f>
        <v>0</v>
      </c>
      <c r="N506">
        <f>0+D506+F506+G506+H506+I506+J506+K506+L506</f>
        <v>0</v>
      </c>
    </row>
    <row r="507" spans="3:14">
      <c r="C507" t="s">
        <v>32</v>
      </c>
      <c r="D507">
        <f>-77.977*$D$471</f>
        <v>0</v>
      </c>
      <c r="E507">
        <f>64.072*$E$471</f>
        <v>0</v>
      </c>
      <c r="F507">
        <f>-151.774*$F$471</f>
        <v>0</v>
      </c>
      <c r="G507">
        <f>-8.389*$G$471</f>
        <v>0</v>
      </c>
      <c r="H507">
        <f>0*$H$471</f>
        <v>0</v>
      </c>
      <c r="I507">
        <f>-10.85*$I$471</f>
        <v>0</v>
      </c>
      <c r="J507">
        <f>10.866*$J$471</f>
        <v>0</v>
      </c>
      <c r="K507">
        <f>-14.488*$K$471</f>
        <v>0</v>
      </c>
      <c r="L507">
        <f>0.03*$L$471</f>
        <v>0</v>
      </c>
      <c r="M507">
        <f>0+D507+E507+G507+H507+I507+J507+K507+L507</f>
        <v>0</v>
      </c>
      <c r="N507">
        <f>0+D507+F507+G507+H507+I507+J507+K507+L507</f>
        <v>0</v>
      </c>
    </row>
    <row r="508" spans="3:14">
      <c r="C508" t="s">
        <v>33</v>
      </c>
      <c r="D508">
        <f>-85.542*$D$471</f>
        <v>0</v>
      </c>
      <c r="E508">
        <f>48.107*$E$471</f>
        <v>0</v>
      </c>
      <c r="F508">
        <f>-146.415*$F$471</f>
        <v>0</v>
      </c>
      <c r="G508">
        <f>-10.383*$G$471</f>
        <v>0</v>
      </c>
      <c r="H508">
        <f>0*$H$471</f>
        <v>0</v>
      </c>
      <c r="I508">
        <f>-11.863*$I$471</f>
        <v>0</v>
      </c>
      <c r="J508">
        <f>5.11*$J$471</f>
        <v>0</v>
      </c>
      <c r="K508">
        <f>-6.814*$K$471</f>
        <v>0</v>
      </c>
      <c r="L508">
        <f>0.026*$L$471</f>
        <v>0</v>
      </c>
      <c r="M508">
        <f>0+D508+E508+G508+H508+I508+J508+K508+L508</f>
        <v>0</v>
      </c>
      <c r="N508">
        <f>0+D508+F508+G508+H508+I508+J508+K508+L508</f>
        <v>0</v>
      </c>
    </row>
    <row r="509" spans="3:14">
      <c r="C509" t="s">
        <v>33</v>
      </c>
      <c r="D509">
        <f>-66.702*$D$471</f>
        <v>0</v>
      </c>
      <c r="E509">
        <f>38.057*$E$471</f>
        <v>0</v>
      </c>
      <c r="F509">
        <f>-113.049*$F$471</f>
        <v>0</v>
      </c>
      <c r="G509">
        <f>-9.238*$G$471</f>
        <v>0</v>
      </c>
      <c r="H509">
        <f>0*$H$471</f>
        <v>0</v>
      </c>
      <c r="I509">
        <f>-9.168*$I$471</f>
        <v>0</v>
      </c>
      <c r="J509">
        <f>-13.248*$J$471</f>
        <v>0</v>
      </c>
      <c r="K509">
        <f>17.664*$K$471</f>
        <v>0</v>
      </c>
      <c r="L509">
        <f>0.021*$L$471</f>
        <v>0</v>
      </c>
      <c r="M509">
        <f>0+D509+E509+G509+H509+I509+J509+K509+L509</f>
        <v>0</v>
      </c>
      <c r="N509">
        <f>0+D509+F509+G509+H509+I509+J509+K509+L509</f>
        <v>0</v>
      </c>
    </row>
    <row r="510" spans="3:14">
      <c r="C510" t="s">
        <v>34</v>
      </c>
      <c r="D510">
        <f>-68.167*$D$471</f>
        <v>0</v>
      </c>
      <c r="E510">
        <f>23.348*$E$471</f>
        <v>0</v>
      </c>
      <c r="F510">
        <f>-103.893*$F$471</f>
        <v>0</v>
      </c>
      <c r="G510">
        <f>-9.215*$G$471</f>
        <v>0</v>
      </c>
      <c r="H510">
        <f>0*$H$471</f>
        <v>0</v>
      </c>
      <c r="I510">
        <f>-9.45*$I$471</f>
        <v>0</v>
      </c>
      <c r="J510">
        <f>-42.509*$J$471</f>
        <v>0</v>
      </c>
      <c r="K510">
        <f>56.678*$K$471</f>
        <v>0</v>
      </c>
      <c r="L510">
        <f>0.016*$L$471</f>
        <v>0</v>
      </c>
      <c r="M510">
        <f>0+D510+E510+G510+H510+I510+J510+K510+L510</f>
        <v>0</v>
      </c>
      <c r="N510">
        <f>0+D510+F510+G510+H510+I510+J510+K510+L510</f>
        <v>0</v>
      </c>
    </row>
    <row r="511" spans="3:14">
      <c r="C511" t="s">
        <v>34</v>
      </c>
      <c r="D511">
        <f>-22.228*$D$471</f>
        <v>0</v>
      </c>
      <c r="E511">
        <f>18.314*$E$471</f>
        <v>0</v>
      </c>
      <c r="F511">
        <f>-40.557*$F$471</f>
        <v>0</v>
      </c>
      <c r="G511">
        <f>-4.001*$G$471</f>
        <v>0</v>
      </c>
      <c r="H511">
        <f>0*$H$471</f>
        <v>0</v>
      </c>
      <c r="I511">
        <f>-2.956*$I$471</f>
        <v>0</v>
      </c>
      <c r="J511">
        <f>-80.445*$J$471</f>
        <v>0</v>
      </c>
      <c r="K511">
        <f>107.26*$K$471</f>
        <v>0</v>
      </c>
      <c r="L511">
        <f>0.007656*$L$471</f>
        <v>0</v>
      </c>
      <c r="M511">
        <f>0+D511+E511+G511+H511+I511+J511+K511+L511</f>
        <v>0</v>
      </c>
      <c r="N511">
        <f>0+D511+F511+G511+H511+I511+J511+K511+L511</f>
        <v>0</v>
      </c>
    </row>
    <row r="512" spans="3:14">
      <c r="C512" t="s">
        <v>35</v>
      </c>
      <c r="D512">
        <f>-19.908*$D$471</f>
        <v>0</v>
      </c>
      <c r="E512">
        <f>12.605*$E$471</f>
        <v>0</v>
      </c>
      <c r="F512">
        <f>-33.311*$F$471</f>
        <v>0</v>
      </c>
      <c r="G512">
        <f>-3.335*$G$471</f>
        <v>0</v>
      </c>
      <c r="H512">
        <f>0*$H$471</f>
        <v>0</v>
      </c>
      <c r="I512">
        <f>-2.713*$I$471</f>
        <v>0</v>
      </c>
      <c r="J512">
        <f>-108.088*$J$471</f>
        <v>0</v>
      </c>
      <c r="K512">
        <f>144.118*$K$471</f>
        <v>0</v>
      </c>
      <c r="L512">
        <f>0.002315*$L$471</f>
        <v>0</v>
      </c>
      <c r="M512">
        <f>0+D512+E512+G512+H512+I512+J512+K512+L512</f>
        <v>0</v>
      </c>
      <c r="N512">
        <f>0+D512+F512+G512+H512+I512+J512+K512+L512</f>
        <v>0</v>
      </c>
    </row>
    <row r="513" spans="3:14">
      <c r="C513" t="s">
        <v>35</v>
      </c>
      <c r="D513">
        <f>-17.981*$D$471</f>
        <v>0</v>
      </c>
      <c r="E513">
        <f>5.432*$E$471</f>
        <v>0</v>
      </c>
      <c r="F513">
        <f>-25.387*$F$471</f>
        <v>0</v>
      </c>
      <c r="G513">
        <f>-2.14*$G$471</f>
        <v>0</v>
      </c>
      <c r="H513">
        <f>0*$H$471</f>
        <v>0</v>
      </c>
      <c r="I513">
        <f>-2.544*$I$471</f>
        <v>0</v>
      </c>
      <c r="J513">
        <f>-131.116*$J$471</f>
        <v>0</v>
      </c>
      <c r="K513">
        <f>174.821*$K$471</f>
        <v>0</v>
      </c>
      <c r="L513">
        <f>0.005506*$L$471</f>
        <v>0</v>
      </c>
      <c r="M513">
        <f>0+D513+E513+G513+H513+I513+J513+K513+L513</f>
        <v>0</v>
      </c>
      <c r="N513">
        <f>0+D513+F513+G513+H513+I513+J513+K513+L513</f>
        <v>0</v>
      </c>
    </row>
    <row r="514" spans="3:14">
      <c r="C514" t="s">
        <v>36</v>
      </c>
      <c r="D514">
        <f>-17.981*$D$471</f>
        <v>0</v>
      </c>
      <c r="E514">
        <f>5.432*$E$471</f>
        <v>0</v>
      </c>
      <c r="F514">
        <f>-25.387*$F$471</f>
        <v>0</v>
      </c>
      <c r="G514">
        <f>-2.14*$G$471</f>
        <v>0</v>
      </c>
      <c r="H514">
        <f>0*$H$471</f>
        <v>0</v>
      </c>
      <c r="I514">
        <f>-2.544*$I$471</f>
        <v>0</v>
      </c>
      <c r="J514">
        <f>-131.116*$J$471</f>
        <v>0</v>
      </c>
      <c r="K514">
        <f>174.821*$K$471</f>
        <v>0</v>
      </c>
      <c r="L514">
        <f>0.005506*$L$471</f>
        <v>0</v>
      </c>
      <c r="M514">
        <f>0+D514+E514+G514+H514+I514+J514+K514+L514</f>
        <v>0</v>
      </c>
      <c r="N514">
        <f>0+D514+F514+G514+H514+I514+J514+K514+L514</f>
        <v>0</v>
      </c>
    </row>
    <row r="515" spans="3:14">
      <c r="C515" t="s">
        <v>36</v>
      </c>
      <c r="D515">
        <f>-19.75*$D$471</f>
        <v>0</v>
      </c>
      <c r="E515">
        <f>1.884*$E$471</f>
        <v>0</v>
      </c>
      <c r="F515">
        <f>-29.258*$F$471</f>
        <v>0</v>
      </c>
      <c r="G515">
        <f>-1.849*$G$471</f>
        <v>0</v>
      </c>
      <c r="H515">
        <f>0*$H$471</f>
        <v>0</v>
      </c>
      <c r="I515">
        <f>-2.814*$I$471</f>
        <v>0</v>
      </c>
      <c r="J515">
        <f>-127.97*$J$471</f>
        <v>0</v>
      </c>
      <c r="K515">
        <f>170.627*$K$471</f>
        <v>0</v>
      </c>
      <c r="L515">
        <f>-0.587*$L$471</f>
        <v>0</v>
      </c>
      <c r="M515">
        <f>0+D515+E515+G515+H515+I515+J515+K515+L515</f>
        <v>0</v>
      </c>
      <c r="N515">
        <f>0+D515+F515+G515+H515+I515+J515+K515+L515</f>
        <v>0</v>
      </c>
    </row>
    <row r="516" spans="3:14">
      <c r="C516" t="s">
        <v>37</v>
      </c>
      <c r="D516">
        <f>-19.75*$D$471</f>
        <v>0</v>
      </c>
      <c r="E516">
        <f>1.884*$E$471</f>
        <v>0</v>
      </c>
      <c r="F516">
        <f>-29.258*$F$471</f>
        <v>0</v>
      </c>
      <c r="G516">
        <f>-1.849*$G$471</f>
        <v>0</v>
      </c>
      <c r="H516">
        <f>0*$H$471</f>
        <v>0</v>
      </c>
      <c r="I516">
        <f>-2.814*$I$471</f>
        <v>0</v>
      </c>
      <c r="J516">
        <f>-127.97*$J$471</f>
        <v>0</v>
      </c>
      <c r="K516">
        <f>170.627*$K$471</f>
        <v>0</v>
      </c>
      <c r="L516">
        <f>-0.587*$L$471</f>
        <v>0</v>
      </c>
      <c r="M516">
        <f>0+D516+E516+G516+H516+I516+J516+K516+L516</f>
        <v>0</v>
      </c>
      <c r="N516">
        <f>0+D516+F516+G516+H516+I516+J516+K516+L516</f>
        <v>0</v>
      </c>
    </row>
    <row r="517" spans="3:14">
      <c r="C517" t="s">
        <v>37</v>
      </c>
      <c r="D517">
        <f>-2.179*$D$471</f>
        <v>0</v>
      </c>
      <c r="E517">
        <f>50.276*$E$471</f>
        <v>0</v>
      </c>
      <c r="F517">
        <f>-50.496*$F$471</f>
        <v>0</v>
      </c>
      <c r="G517">
        <f>-5.649*$G$471</f>
        <v>0</v>
      </c>
      <c r="H517">
        <f>0*$H$471</f>
        <v>0</v>
      </c>
      <c r="I517">
        <f>-0.018*$I$471</f>
        <v>0</v>
      </c>
      <c r="J517">
        <f>-136.494*$J$471</f>
        <v>0</v>
      </c>
      <c r="K517">
        <f>181.992*$K$471</f>
        <v>0</v>
      </c>
      <c r="L517">
        <f>3.868*$L$471</f>
        <v>0</v>
      </c>
      <c r="M517">
        <f>0+D517+E517+G517+H517+I517+J517+K517+L517</f>
        <v>0</v>
      </c>
      <c r="N517">
        <f>0+D517+F517+G517+H517+I517+J517+K517+L517</f>
        <v>0</v>
      </c>
    </row>
    <row r="518" spans="3:14">
      <c r="C518" t="s">
        <v>38</v>
      </c>
      <c r="D518">
        <f>-5.775*$D$471</f>
        <v>0</v>
      </c>
      <c r="E518">
        <f>45.531*$E$471</f>
        <v>0</v>
      </c>
      <c r="F518">
        <f>-49.755*$F$471</f>
        <v>0</v>
      </c>
      <c r="G518">
        <f>-6.337*$G$471</f>
        <v>0</v>
      </c>
      <c r="H518">
        <f>0*$H$471</f>
        <v>0</v>
      </c>
      <c r="I518">
        <f>-0.442*$I$471</f>
        <v>0</v>
      </c>
      <c r="J518">
        <f>-108.574*$J$471</f>
        <v>0</v>
      </c>
      <c r="K518">
        <f>144.765*$K$471</f>
        <v>0</v>
      </c>
      <c r="L518">
        <f>3.658*$L$471</f>
        <v>0</v>
      </c>
      <c r="M518">
        <f>0+D518+E518+G518+H518+I518+J518+K518+L518</f>
        <v>0</v>
      </c>
      <c r="N518">
        <f>0+D518+F518+G518+H518+I518+J518+K518+L518</f>
        <v>0</v>
      </c>
    </row>
    <row r="519" spans="3:14">
      <c r="C519" t="s">
        <v>38</v>
      </c>
      <c r="D519">
        <f>-52.524*$D$471</f>
        <v>0</v>
      </c>
      <c r="E519">
        <f>25.575*$E$471</f>
        <v>0</v>
      </c>
      <c r="F519">
        <f>-95.432*$F$471</f>
        <v>0</v>
      </c>
      <c r="G519">
        <f>-11.397*$G$471</f>
        <v>0</v>
      </c>
      <c r="H519">
        <f>0*$H$471</f>
        <v>0</v>
      </c>
      <c r="I519">
        <f>-7.053*$I$471</f>
        <v>0</v>
      </c>
      <c r="J519">
        <f>-69.545*$J$471</f>
        <v>0</v>
      </c>
      <c r="K519">
        <f>92.726*$K$471</f>
        <v>0</v>
      </c>
      <c r="L519">
        <f>3.192*$L$471</f>
        <v>0</v>
      </c>
      <c r="M519">
        <f>0+D519+E519+G519+H519+I519+J519+K519+L519</f>
        <v>0</v>
      </c>
      <c r="N519">
        <f>0+D519+F519+G519+H519+I519+J519+K519+L519</f>
        <v>0</v>
      </c>
    </row>
    <row r="520" spans="3:14">
      <c r="C520" t="s">
        <v>39</v>
      </c>
      <c r="D520">
        <f>-52.764*$D$471</f>
        <v>0</v>
      </c>
      <c r="E520">
        <f>27.853*$E$471</f>
        <v>0</v>
      </c>
      <c r="F520">
        <f>-97.709*$F$471</f>
        <v>0</v>
      </c>
      <c r="G520">
        <f>-11.494*$G$471</f>
        <v>0</v>
      </c>
      <c r="H520">
        <f>0*$H$471</f>
        <v>0</v>
      </c>
      <c r="I520">
        <f>-7.011*$I$471</f>
        <v>0</v>
      </c>
      <c r="J520">
        <f>-40.294*$J$471</f>
        <v>0</v>
      </c>
      <c r="K520">
        <f>53.726*$K$471</f>
        <v>0</v>
      </c>
      <c r="L520">
        <f>2.942*$L$471</f>
        <v>0</v>
      </c>
      <c r="M520">
        <f>0+D520+E520+G520+H520+I520+J520+K520+L520</f>
        <v>0</v>
      </c>
      <c r="N520">
        <f>0+D520+F520+G520+H520+I520+J520+K520+L520</f>
        <v>0</v>
      </c>
    </row>
    <row r="521" spans="3:14">
      <c r="C521" t="s">
        <v>39</v>
      </c>
      <c r="D521">
        <f>-72.861*$D$471</f>
        <v>0</v>
      </c>
      <c r="E521">
        <f>26.588*$E$471</f>
        <v>0</v>
      </c>
      <c r="F521">
        <f>-123.021*$F$471</f>
        <v>0</v>
      </c>
      <c r="G521">
        <f>-12.624*$G$471</f>
        <v>0</v>
      </c>
      <c r="H521">
        <f>0*$H$471</f>
        <v>0</v>
      </c>
      <c r="I521">
        <f>-9.882*$I$471</f>
        <v>0</v>
      </c>
      <c r="J521">
        <f>-21.66*$J$471</f>
        <v>0</v>
      </c>
      <c r="K521">
        <f>28.88*$K$471</f>
        <v>0</v>
      </c>
      <c r="L521">
        <f>2.614*$L$471</f>
        <v>0</v>
      </c>
      <c r="M521">
        <f>0+D521+E521+G521+H521+I521+J521+K521+L521</f>
        <v>0</v>
      </c>
      <c r="N521">
        <f>0+D521+F521+G521+H521+I521+J521+K521+L521</f>
        <v>0</v>
      </c>
    </row>
    <row r="522" spans="3:14">
      <c r="C522" t="s">
        <v>40</v>
      </c>
      <c r="D522">
        <f>-67.316*$D$471</f>
        <v>0</v>
      </c>
      <c r="E522">
        <f>32.819*$E$471</f>
        <v>0</v>
      </c>
      <c r="F522">
        <f>-121.768*$F$471</f>
        <v>0</v>
      </c>
      <c r="G522">
        <f>-10.713*$G$471</f>
        <v>0</v>
      </c>
      <c r="H522">
        <f>0*$H$471</f>
        <v>0</v>
      </c>
      <c r="I522">
        <f>-9.153*$I$471</f>
        <v>0</v>
      </c>
      <c r="J522">
        <f>-15.864*$J$471</f>
        <v>0</v>
      </c>
      <c r="K522">
        <f>21.151*$K$471</f>
        <v>0</v>
      </c>
      <c r="L522">
        <f>2.267*$L$471</f>
        <v>0</v>
      </c>
      <c r="M522">
        <f>0+D522+E522+G522+H522+I522+J522+K522+L522</f>
        <v>0</v>
      </c>
      <c r="N522">
        <f>0+D522+F522+G522+H522+I522+J522+K522+L522</f>
        <v>0</v>
      </c>
    </row>
    <row r="523" spans="3:14">
      <c r="C523" t="s">
        <v>40</v>
      </c>
      <c r="D523">
        <f>-86.792*$D$471</f>
        <v>0</v>
      </c>
      <c r="E523">
        <f>36.432*$E$471</f>
        <v>0</v>
      </c>
      <c r="F523">
        <f>-154.02*$F$471</f>
        <v>0</v>
      </c>
      <c r="G523">
        <f>-10.774*$G$471</f>
        <v>0</v>
      </c>
      <c r="H523">
        <f>0*$H$471</f>
        <v>0</v>
      </c>
      <c r="I523">
        <f>-12.026*$I$471</f>
        <v>0</v>
      </c>
      <c r="J523">
        <f>-18.232*$J$471</f>
        <v>0</v>
      </c>
      <c r="K523">
        <f>24.31*$K$471</f>
        <v>0</v>
      </c>
      <c r="L523">
        <f>1.884*$L$471</f>
        <v>0</v>
      </c>
      <c r="M523">
        <f>0+D523+E523+G523+H523+I523+J523+K523+L523</f>
        <v>0</v>
      </c>
      <c r="N523">
        <f>0+D523+F523+G523+H523+I523+J523+K523+L523</f>
        <v>0</v>
      </c>
    </row>
    <row r="524" spans="3:14">
      <c r="C524" t="s">
        <v>41</v>
      </c>
      <c r="D524">
        <f>-78.037*$D$471</f>
        <v>0</v>
      </c>
      <c r="E524">
        <f>44.166*$E$471</f>
        <v>0</v>
      </c>
      <c r="F524">
        <f>-152.328*$F$471</f>
        <v>0</v>
      </c>
      <c r="G524">
        <f>-7.14*$G$471</f>
        <v>0</v>
      </c>
      <c r="H524">
        <f>0*$H$471</f>
        <v>0</v>
      </c>
      <c r="I524">
        <f>-10.967*$I$471</f>
        <v>0</v>
      </c>
      <c r="J524">
        <f>-31.426*$J$471</f>
        <v>0</v>
      </c>
      <c r="K524">
        <f>41.901*$K$471</f>
        <v>0</v>
      </c>
      <c r="L524">
        <f>1.436*$L$471</f>
        <v>0</v>
      </c>
      <c r="M524">
        <f>0+D524+E524+G524+H524+I524+J524+K524+L524</f>
        <v>0</v>
      </c>
      <c r="N524">
        <f>0+D524+F524+G524+H524+I524+J524+K524+L524</f>
        <v>0</v>
      </c>
    </row>
    <row r="525" spans="3:14">
      <c r="C525" t="s">
        <v>41</v>
      </c>
      <c r="D525">
        <f>-104.858*$D$471</f>
        <v>0</v>
      </c>
      <c r="E525">
        <f>45.343*$E$471</f>
        <v>0</v>
      </c>
      <c r="F525">
        <f>-190.395*$F$471</f>
        <v>0</v>
      </c>
      <c r="G525">
        <f>-7.16*$G$471</f>
        <v>0</v>
      </c>
      <c r="H525">
        <f>0*$H$471</f>
        <v>0</v>
      </c>
      <c r="I525">
        <f>-14.918*$I$471</f>
        <v>0</v>
      </c>
      <c r="J525">
        <f>-47.05*$J$471</f>
        <v>0</v>
      </c>
      <c r="K525">
        <f>62.733*$K$471</f>
        <v>0</v>
      </c>
      <c r="L525">
        <f>0.945*$L$471</f>
        <v>0</v>
      </c>
      <c r="M525">
        <f>0+D525+E525+G525+H525+I525+J525+K525+L525</f>
        <v>0</v>
      </c>
      <c r="N525">
        <f>0+D525+F525+G525+H525+I525+J525+K525+L525</f>
        <v>0</v>
      </c>
    </row>
    <row r="526" spans="3:14">
      <c r="C526" t="s">
        <v>42</v>
      </c>
      <c r="D526">
        <f>-96.15*$D$471</f>
        <v>0</v>
      </c>
      <c r="E526">
        <f>48.138*$E$471</f>
        <v>0</v>
      </c>
      <c r="F526">
        <f>-183.589*$F$471</f>
        <v>0</v>
      </c>
      <c r="G526">
        <f>-4.624*$G$471</f>
        <v>0</v>
      </c>
      <c r="H526">
        <f>0*$H$471</f>
        <v>0</v>
      </c>
      <c r="I526">
        <f>-13.791*$I$471</f>
        <v>0</v>
      </c>
      <c r="J526">
        <f>-53.977*$J$471</f>
        <v>0</v>
      </c>
      <c r="K526">
        <f>71.969*$K$471</f>
        <v>0</v>
      </c>
      <c r="L526">
        <f>0.361*$L$471</f>
        <v>0</v>
      </c>
      <c r="M526">
        <f>0+D526+E526+G526+H526+I526+J526+K526+L526</f>
        <v>0</v>
      </c>
      <c r="N526">
        <f>0+D526+F526+G526+H526+I526+J526+K526+L526</f>
        <v>0</v>
      </c>
    </row>
    <row r="527" spans="3:14">
      <c r="C527" t="s">
        <v>42</v>
      </c>
      <c r="D527">
        <f>-100.158*$D$471</f>
        <v>0</v>
      </c>
      <c r="E527">
        <f>57.891*$E$471</f>
        <v>0</v>
      </c>
      <c r="F527">
        <f>-198.34*$F$471</f>
        <v>0</v>
      </c>
      <c r="G527">
        <f>-4.976*$G$471</f>
        <v>0</v>
      </c>
      <c r="H527">
        <f>0*$H$471</f>
        <v>0</v>
      </c>
      <c r="I527">
        <f>-14.383*$I$471</f>
        <v>0</v>
      </c>
      <c r="J527">
        <f>-58.205*$J$471</f>
        <v>0</v>
      </c>
      <c r="K527">
        <f>77.607*$K$471</f>
        <v>0</v>
      </c>
      <c r="L527">
        <f>0.171*$L$471</f>
        <v>0</v>
      </c>
      <c r="M527">
        <f>0+D527+E527+G527+H527+I527+J527+K527+L527</f>
        <v>0</v>
      </c>
      <c r="N527">
        <f>0+D527+F527+G527+H527+I527+J527+K527+L527</f>
        <v>0</v>
      </c>
    </row>
    <row r="528" spans="3:14">
      <c r="C528" t="s">
        <v>43</v>
      </c>
      <c r="D528">
        <f>-91.926*$D$471</f>
        <v>0</v>
      </c>
      <c r="E528">
        <f>57.352*$E$471</f>
        <v>0</v>
      </c>
      <c r="F528">
        <f>-186.257*$F$471</f>
        <v>0</v>
      </c>
      <c r="G528">
        <f>-4.614*$G$471</f>
        <v>0</v>
      </c>
      <c r="H528">
        <f>0*$H$471</f>
        <v>0</v>
      </c>
      <c r="I528">
        <f>-13.152*$I$471</f>
        <v>0</v>
      </c>
      <c r="J528">
        <f>-51.377*$J$471</f>
        <v>0</v>
      </c>
      <c r="K528">
        <f>68.502*$K$471</f>
        <v>0</v>
      </c>
      <c r="L528">
        <f>-0.492*$L$471</f>
        <v>0</v>
      </c>
      <c r="M528">
        <f>0+D528+E528+G528+H528+I528+J528+K528+L528</f>
        <v>0</v>
      </c>
      <c r="N528">
        <f>0+D528+F528+G528+H528+I528+J528+K528+L528</f>
        <v>0</v>
      </c>
    </row>
    <row r="529" spans="3:14">
      <c r="C529" t="s">
        <v>43</v>
      </c>
      <c r="D529">
        <f>-101.456*$D$471</f>
        <v>0</v>
      </c>
      <c r="E529">
        <f>53.138*$E$471</f>
        <v>0</v>
      </c>
      <c r="F529">
        <f>-191.682*$F$471</f>
        <v>0</v>
      </c>
      <c r="G529">
        <f>-6.95*$G$471</f>
        <v>0</v>
      </c>
      <c r="H529">
        <f>0*$H$471</f>
        <v>0</v>
      </c>
      <c r="I529">
        <f>-14.437*$I$471</f>
        <v>0</v>
      </c>
      <c r="J529">
        <f>-36.858*$J$471</f>
        <v>0</v>
      </c>
      <c r="K529">
        <f>49.144*$K$471</f>
        <v>0</v>
      </c>
      <c r="L529">
        <f>-1.09*$L$471</f>
        <v>0</v>
      </c>
      <c r="M529">
        <f>0+D529+E529+G529+H529+I529+J529+K529+L529</f>
        <v>0</v>
      </c>
      <c r="N529">
        <f>0+D529+F529+G529+H529+I529+J529+K529+L529</f>
        <v>0</v>
      </c>
    </row>
    <row r="530" spans="3:14">
      <c r="C530" t="s">
        <v>44</v>
      </c>
      <c r="D530">
        <f>-94.59*$D$471</f>
        <v>0</v>
      </c>
      <c r="E530">
        <f>53.871*$E$471</f>
        <v>0</v>
      </c>
      <c r="F530">
        <f>-180.933*$F$471</f>
        <v>0</v>
      </c>
      <c r="G530">
        <f>-7.771*$G$471</f>
        <v>0</v>
      </c>
      <c r="H530">
        <f>0*$H$471</f>
        <v>0</v>
      </c>
      <c r="I530">
        <f>-13.332*$I$471</f>
        <v>0</v>
      </c>
      <c r="J530">
        <f>-23.767*$J$471</f>
        <v>0</v>
      </c>
      <c r="K530">
        <f>31.69*$K$471</f>
        <v>0</v>
      </c>
      <c r="L530">
        <f>-1.679*$L$471</f>
        <v>0</v>
      </c>
      <c r="M530">
        <f>0+D530+E530+G530+H530+I530+J530+K530+L530</f>
        <v>0</v>
      </c>
      <c r="N530">
        <f>0+D530+F530+G530+H530+I530+J530+K530+L530</f>
        <v>0</v>
      </c>
    </row>
    <row r="531" spans="3:14">
      <c r="C531" t="s">
        <v>44</v>
      </c>
      <c r="D531">
        <f>-108.281*$D$471</f>
        <v>0</v>
      </c>
      <c r="E531">
        <f>53.019*$E$471</f>
        <v>0</v>
      </c>
      <c r="F531">
        <f>-194.51*$F$471</f>
        <v>0</v>
      </c>
      <c r="G531">
        <f>-9.651*$G$471</f>
        <v>0</v>
      </c>
      <c r="H531">
        <f>0*$H$471</f>
        <v>0</v>
      </c>
      <c r="I531">
        <f>-15.262*$I$471</f>
        <v>0</v>
      </c>
      <c r="J531">
        <f>-17.231*$J$471</f>
        <v>0</v>
      </c>
      <c r="K531">
        <f>22.975*$K$471</f>
        <v>0</v>
      </c>
      <c r="L531">
        <f>-2.097*$L$471</f>
        <v>0</v>
      </c>
      <c r="M531">
        <f>0+D531+E531+G531+H531+I531+J531+K531+L531</f>
        <v>0</v>
      </c>
      <c r="N531">
        <f>0+D531+F531+G531+H531+I531+J531+K531+L531</f>
        <v>0</v>
      </c>
    </row>
    <row r="532" spans="3:14">
      <c r="C532" t="s">
        <v>45</v>
      </c>
      <c r="D532">
        <f>-103.556*$D$471</f>
        <v>0</v>
      </c>
      <c r="E532">
        <f>54.901*$E$471</f>
        <v>0</v>
      </c>
      <c r="F532">
        <f>-190.095*$F$471</f>
        <v>0</v>
      </c>
      <c r="G532">
        <f>-8.64*$G$471</f>
        <v>0</v>
      </c>
      <c r="H532">
        <f>0*$H$471</f>
        <v>0</v>
      </c>
      <c r="I532">
        <f>-14.616*$I$471</f>
        <v>0</v>
      </c>
      <c r="J532">
        <f>-17.491*$J$471</f>
        <v>0</v>
      </c>
      <c r="K532">
        <f>23.322*$K$471</f>
        <v>0</v>
      </c>
      <c r="L532">
        <f>-2.769*$L$471</f>
        <v>0</v>
      </c>
      <c r="M532">
        <f>0+D532+E532+G532+H532+I532+J532+K532+L532</f>
        <v>0</v>
      </c>
      <c r="N532">
        <f>0+D532+F532+G532+H532+I532+J532+K532+L532</f>
        <v>0</v>
      </c>
    </row>
    <row r="533" spans="3:14">
      <c r="C533" t="s">
        <v>45</v>
      </c>
      <c r="D533">
        <f>-106.117*$D$471</f>
        <v>0</v>
      </c>
      <c r="E533">
        <f>56.574*$E$471</f>
        <v>0</v>
      </c>
      <c r="F533">
        <f>-193.999*$F$471</f>
        <v>0</v>
      </c>
      <c r="G533">
        <f>-7.209*$G$471</f>
        <v>0</v>
      </c>
      <c r="H533">
        <f>0*$H$471</f>
        <v>0</v>
      </c>
      <c r="I533">
        <f>-15.06*$I$471</f>
        <v>0</v>
      </c>
      <c r="J533">
        <f>-23.767*$J$471</f>
        <v>0</v>
      </c>
      <c r="K533">
        <f>31.689*$K$471</f>
        <v>0</v>
      </c>
      <c r="L533">
        <f>-3.416*$L$471</f>
        <v>0</v>
      </c>
      <c r="M533">
        <f>0+D533+E533+G533+H533+I533+J533+K533+L533</f>
        <v>0</v>
      </c>
      <c r="N533">
        <f>0+D533+F533+G533+H533+I533+J533+K533+L533</f>
        <v>0</v>
      </c>
    </row>
    <row r="534" spans="3:14">
      <c r="C534" t="s">
        <v>46</v>
      </c>
      <c r="D534">
        <f>-104.297*$D$471</f>
        <v>0</v>
      </c>
      <c r="E534">
        <f>59.817*$E$471</f>
        <v>0</v>
      </c>
      <c r="F534">
        <f>-196.759*$F$471</f>
        <v>0</v>
      </c>
      <c r="G534">
        <f>-4.306*$G$471</f>
        <v>0</v>
      </c>
      <c r="H534">
        <f>0*$H$471</f>
        <v>0</v>
      </c>
      <c r="I534">
        <f>-14.986*$I$471</f>
        <v>0</v>
      </c>
      <c r="J534">
        <f>-36.194*$J$471</f>
        <v>0</v>
      </c>
      <c r="K534">
        <f>48.259*$K$471</f>
        <v>0</v>
      </c>
      <c r="L534">
        <f>-4.136*$L$471</f>
        <v>0</v>
      </c>
      <c r="M534">
        <f>0+D534+E534+G534+H534+I534+J534+K534+L534</f>
        <v>0</v>
      </c>
      <c r="N534">
        <f>0+D534+F534+G534+H534+I534+J534+K534+L534</f>
        <v>0</v>
      </c>
    </row>
    <row r="535" spans="3:14">
      <c r="C535" t="s">
        <v>46</v>
      </c>
      <c r="D535">
        <f>-109.311*$D$471</f>
        <v>0</v>
      </c>
      <c r="E535">
        <f>62.115*$E$471</f>
        <v>0</v>
      </c>
      <c r="F535">
        <f>-208.695*$F$471</f>
        <v>0</v>
      </c>
      <c r="G535">
        <f>-2.063*$G$471</f>
        <v>0</v>
      </c>
      <c r="H535">
        <f>0*$H$471</f>
        <v>0</v>
      </c>
      <c r="I535">
        <f>-15.837*$I$471</f>
        <v>0</v>
      </c>
      <c r="J535">
        <f>-49.088*$J$471</f>
        <v>0</v>
      </c>
      <c r="K535">
        <f>65.451*$K$471</f>
        <v>0</v>
      </c>
      <c r="L535">
        <f>-4.87*$L$471</f>
        <v>0</v>
      </c>
      <c r="M535">
        <f>0+D535+E535+G535+H535+I535+J535+K535+L535</f>
        <v>0</v>
      </c>
      <c r="N535">
        <f>0+D535+F535+G535+H535+I535+J535+K535+L535</f>
        <v>0</v>
      </c>
    </row>
    <row r="536" spans="3:14">
      <c r="C536" t="s">
        <v>47</v>
      </c>
      <c r="D536">
        <f>-108.837*$D$471</f>
        <v>0</v>
      </c>
      <c r="E536">
        <f>63.694*$E$471</f>
        <v>0</v>
      </c>
      <c r="F536">
        <f>-211.75*$F$471</f>
        <v>0</v>
      </c>
      <c r="G536">
        <f>-0.475*$G$471</f>
        <v>0</v>
      </c>
      <c r="H536">
        <f>0*$H$471</f>
        <v>0</v>
      </c>
      <c r="I536">
        <f>-15.879*$I$471</f>
        <v>0</v>
      </c>
      <c r="J536">
        <f>-55.595*$J$471</f>
        <v>0</v>
      </c>
      <c r="K536">
        <f>74.127*$K$471</f>
        <v>0</v>
      </c>
      <c r="L536">
        <f>-5.738*$L$471</f>
        <v>0</v>
      </c>
      <c r="M536">
        <f>0+D536+E536+G536+H536+I536+J536+K536+L536</f>
        <v>0</v>
      </c>
      <c r="N536">
        <f>0+D536+F536+G536+H536+I536+J536+K536+L536</f>
        <v>0</v>
      </c>
    </row>
    <row r="537" spans="3:14">
      <c r="C537" t="s">
        <v>47</v>
      </c>
      <c r="D537">
        <f>-108.677*$D$471</f>
        <v>0</v>
      </c>
      <c r="E537">
        <f>64.081*$E$471</f>
        <v>0</v>
      </c>
      <c r="F537">
        <f>-209.774*$F$471</f>
        <v>0</v>
      </c>
      <c r="G537">
        <f>-0.401*$G$471</f>
        <v>0</v>
      </c>
      <c r="H537">
        <f>0*$H$471</f>
        <v>0</v>
      </c>
      <c r="I537">
        <f>-15.859*$I$471</f>
        <v>0</v>
      </c>
      <c r="J537">
        <f>-55.196*$J$471</f>
        <v>0</v>
      </c>
      <c r="K537">
        <f>73.594*$K$471</f>
        <v>0</v>
      </c>
      <c r="L537">
        <f>-6.183*$L$471</f>
        <v>0</v>
      </c>
      <c r="M537">
        <f>0+D537+E537+G537+H537+I537+J537+K537+L537</f>
        <v>0</v>
      </c>
      <c r="N537">
        <f>0+D537+F537+G537+H537+I537+J537+K537+L537</f>
        <v>0</v>
      </c>
    </row>
    <row r="538" spans="3:14">
      <c r="C538" t="s">
        <v>48</v>
      </c>
      <c r="D538">
        <f>-109.008*$D$471</f>
        <v>0</v>
      </c>
      <c r="E538">
        <f>61.552*$E$471</f>
        <v>0</v>
      </c>
      <c r="F538">
        <f>-206.808*$F$471</f>
        <v>0</v>
      </c>
      <c r="G538">
        <f>-1.813*$G$471</f>
        <v>0</v>
      </c>
      <c r="H538">
        <f>0*$H$471</f>
        <v>0</v>
      </c>
      <c r="I538">
        <f>-15.803*$I$471</f>
        <v>0</v>
      </c>
      <c r="J538">
        <f>-47.567*$J$471</f>
        <v>0</v>
      </c>
      <c r="K538">
        <f>63.423*$K$471</f>
        <v>0</v>
      </c>
      <c r="L538">
        <f>-7.113*$L$471</f>
        <v>0</v>
      </c>
      <c r="M538">
        <f>0+D538+E538+G538+H538+I538+J538+K538+L538</f>
        <v>0</v>
      </c>
      <c r="N538">
        <f>0+D538+F538+G538+H538+I538+J538+K538+L538</f>
        <v>0</v>
      </c>
    </row>
    <row r="539" spans="3:14">
      <c r="C539" t="s">
        <v>48</v>
      </c>
      <c r="D539">
        <f>-103.896*$D$471</f>
        <v>0</v>
      </c>
      <c r="E539">
        <f>58.364*$E$471</f>
        <v>0</v>
      </c>
      <c r="F539">
        <f>-193.07*$F$471</f>
        <v>0</v>
      </c>
      <c r="G539">
        <f>-3.882*$G$471</f>
        <v>0</v>
      </c>
      <c r="H539">
        <f>0*$H$471</f>
        <v>0</v>
      </c>
      <c r="I539">
        <f>-14.945*$I$471</f>
        <v>0</v>
      </c>
      <c r="J539">
        <f>-33.541*$J$471</f>
        <v>0</v>
      </c>
      <c r="K539">
        <f>44.721*$K$471</f>
        <v>0</v>
      </c>
      <c r="L539">
        <f>-7.893*$L$471</f>
        <v>0</v>
      </c>
      <c r="M539">
        <f>0+D539+E539+G539+H539+I539+J539+K539+L539</f>
        <v>0</v>
      </c>
      <c r="N539">
        <f>0+D539+F539+G539+H539+I539+J539+K539+L539</f>
        <v>0</v>
      </c>
    </row>
    <row r="540" spans="3:14">
      <c r="C540" t="s">
        <v>49</v>
      </c>
      <c r="D540">
        <f>-105.643*$D$471</f>
        <v>0</v>
      </c>
      <c r="E540">
        <f>53.736*$E$471</f>
        <v>0</v>
      </c>
      <c r="F540">
        <f>-189.506*$F$471</f>
        <v>0</v>
      </c>
      <c r="G540">
        <f>-6.604*$G$471</f>
        <v>0</v>
      </c>
      <c r="H540">
        <f>0*$H$471</f>
        <v>0</v>
      </c>
      <c r="I540">
        <f>-15.015*$I$471</f>
        <v>0</v>
      </c>
      <c r="J540">
        <f>-19.915*$J$471</f>
        <v>0</v>
      </c>
      <c r="K540">
        <f>26.554*$K$471</f>
        <v>0</v>
      </c>
      <c r="L540">
        <f>-8.678*$L$471</f>
        <v>0</v>
      </c>
      <c r="M540">
        <f>0+D540+E540+G540+H540+I540+J540+K540+L540</f>
        <v>0</v>
      </c>
      <c r="N540">
        <f>0+D540+F540+G540+H540+I540+J540+K540+L540</f>
        <v>0</v>
      </c>
    </row>
    <row r="541" spans="3:14">
      <c r="C541" t="s">
        <v>49</v>
      </c>
      <c r="D541">
        <f>-103.213*$D$471</f>
        <v>0</v>
      </c>
      <c r="E541">
        <f>51.458*$E$471</f>
        <v>0</v>
      </c>
      <c r="F541">
        <f>-185.073*$F$471</f>
        <v>0</v>
      </c>
      <c r="G541">
        <f>-7.856*$G$471</f>
        <v>0</v>
      </c>
      <c r="H541">
        <f>0*$H$471</f>
        <v>0</v>
      </c>
      <c r="I541">
        <f>-14.597*$I$471</f>
        <v>0</v>
      </c>
      <c r="J541">
        <f>-12.312*$J$471</f>
        <v>0</v>
      </c>
      <c r="K541">
        <f>16.416*$K$471</f>
        <v>0</v>
      </c>
      <c r="L541">
        <f>-9.227*$L$471</f>
        <v>0</v>
      </c>
      <c r="M541">
        <f>0+D541+E541+G541+H541+I541+J541+K541+L541</f>
        <v>0</v>
      </c>
      <c r="N541">
        <f>0+D541+F541+G541+H541+I541+J541+K541+L541</f>
        <v>0</v>
      </c>
    </row>
    <row r="542" spans="3:14">
      <c r="C542" t="s">
        <v>50</v>
      </c>
      <c r="D542">
        <f>-108.234*$D$471</f>
        <v>0</v>
      </c>
      <c r="E542">
        <f>48.595*$E$471</f>
        <v>0</v>
      </c>
      <c r="F542">
        <f>-189.314*$F$471</f>
        <v>0</v>
      </c>
      <c r="G542">
        <f>-8.681*$G$471</f>
        <v>0</v>
      </c>
      <c r="H542">
        <f>0*$H$471</f>
        <v>0</v>
      </c>
      <c r="I542">
        <f>-15.294*$I$471</f>
        <v>0</v>
      </c>
      <c r="J542">
        <f>-10.563*$J$471</f>
        <v>0</v>
      </c>
      <c r="K542">
        <f>14.084*$K$471</f>
        <v>0</v>
      </c>
      <c r="L542">
        <f>-9.724*$L$471</f>
        <v>0</v>
      </c>
      <c r="M542">
        <f>0+D542+E542+G542+H542+I542+J542+K542+L542</f>
        <v>0</v>
      </c>
      <c r="N542">
        <f>0+D542+F542+G542+H542+I542+J542+K542+L542</f>
        <v>0</v>
      </c>
    </row>
    <row r="543" spans="3:14">
      <c r="C543" t="s">
        <v>50</v>
      </c>
      <c r="D543">
        <f>-95.189*$D$471</f>
        <v>0</v>
      </c>
      <c r="E543">
        <f>49.683*$E$471</f>
        <v>0</v>
      </c>
      <c r="F543">
        <f>-176.186*$F$471</f>
        <v>0</v>
      </c>
      <c r="G543">
        <f>-6.647*$G$471</f>
        <v>0</v>
      </c>
      <c r="H543">
        <f>0*$H$471</f>
        <v>0</v>
      </c>
      <c r="I543">
        <f>-13.464*$I$471</f>
        <v>0</v>
      </c>
      <c r="J543">
        <f>-15.586*$J$471</f>
        <v>0</v>
      </c>
      <c r="K543">
        <f>20.781*$K$471</f>
        <v>0</v>
      </c>
      <c r="L543">
        <f>-9.723*$L$471</f>
        <v>0</v>
      </c>
      <c r="M543">
        <f>0+D543+E543+G543+H543+I543+J543+K543+L543</f>
        <v>0</v>
      </c>
      <c r="N543">
        <f>0+D543+F543+G543+H543+I543+J543+K543+L543</f>
        <v>0</v>
      </c>
    </row>
    <row r="544" spans="3:14">
      <c r="C544" t="s">
        <v>51</v>
      </c>
      <c r="D544">
        <f>-102.95*$D$471</f>
        <v>0</v>
      </c>
      <c r="E544">
        <f>48.981*$E$471</f>
        <v>0</v>
      </c>
      <c r="F544">
        <f>-187.526*$F$471</f>
        <v>0</v>
      </c>
      <c r="G544">
        <f>-5.636*$G$471</f>
        <v>0</v>
      </c>
      <c r="H544">
        <f>0*$H$471</f>
        <v>0</v>
      </c>
      <c r="I544">
        <f>-14.708*$I$471</f>
        <v>0</v>
      </c>
      <c r="J544">
        <f>-26.749*$J$471</f>
        <v>0</v>
      </c>
      <c r="K544">
        <f>35.665*$K$471</f>
        <v>0</v>
      </c>
      <c r="L544">
        <f>-9.718*$L$471</f>
        <v>0</v>
      </c>
      <c r="M544">
        <f>0+D544+E544+G544+H544+I544+J544+K544+L544</f>
        <v>0</v>
      </c>
      <c r="N544">
        <f>0+D544+F544+G544+H544+I544+J544+K544+L544</f>
        <v>0</v>
      </c>
    </row>
    <row r="545" spans="3:14">
      <c r="C545" t="s">
        <v>51</v>
      </c>
      <c r="D545">
        <f>-94.48*$D$471</f>
        <v>0</v>
      </c>
      <c r="E545">
        <f>53.833*$E$471</f>
        <v>0</v>
      </c>
      <c r="F545">
        <f>-182.217*$F$471</f>
        <v>0</v>
      </c>
      <c r="G545">
        <f>-3.127*$G$471</f>
        <v>0</v>
      </c>
      <c r="H545">
        <f>0*$H$471</f>
        <v>0</v>
      </c>
      <c r="I545">
        <f>-13.586*$I$471</f>
        <v>0</v>
      </c>
      <c r="J545">
        <f>-39.346*$J$471</f>
        <v>0</v>
      </c>
      <c r="K545">
        <f>52.462*$K$471</f>
        <v>0</v>
      </c>
      <c r="L545">
        <f>-9.549*$L$471</f>
        <v>0</v>
      </c>
      <c r="M545">
        <f>0+D545+E545+G545+H545+I545+J545+K545+L545</f>
        <v>0</v>
      </c>
      <c r="N545">
        <f>0+D545+F545+G545+H545+I545+J545+K545+L545</f>
        <v>0</v>
      </c>
    </row>
    <row r="546" spans="3:14">
      <c r="C546" t="s">
        <v>52</v>
      </c>
      <c r="D546">
        <f>-103.572*$D$471</f>
        <v>0</v>
      </c>
      <c r="E546">
        <f>54.32*$E$471</f>
        <v>0</v>
      </c>
      <c r="F546">
        <f>-194.964*$F$471</f>
        <v>0</v>
      </c>
      <c r="G546">
        <f>-3.3*$G$471</f>
        <v>0</v>
      </c>
      <c r="H546">
        <f>0*$H$471</f>
        <v>0</v>
      </c>
      <c r="I546">
        <f>-14.95*$I$471</f>
        <v>0</v>
      </c>
      <c r="J546">
        <f>-44.279*$J$471</f>
        <v>0</v>
      </c>
      <c r="K546">
        <f>59.039*$K$471</f>
        <v>0</v>
      </c>
      <c r="L546">
        <f>-9.868*$L$471</f>
        <v>0</v>
      </c>
      <c r="M546">
        <f>0+D546+E546+G546+H546+I546+J546+K546+L546</f>
        <v>0</v>
      </c>
      <c r="N546">
        <f>0+D546+F546+G546+H546+I546+J546+K546+L546</f>
        <v>0</v>
      </c>
    </row>
    <row r="547" spans="3:14">
      <c r="C547" t="s">
        <v>52</v>
      </c>
      <c r="D547">
        <f>-99.665*$D$471</f>
        <v>0</v>
      </c>
      <c r="E547">
        <f>45.437*$E$471</f>
        <v>0</v>
      </c>
      <c r="F547">
        <f>-180.545*$F$471</f>
        <v>0</v>
      </c>
      <c r="G547">
        <f>-2.733*$G$471</f>
        <v>0</v>
      </c>
      <c r="H547">
        <f>0*$H$471</f>
        <v>0</v>
      </c>
      <c r="I547">
        <f>-14.382*$I$471</f>
        <v>0</v>
      </c>
      <c r="J547">
        <f>-38.499*$J$471</f>
        <v>0</v>
      </c>
      <c r="K547">
        <f>51.333*$K$471</f>
        <v>0</v>
      </c>
      <c r="L547">
        <f>-10.593*$L$471</f>
        <v>0</v>
      </c>
      <c r="M547">
        <f>0+D547+E547+G547+H547+I547+J547+K547+L547</f>
        <v>0</v>
      </c>
      <c r="N547">
        <f>0+D547+F547+G547+H547+I547+J547+K547+L547</f>
        <v>0</v>
      </c>
    </row>
    <row r="548" spans="3:14">
      <c r="C548" t="s">
        <v>53</v>
      </c>
      <c r="D548">
        <f>-108.749*$D$471</f>
        <v>0</v>
      </c>
      <c r="E548">
        <f>42.741*$E$471</f>
        <v>0</v>
      </c>
      <c r="F548">
        <f>-187.136*$F$471</f>
        <v>0</v>
      </c>
      <c r="G548">
        <f>-5.097*$G$471</f>
        <v>0</v>
      </c>
      <c r="H548">
        <f>0*$H$471</f>
        <v>0</v>
      </c>
      <c r="I548">
        <f>-15.57*$I$471</f>
        <v>0</v>
      </c>
      <c r="J548">
        <f>-30.133*$J$471</f>
        <v>0</v>
      </c>
      <c r="K548">
        <f>40.177*$K$471</f>
        <v>0</v>
      </c>
      <c r="L548">
        <f>-11.392*$L$471</f>
        <v>0</v>
      </c>
      <c r="M548">
        <f>0+D548+E548+G548+H548+I548+J548+K548+L548</f>
        <v>0</v>
      </c>
      <c r="N548">
        <f>0+D548+F548+G548+H548+I548+J548+K548+L548</f>
        <v>0</v>
      </c>
    </row>
    <row r="549" spans="3:14">
      <c r="C549" t="s">
        <v>53</v>
      </c>
      <c r="D549">
        <f>-81.807*$D$471</f>
        <v>0</v>
      </c>
      <c r="E549">
        <f>39.935*$E$471</f>
        <v>0</v>
      </c>
      <c r="F549">
        <f>-149.021*$F$471</f>
        <v>0</v>
      </c>
      <c r="G549">
        <f>-4.928*$G$471</f>
        <v>0</v>
      </c>
      <c r="H549">
        <f>0*$H$471</f>
        <v>0</v>
      </c>
      <c r="I549">
        <f>-11.608*$I$471</f>
        <v>0</v>
      </c>
      <c r="J549">
        <f>-13.577*$J$471</f>
        <v>0</v>
      </c>
      <c r="K549">
        <f>18.102*$K$471</f>
        <v>0</v>
      </c>
      <c r="L549">
        <f>-12.672*$L$471</f>
        <v>0</v>
      </c>
      <c r="M549">
        <f>0+D549+E549+G549+H549+I549+J549+K549+L549</f>
        <v>0</v>
      </c>
      <c r="N549">
        <f>0+D549+F549+G549+H549+I549+J549+K549+L549</f>
        <v>0</v>
      </c>
    </row>
    <row r="550" spans="3:14">
      <c r="C550" t="s">
        <v>54</v>
      </c>
      <c r="D550">
        <f>-90.782*$D$471</f>
        <v>0</v>
      </c>
      <c r="E550">
        <f>32.148*$E$471</f>
        <v>0</v>
      </c>
      <c r="F550">
        <f>-149.967*$F$471</f>
        <v>0</v>
      </c>
      <c r="G550">
        <f>-8.407*$G$471</f>
        <v>0</v>
      </c>
      <c r="H550">
        <f>0*$H$471</f>
        <v>0</v>
      </c>
      <c r="I550">
        <f>-12.705*$I$471</f>
        <v>0</v>
      </c>
      <c r="J550">
        <f>0.836*$J$471</f>
        <v>0</v>
      </c>
      <c r="K550">
        <f>-1.115*$K$471</f>
        <v>0</v>
      </c>
      <c r="L550">
        <f>-13.526*$L$471</f>
        <v>0</v>
      </c>
      <c r="M550">
        <f>0+D550+E550+G550+H550+I550+J550+K550+L550</f>
        <v>0</v>
      </c>
      <c r="N550">
        <f>0+D550+F550+G550+H550+I550+J550+K550+L550</f>
        <v>0</v>
      </c>
    </row>
    <row r="551" spans="3:14">
      <c r="C551" t="s">
        <v>54</v>
      </c>
      <c r="D551">
        <f>-71.958*$D$471</f>
        <v>0</v>
      </c>
      <c r="E551">
        <f>27.024*$E$471</f>
        <v>0</v>
      </c>
      <c r="F551">
        <f>-117.14*$F$471</f>
        <v>0</v>
      </c>
      <c r="G551">
        <f>-8.229*$G$471</f>
        <v>0</v>
      </c>
      <c r="H551">
        <f>0*$H$471</f>
        <v>0</v>
      </c>
      <c r="I551">
        <f>-9.932*$I$471</f>
        <v>0</v>
      </c>
      <c r="J551">
        <f>4.454*$J$471</f>
        <v>0</v>
      </c>
      <c r="K551">
        <f>-5.938*$K$471</f>
        <v>0</v>
      </c>
      <c r="L551">
        <f>-13.785*$L$471</f>
        <v>0</v>
      </c>
      <c r="M551">
        <f>0+D551+E551+G551+H551+I551+J551+K551+L551</f>
        <v>0</v>
      </c>
      <c r="N551">
        <f>0+D551+F551+G551+H551+I551+J551+K551+L551</f>
        <v>0</v>
      </c>
    </row>
    <row r="552" spans="3:14">
      <c r="C552" t="s">
        <v>55</v>
      </c>
      <c r="D552">
        <f>-78.77*$D$471</f>
        <v>0</v>
      </c>
      <c r="E552">
        <f>21.044*$E$471</f>
        <v>0</v>
      </c>
      <c r="F552">
        <f>-118.844*$F$471</f>
        <v>0</v>
      </c>
      <c r="G552">
        <f>-10.061*$G$471</f>
        <v>0</v>
      </c>
      <c r="H552">
        <f>0*$H$471</f>
        <v>0</v>
      </c>
      <c r="I552">
        <f>-10.85*$I$471</f>
        <v>0</v>
      </c>
      <c r="J552">
        <f>0.066*$J$471</f>
        <v>0</v>
      </c>
      <c r="K552">
        <f>-0.087*$K$471</f>
        <v>0</v>
      </c>
      <c r="L552">
        <f>-13.139*$L$471</f>
        <v>0</v>
      </c>
      <c r="M552">
        <f>0+D552+E552+G552+H552+I552+J552+K552+L552</f>
        <v>0</v>
      </c>
      <c r="N552">
        <f>0+D552+F552+G552+H552+I552+J552+K552+L552</f>
        <v>0</v>
      </c>
    </row>
    <row r="553" spans="3:14">
      <c r="C553" t="s">
        <v>55</v>
      </c>
      <c r="D553">
        <f>-60.628*$D$471</f>
        <v>0</v>
      </c>
      <c r="E553">
        <f>16.802*$E$471</f>
        <v>0</v>
      </c>
      <c r="F553">
        <f>-92.16*$F$471</f>
        <v>0</v>
      </c>
      <c r="G553">
        <f>-8.902*$G$471</f>
        <v>0</v>
      </c>
      <c r="H553">
        <f>0*$H$471</f>
        <v>0</v>
      </c>
      <c r="I553">
        <f>-8.267*$I$471</f>
        <v>0</v>
      </c>
      <c r="J553">
        <f>-17.034*$J$471</f>
        <v>0</v>
      </c>
      <c r="K553">
        <f>22.712*$K$471</f>
        <v>0</v>
      </c>
      <c r="L553">
        <f>-11.673*$L$471</f>
        <v>0</v>
      </c>
      <c r="M553">
        <f>0+D553+E553+G553+H553+I553+J553+K553+L553</f>
        <v>0</v>
      </c>
      <c r="N553">
        <f>0+D553+F553+G553+H553+I553+J553+K553+L553</f>
        <v>0</v>
      </c>
    </row>
    <row r="554" spans="3:14">
      <c r="C554" t="s">
        <v>56</v>
      </c>
      <c r="D554">
        <f>-62.818*$D$471</f>
        <v>0</v>
      </c>
      <c r="E554">
        <f>12.31*$E$471</f>
        <v>0</v>
      </c>
      <c r="F554">
        <f>-91.104*$F$471</f>
        <v>0</v>
      </c>
      <c r="G554">
        <f>-8.861*$G$471</f>
        <v>0</v>
      </c>
      <c r="H554">
        <f>0*$H$471</f>
        <v>0</v>
      </c>
      <c r="I554">
        <f>-8.663*$I$471</f>
        <v>0</v>
      </c>
      <c r="J554">
        <f>-45.001*$J$471</f>
        <v>0</v>
      </c>
      <c r="K554">
        <f>60.001*$K$471</f>
        <v>0</v>
      </c>
      <c r="L554">
        <f>-8.833*$L$471</f>
        <v>0</v>
      </c>
      <c r="M554">
        <f>0+D554+E554+G554+H554+I554+J554+K554+L554</f>
        <v>0</v>
      </c>
      <c r="N554">
        <f>0+D554+F554+G554+H554+I554+J554+K554+L554</f>
        <v>0</v>
      </c>
    </row>
    <row r="555" spans="3:14">
      <c r="C555" t="s">
        <v>56</v>
      </c>
      <c r="D555">
        <f>-19.357*$D$471</f>
        <v>0</v>
      </c>
      <c r="E555">
        <f>8.638*$E$471</f>
        <v>0</v>
      </c>
      <c r="F555">
        <f>-32.073*$F$471</f>
        <v>0</v>
      </c>
      <c r="G555">
        <f>-3.826*$G$471</f>
        <v>0</v>
      </c>
      <c r="H555">
        <f>0*$H$471</f>
        <v>0</v>
      </c>
      <c r="I555">
        <f>-2.533*$I$471</f>
        <v>0</v>
      </c>
      <c r="J555">
        <f>-81.954*$J$471</f>
        <v>0</v>
      </c>
      <c r="K555">
        <f>109.273*$K$471</f>
        <v>0</v>
      </c>
      <c r="L555">
        <f>-5.682*$L$471</f>
        <v>0</v>
      </c>
      <c r="M555">
        <f>0+D555+E555+G555+H555+I555+J555+K555+L555</f>
        <v>0</v>
      </c>
      <c r="N555">
        <f>0+D555+F555+G555+H555+I555+J555+K555+L555</f>
        <v>0</v>
      </c>
    </row>
    <row r="556" spans="3:14">
      <c r="C556" t="s">
        <v>57</v>
      </c>
      <c r="D556">
        <f>-18.053*$D$471</f>
        <v>0</v>
      </c>
      <c r="E556">
        <f>8.341*$E$471</f>
        <v>0</v>
      </c>
      <c r="F556">
        <f>-29.3*$F$471</f>
        <v>0</v>
      </c>
      <c r="G556">
        <f>-3.198*$G$471</f>
        <v>0</v>
      </c>
      <c r="H556">
        <f>0*$H$471</f>
        <v>0</v>
      </c>
      <c r="I556">
        <f>-2.443*$I$471</f>
        <v>0</v>
      </c>
      <c r="J556">
        <f>-108.719*$J$471</f>
        <v>0</v>
      </c>
      <c r="K556">
        <f>144.959*$K$471</f>
        <v>0</v>
      </c>
      <c r="L556">
        <f>-3.343*$L$471</f>
        <v>0</v>
      </c>
      <c r="M556">
        <f>0+D556+E556+G556+H556+I556+J556+K556+L556</f>
        <v>0</v>
      </c>
      <c r="N556">
        <f>0+D556+F556+G556+H556+I556+J556+K556+L556</f>
        <v>0</v>
      </c>
    </row>
    <row r="557" spans="3:14">
      <c r="C557" t="s">
        <v>57</v>
      </c>
      <c r="D557">
        <f>-17.004*$D$471</f>
        <v>0</v>
      </c>
      <c r="E557">
        <f>5.526*$E$471</f>
        <v>0</v>
      </c>
      <c r="F557">
        <f>-25.158*$F$471</f>
        <v>0</v>
      </c>
      <c r="G557">
        <f>-2.05*$G$471</f>
        <v>0</v>
      </c>
      <c r="H557">
        <f>0*$H$471</f>
        <v>0</v>
      </c>
      <c r="I557">
        <f>-2.404*$I$471</f>
        <v>0</v>
      </c>
      <c r="J557">
        <f>-131.237*$J$471</f>
        <v>0</v>
      </c>
      <c r="K557">
        <f>174.982*$K$471</f>
        <v>0</v>
      </c>
      <c r="L557">
        <f>-1.124*$L$471</f>
        <v>0</v>
      </c>
      <c r="M557">
        <f>0+D557+E557+G557+H557+I557+J557+K557+L557</f>
        <v>0</v>
      </c>
      <c r="N557">
        <f>0+D557+F557+G557+H557+I557+J557+K557+L557</f>
        <v>0</v>
      </c>
    </row>
    <row r="558" spans="3:14">
      <c r="C558" t="s">
        <v>58</v>
      </c>
      <c r="D558">
        <f>-17.004*$D$471</f>
        <v>0</v>
      </c>
      <c r="E558">
        <f>5.526*$E$471</f>
        <v>0</v>
      </c>
      <c r="F558">
        <f>-25.158*$F$471</f>
        <v>0</v>
      </c>
      <c r="G558">
        <f>-2.05*$G$471</f>
        <v>0</v>
      </c>
      <c r="H558">
        <f>0*$H$471</f>
        <v>0</v>
      </c>
      <c r="I558">
        <f>-2.404*$I$471</f>
        <v>0</v>
      </c>
      <c r="J558">
        <f>-131.237*$J$471</f>
        <v>0</v>
      </c>
      <c r="K558">
        <f>174.982*$K$471</f>
        <v>0</v>
      </c>
      <c r="L558">
        <f>-1.124*$L$471</f>
        <v>0</v>
      </c>
      <c r="M558">
        <f>0+D558+E558+G558+H558+I558+J558+K558+L558</f>
        <v>0</v>
      </c>
      <c r="N558">
        <f>0+D558+F558+G558+H558+I558+J558+K558+L558</f>
        <v>0</v>
      </c>
    </row>
    <row r="559" spans="3:14">
      <c r="C559" t="s">
        <v>58</v>
      </c>
      <c r="D559">
        <f>-11.137*$D$471</f>
        <v>0</v>
      </c>
      <c r="E559">
        <f>1.207*$E$471</f>
        <v>0</v>
      </c>
      <c r="F559">
        <f>-20.791*$F$471</f>
        <v>0</v>
      </c>
      <c r="G559">
        <f>-1.388*$G$471</f>
        <v>0</v>
      </c>
      <c r="H559">
        <f>0*$H$471</f>
        <v>0</v>
      </c>
      <c r="I559">
        <f>-1.568*$I$471</f>
        <v>0</v>
      </c>
      <c r="J559">
        <f>-123.807*$J$471</f>
        <v>0</v>
      </c>
      <c r="K559">
        <f>165.076*$K$471</f>
        <v>0</v>
      </c>
      <c r="L559">
        <f>0.051*$L$471</f>
        <v>0</v>
      </c>
      <c r="M559">
        <f>0+D559+E559+G559+H559+I559+J559+K559+L559</f>
        <v>0</v>
      </c>
      <c r="N559">
        <f>0+D559+F559+G559+H559+I559+J559+K559+L559</f>
        <v>0</v>
      </c>
    </row>
    <row r="560" spans="3:14">
      <c r="C560" t="s">
        <v>59</v>
      </c>
      <c r="D560">
        <f>-11.137*$D$471</f>
        <v>0</v>
      </c>
      <c r="E560">
        <f>1.207*$E$471</f>
        <v>0</v>
      </c>
      <c r="F560">
        <f>-20.791*$F$471</f>
        <v>0</v>
      </c>
      <c r="G560">
        <f>-1.388*$G$471</f>
        <v>0</v>
      </c>
      <c r="H560">
        <f>0*$H$471</f>
        <v>0</v>
      </c>
      <c r="I560">
        <f>-1.568*$I$471</f>
        <v>0</v>
      </c>
      <c r="J560">
        <f>-123.807*$J$471</f>
        <v>0</v>
      </c>
      <c r="K560">
        <f>165.076*$K$471</f>
        <v>0</v>
      </c>
      <c r="L560">
        <f>0.051*$L$471</f>
        <v>0</v>
      </c>
      <c r="M560">
        <f>0+D560+E560+G560+H560+I560+J560+K560+L560</f>
        <v>0</v>
      </c>
      <c r="N560">
        <f>0+D560+F560+G560+H560+I560+J560+K560+L560</f>
        <v>0</v>
      </c>
    </row>
    <row r="561" spans="3:14">
      <c r="C561" t="s">
        <v>59</v>
      </c>
      <c r="D561">
        <f>0.119*$D$471</f>
        <v>0</v>
      </c>
      <c r="E561">
        <f>28.685*$E$471</f>
        <v>0</v>
      </c>
      <c r="F561">
        <f>-34.188*$F$471</f>
        <v>0</v>
      </c>
      <c r="G561">
        <f>-4.178*$G$471</f>
        <v>0</v>
      </c>
      <c r="H561">
        <f>0*$H$471</f>
        <v>0</v>
      </c>
      <c r="I561">
        <f>0.225*$I$471</f>
        <v>0</v>
      </c>
      <c r="J561">
        <f>-111.709*$J$471</f>
        <v>0</v>
      </c>
      <c r="K561">
        <f>148.945*$K$471</f>
        <v>0</v>
      </c>
      <c r="L561">
        <f>-6.609*$L$471</f>
        <v>0</v>
      </c>
      <c r="M561">
        <f>0+D561+E561+G561+H561+I561+J561+K561+L561</f>
        <v>0</v>
      </c>
      <c r="N561">
        <f>0+D561+F561+G561+H561+I561+J561+K561+L561</f>
        <v>0</v>
      </c>
    </row>
    <row r="562" spans="3:14">
      <c r="C562" t="s">
        <v>60</v>
      </c>
      <c r="D562">
        <f>-4.507*$D$471</f>
        <v>0</v>
      </c>
      <c r="E562">
        <f>24.412*$E$471</f>
        <v>0</v>
      </c>
      <c r="F562">
        <f>-35.541*$F$471</f>
        <v>0</v>
      </c>
      <c r="G562">
        <f>-4.708*$G$471</f>
        <v>0</v>
      </c>
      <c r="H562">
        <f>0*$H$471</f>
        <v>0</v>
      </c>
      <c r="I562">
        <f>-0.372*$I$471</f>
        <v>0</v>
      </c>
      <c r="J562">
        <f>-78.232*$J$471</f>
        <v>0</v>
      </c>
      <c r="K562">
        <f>104.309*$K$471</f>
        <v>0</v>
      </c>
      <c r="L562">
        <f>-4.861*$L$471</f>
        <v>0</v>
      </c>
      <c r="M562">
        <f>0+D562+E562+G562+H562+I562+J562+K562+L562</f>
        <v>0</v>
      </c>
      <c r="N562">
        <f>0+D562+F562+G562+H562+I562+J562+K562+L562</f>
        <v>0</v>
      </c>
    </row>
    <row r="563" spans="3:14">
      <c r="C563" t="s">
        <v>60</v>
      </c>
      <c r="D563">
        <f>-26.94*$D$471</f>
        <v>0</v>
      </c>
      <c r="E563">
        <f>16.031*$E$471</f>
        <v>0</v>
      </c>
      <c r="F563">
        <f>-63.491*$F$471</f>
        <v>0</v>
      </c>
      <c r="G563">
        <f>-7.234*$G$471</f>
        <v>0</v>
      </c>
      <c r="H563">
        <f>0*$H$471</f>
        <v>0</v>
      </c>
      <c r="I563">
        <f>-3.536*$I$471</f>
        <v>0</v>
      </c>
      <c r="J563">
        <f>-35.488*$J$471</f>
        <v>0</v>
      </c>
      <c r="K563">
        <f>47.317*$K$471</f>
        <v>0</v>
      </c>
      <c r="L563">
        <f>-1.556*$L$471</f>
        <v>0</v>
      </c>
      <c r="M563">
        <f>0+D563+E563+G563+H563+I563+J563+K563+L563</f>
        <v>0</v>
      </c>
      <c r="N563">
        <f>0+D563+F563+G563+H563+I563+J563+K563+L563</f>
        <v>0</v>
      </c>
    </row>
    <row r="564" spans="3:14">
      <c r="C564" t="s">
        <v>61</v>
      </c>
      <c r="D564">
        <f>-30.938*$D$471</f>
        <v>0</v>
      </c>
      <c r="E564">
        <f>15.091*$E$471</f>
        <v>0</v>
      </c>
      <c r="F564">
        <f>-68.532*$F$471</f>
        <v>0</v>
      </c>
      <c r="G564">
        <f>-7.357*$G$471</f>
        <v>0</v>
      </c>
      <c r="H564">
        <f>0*$H$471</f>
        <v>0</v>
      </c>
      <c r="I564">
        <f>-4.067*$I$471</f>
        <v>0</v>
      </c>
      <c r="J564">
        <f>2.236*$J$471</f>
        <v>0</v>
      </c>
      <c r="K564">
        <f>-2.982*$K$471</f>
        <v>0</v>
      </c>
      <c r="L564">
        <f>3.274*$L$471</f>
        <v>0</v>
      </c>
      <c r="M564">
        <f>0+D564+E564+G564+H564+I564+J564+K564+L564</f>
        <v>0</v>
      </c>
      <c r="N564">
        <f>0+D564+F564+G564+H564+I564+J564+K564+L564</f>
        <v>0</v>
      </c>
    </row>
    <row r="565" spans="3:14">
      <c r="C565" t="s">
        <v>61</v>
      </c>
      <c r="D565">
        <f>-41.448*$D$471</f>
        <v>0</v>
      </c>
      <c r="E565">
        <f>14.203*$E$471</f>
        <v>0</v>
      </c>
      <c r="F565">
        <f>-85.876*$F$471</f>
        <v>0</v>
      </c>
      <c r="G565">
        <f>-7.39*$G$471</f>
        <v>0</v>
      </c>
      <c r="H565">
        <f>0*$H$471</f>
        <v>0</v>
      </c>
      <c r="I565">
        <f>-5.604*$I$471</f>
        <v>0</v>
      </c>
      <c r="J565">
        <f>23.73*$J$471</f>
        <v>0</v>
      </c>
      <c r="K565">
        <f>-31.64*$K$471</f>
        <v>0</v>
      </c>
      <c r="L565">
        <f>11.169*$L$471</f>
        <v>0</v>
      </c>
      <c r="M565">
        <f>0+D565+E565+G565+H565+I565+J565+K565+L565</f>
        <v>0</v>
      </c>
      <c r="N565">
        <f>0+D565+F565+G565+H565+I565+J565+K565+L565</f>
        <v>0</v>
      </c>
    </row>
    <row r="566" spans="3:14">
      <c r="C566" t="s">
        <v>62</v>
      </c>
      <c r="D566">
        <f>-42.282*$D$471</f>
        <v>0</v>
      </c>
      <c r="E566">
        <f>16.307*$E$471</f>
        <v>0</v>
      </c>
      <c r="F566">
        <f>-89.029*$F$471</f>
        <v>0</v>
      </c>
      <c r="G566">
        <f>-6.018*$G$471</f>
        <v>0</v>
      </c>
      <c r="H566">
        <f>0*$H$471</f>
        <v>0</v>
      </c>
      <c r="I566">
        <f>-5.81*$I$471</f>
        <v>0</v>
      </c>
      <c r="J566">
        <f>37.101*$J$471</f>
        <v>0</v>
      </c>
      <c r="K566">
        <f>-49.469*$K$471</f>
        <v>0</v>
      </c>
      <c r="L566">
        <f>20.94*$L$471</f>
        <v>0</v>
      </c>
      <c r="M566">
        <f>0+D566+E566+G566+H566+I566+J566+K566+L566</f>
        <v>0</v>
      </c>
      <c r="N566">
        <f>0+D566+F566+G566+H566+I566+J566+K566+L566</f>
        <v>0</v>
      </c>
    </row>
    <row r="567" spans="3:14">
      <c r="C567" t="s">
        <v>62</v>
      </c>
      <c r="D567">
        <f>-50.546*$D$471</f>
        <v>0</v>
      </c>
      <c r="E567">
        <f>19.592*$E$471</f>
        <v>0</v>
      </c>
      <c r="F567">
        <f>-108.457*$F$471</f>
        <v>0</v>
      </c>
      <c r="G567">
        <f>-5.088*$G$471</f>
        <v>0</v>
      </c>
      <c r="H567">
        <f>0*$H$471</f>
        <v>0</v>
      </c>
      <c r="I567">
        <f>-7.091*$I$471</f>
        <v>0</v>
      </c>
      <c r="J567">
        <f>37.813*$J$471</f>
        <v>0</v>
      </c>
      <c r="K567">
        <f>-50.418*$K$471</f>
        <v>0</v>
      </c>
      <c r="L567">
        <f>33.842*$L$471</f>
        <v>0</v>
      </c>
      <c r="M567">
        <f>0+D567+E567+G567+H567+I567+J567+K567+L567</f>
        <v>0</v>
      </c>
      <c r="N567">
        <f>0+D567+F567+G567+H567+I567+J567+K567+L567</f>
        <v>0</v>
      </c>
    </row>
    <row r="568" spans="3:14">
      <c r="C568" t="s">
        <v>63</v>
      </c>
      <c r="D568">
        <f>-49.528*$D$471</f>
        <v>0</v>
      </c>
      <c r="E568">
        <f>23.131*$E$471</f>
        <v>0</v>
      </c>
      <c r="F568">
        <f>-111.968*$F$471</f>
        <v>0</v>
      </c>
      <c r="G568">
        <f>-2.56*$G$471</f>
        <v>0</v>
      </c>
      <c r="H568">
        <f>0*$H$471</f>
        <v>0</v>
      </c>
      <c r="I568">
        <f>-7.138*$I$471</f>
        <v>0</v>
      </c>
      <c r="J568">
        <f>29.398*$J$471</f>
        <v>0</v>
      </c>
      <c r="K568">
        <f>-39.198*$K$471</f>
        <v>0</v>
      </c>
      <c r="L568">
        <f>47.126*$L$471</f>
        <v>0</v>
      </c>
      <c r="M568">
        <f>0+D568+E568+G568+H568+I568+J568+K568+L568</f>
        <v>0</v>
      </c>
      <c r="N568">
        <f>0+D568+F568+G568+H568+I568+J568+K568+L568</f>
        <v>0</v>
      </c>
    </row>
    <row r="569" spans="3:14">
      <c r="C569" t="s">
        <v>63</v>
      </c>
      <c r="D569">
        <f>-53.251*$D$471</f>
        <v>0</v>
      </c>
      <c r="E569">
        <f>26.138*$E$471</f>
        <v>0</v>
      </c>
      <c r="F569">
        <f>-124.691*$F$471</f>
        <v>0</v>
      </c>
      <c r="G569">
        <f>-0.908*$G$471</f>
        <v>0</v>
      </c>
      <c r="H569">
        <f>0*$H$471</f>
        <v>0</v>
      </c>
      <c r="I569">
        <f>-7.789*$I$471</f>
        <v>0</v>
      </c>
      <c r="J569">
        <f>17.901*$J$471</f>
        <v>0</v>
      </c>
      <c r="K569">
        <f>-23.868*$K$471</f>
        <v>0</v>
      </c>
      <c r="L569">
        <f>60.003*$L$471</f>
        <v>0</v>
      </c>
      <c r="M569">
        <f>0+D569+E569+G569+H569+I569+J569+K569+L569</f>
        <v>0</v>
      </c>
      <c r="N569">
        <f>0+D569+F569+G569+H569+I569+J569+K569+L569</f>
        <v>0</v>
      </c>
    </row>
    <row r="570" spans="3:14">
      <c r="C570" t="s">
        <v>64</v>
      </c>
      <c r="D570">
        <f>-52.258*$D$471</f>
        <v>0</v>
      </c>
      <c r="E570">
        <f>27.532*$E$471</f>
        <v>0</v>
      </c>
      <c r="F570">
        <f>-125.468*$F$471</f>
        <v>0</v>
      </c>
      <c r="G570">
        <f>0.489*$G$471</f>
        <v>0</v>
      </c>
      <c r="H570">
        <f>0*$H$471</f>
        <v>0</v>
      </c>
      <c r="I570">
        <f>-7.764*$I$471</f>
        <v>0</v>
      </c>
      <c r="J570">
        <f>17.105*$J$471</f>
        <v>0</v>
      </c>
      <c r="K570">
        <f>-22.806*$K$471</f>
        <v>0</v>
      </c>
      <c r="L570">
        <f>66.486*$L$471</f>
        <v>0</v>
      </c>
      <c r="M570">
        <f>0+D570+E570+G570+H570+I570+J570+K570+L570</f>
        <v>0</v>
      </c>
      <c r="N570">
        <f>0+D570+F570+G570+H570+I570+J570+K570+L570</f>
        <v>0</v>
      </c>
    </row>
    <row r="571" spans="3:14">
      <c r="C571" t="s">
        <v>64</v>
      </c>
      <c r="D571">
        <f>-50.877*$D$471</f>
        <v>0</v>
      </c>
      <c r="E571">
        <f>28.223*$E$471</f>
        <v>0</v>
      </c>
      <c r="F571">
        <f>-125.697*$F$471</f>
        <v>0</v>
      </c>
      <c r="G571">
        <f>0.984*$G$471</f>
        <v>0</v>
      </c>
      <c r="H571">
        <f>0*$H$471</f>
        <v>0</v>
      </c>
      <c r="I571">
        <f>-7.628*$I$471</f>
        <v>0</v>
      </c>
      <c r="J571">
        <f>25.995*$J$471</f>
        <v>0</v>
      </c>
      <c r="K571">
        <f>-34.661*$K$471</f>
        <v>0</v>
      </c>
      <c r="L571">
        <f>68.419*$L$471</f>
        <v>0</v>
      </c>
      <c r="M571">
        <f>0+D571+E571+G571+H571+I571+J571+K571+L571</f>
        <v>0</v>
      </c>
      <c r="N571">
        <f>0+D571+F571+G571+H571+I571+J571+K571+L571</f>
        <v>0</v>
      </c>
    </row>
    <row r="572" spans="3:14">
      <c r="C572" t="s">
        <v>65</v>
      </c>
      <c r="D572">
        <f>-50.338*$D$471</f>
        <v>0</v>
      </c>
      <c r="E572">
        <f>26.663*$E$471</f>
        <v>0</v>
      </c>
      <c r="F572">
        <f>-123.046*$F$471</f>
        <v>0</v>
      </c>
      <c r="G572">
        <f>0.359*$G$471</f>
        <v>0</v>
      </c>
      <c r="H572">
        <f>0*$H$471</f>
        <v>0</v>
      </c>
      <c r="I572">
        <f>-7.508*$I$471</f>
        <v>0</v>
      </c>
      <c r="J572">
        <f>42.626*$J$471</f>
        <v>0</v>
      </c>
      <c r="K572">
        <f>-56.834*$K$471</f>
        <v>0</v>
      </c>
      <c r="L572">
        <f>64.889*$L$471</f>
        <v>0</v>
      </c>
      <c r="M572">
        <f>0+D572+E572+G572+H572+I572+J572+K572+L572</f>
        <v>0</v>
      </c>
      <c r="N572">
        <f>0+D572+F572+G572+H572+I572+J572+K572+L572</f>
        <v>0</v>
      </c>
    </row>
    <row r="573" spans="3:14">
      <c r="C573" t="s">
        <v>65</v>
      </c>
      <c r="D573">
        <f>-46.747*$D$471</f>
        <v>0</v>
      </c>
      <c r="E573">
        <f>23.702*$E$471</f>
        <v>0</v>
      </c>
      <c r="F573">
        <f>-111.397*$F$471</f>
        <v>0</v>
      </c>
      <c r="G573">
        <f>-0.873*$G$471</f>
        <v>0</v>
      </c>
      <c r="H573">
        <f>0*$H$471</f>
        <v>0</v>
      </c>
      <c r="I573">
        <f>-6.941*$I$471</f>
        <v>0</v>
      </c>
      <c r="J573">
        <f>67.863*$J$471</f>
        <v>0</v>
      </c>
      <c r="K573">
        <f>-90.484*$K$471</f>
        <v>0</v>
      </c>
      <c r="L573">
        <f>54.803*$L$471</f>
        <v>0</v>
      </c>
      <c r="M573">
        <f>0+D573+E573+G573+H573+I573+J573+K573+L573</f>
        <v>0</v>
      </c>
      <c r="N573">
        <f>0+D573+F573+G573+H573+I573+J573+K573+L573</f>
        <v>0</v>
      </c>
    </row>
    <row r="574" spans="3:14">
      <c r="C574" t="s">
        <v>66</v>
      </c>
      <c r="D574">
        <f>-46.357*$D$471</f>
        <v>0</v>
      </c>
      <c r="E574">
        <f>20.035*$E$471</f>
        <v>0</v>
      </c>
      <c r="F574">
        <f>-106.582*$F$471</f>
        <v>0</v>
      </c>
      <c r="G574">
        <f>-2.718*$G$471</f>
        <v>0</v>
      </c>
      <c r="H574">
        <f>0*$H$471</f>
        <v>0</v>
      </c>
      <c r="I574">
        <f>-6.759*$I$471</f>
        <v>0</v>
      </c>
      <c r="J574">
        <f>87.689*$J$471</f>
        <v>0</v>
      </c>
      <c r="K574">
        <f>-116.919*$K$471</f>
        <v>0</v>
      </c>
      <c r="L574">
        <f>43.842*$L$471</f>
        <v>0</v>
      </c>
      <c r="M574">
        <f>0+D574+E574+G574+H574+I574+J574+K574+L574</f>
        <v>0</v>
      </c>
      <c r="N574">
        <f>0+D574+F574+G574+H574+I574+J574+K574+L574</f>
        <v>0</v>
      </c>
    </row>
    <row r="575" spans="3:14">
      <c r="C575" t="s">
        <v>66</v>
      </c>
      <c r="D575">
        <f>-38.494*$D$471</f>
        <v>0</v>
      </c>
      <c r="E575">
        <f>16.324*$E$471</f>
        <v>0</v>
      </c>
      <c r="F575">
        <f>-87.997*$F$471</f>
        <v>0</v>
      </c>
      <c r="G575">
        <f>-3.391*$G$471</f>
        <v>0</v>
      </c>
      <c r="H575">
        <f>0*$H$471</f>
        <v>0</v>
      </c>
      <c r="I575">
        <f>-5.578*$I$471</f>
        <v>0</v>
      </c>
      <c r="J575">
        <f>92.055*$J$471</f>
        <v>0</v>
      </c>
      <c r="K575">
        <f>-122.74*$K$471</f>
        <v>0</v>
      </c>
      <c r="L575">
        <f>33.143*$L$471</f>
        <v>0</v>
      </c>
      <c r="M575">
        <f>0+D575+E575+G575+H575+I575+J575+K575+L575</f>
        <v>0</v>
      </c>
      <c r="N575">
        <f>0+D575+F575+G575+H575+I575+J575+K575+L575</f>
        <v>0</v>
      </c>
    </row>
    <row r="576" spans="3:14">
      <c r="C576" t="s">
        <v>67</v>
      </c>
      <c r="D576">
        <f>-38.149*$D$471</f>
        <v>0</v>
      </c>
      <c r="E576">
        <f>13.039*$E$471</f>
        <v>0</v>
      </c>
      <c r="F576">
        <f>-85.114*$F$471</f>
        <v>0</v>
      </c>
      <c r="G576">
        <f>-4.505*$G$471</f>
        <v>0</v>
      </c>
      <c r="H576">
        <f>0*$H$471</f>
        <v>0</v>
      </c>
      <c r="I576">
        <f>-5.466*$I$471</f>
        <v>0</v>
      </c>
      <c r="J576">
        <f>77.173*$J$471</f>
        <v>0</v>
      </c>
      <c r="K576">
        <f>-102.897*$K$471</f>
        <v>0</v>
      </c>
      <c r="L576">
        <f>24.48*$L$471</f>
        <v>0</v>
      </c>
      <c r="M576">
        <f>0+D576+E576+G576+H576+I576+J576+K576+L576</f>
        <v>0</v>
      </c>
      <c r="N576">
        <f>0+D576+F576+G576+H576+I576+J576+K576+L576</f>
        <v>0</v>
      </c>
    </row>
    <row r="577" spans="3:14">
      <c r="C577" t="s">
        <v>67</v>
      </c>
      <c r="D577">
        <f>-26.32*$D$471</f>
        <v>0</v>
      </c>
      <c r="E577">
        <f>9.588*$E$471</f>
        <v>0</v>
      </c>
      <c r="F577">
        <f>-60.113*$F$471</f>
        <v>0</v>
      </c>
      <c r="G577">
        <f>-3.911*$G$471</f>
        <v>0</v>
      </c>
      <c r="H577">
        <f>0*$H$471</f>
        <v>0</v>
      </c>
      <c r="I577">
        <f>-3.731*$I$471</f>
        <v>0</v>
      </c>
      <c r="J577">
        <f>48.152*$J$471</f>
        <v>0</v>
      </c>
      <c r="K577">
        <f>-64.202*$K$471</f>
        <v>0</v>
      </c>
      <c r="L577">
        <f>16.498*$L$471</f>
        <v>0</v>
      </c>
      <c r="M577">
        <f>0+D577+E577+G577+H577+I577+J577+K577+L577</f>
        <v>0</v>
      </c>
      <c r="N577">
        <f>0+D577+F577+G577+H577+I577+J577+K577+L577</f>
        <v>0</v>
      </c>
    </row>
    <row r="578" spans="3:14">
      <c r="C578" t="s">
        <v>68</v>
      </c>
      <c r="D578">
        <f>-25.977*$D$471</f>
        <v>0</v>
      </c>
      <c r="E578">
        <f>6.275*$E$471</f>
        <v>0</v>
      </c>
      <c r="F578">
        <f>-57.341*$F$471</f>
        <v>0</v>
      </c>
      <c r="G578">
        <f>-4.347*$G$471</f>
        <v>0</v>
      </c>
      <c r="H578">
        <f>0*$H$471</f>
        <v>0</v>
      </c>
      <c r="I578">
        <f>-3.665*$I$471</f>
        <v>0</v>
      </c>
      <c r="J578">
        <f>-14.807*$J$471</f>
        <v>0</v>
      </c>
      <c r="K578">
        <f>19.742*$K$471</f>
        <v>0</v>
      </c>
      <c r="L578">
        <f>10.42*$L$471</f>
        <v>0</v>
      </c>
      <c r="M578">
        <f>0+D578+E578+G578+H578+I578+J578+K578+L578</f>
        <v>0</v>
      </c>
      <c r="N578">
        <f>0+D578+F578+G578+H578+I578+J578+K578+L578</f>
        <v>0</v>
      </c>
    </row>
    <row r="579" spans="3:14">
      <c r="C579" t="s">
        <v>68</v>
      </c>
      <c r="D579">
        <f>-13.745*$D$471</f>
        <v>0</v>
      </c>
      <c r="E579">
        <f>5.453*$E$471</f>
        <v>0</v>
      </c>
      <c r="F579">
        <f>-32.402*$F$471</f>
        <v>0</v>
      </c>
      <c r="G579">
        <f>-3.576*$G$471</f>
        <v>0</v>
      </c>
      <c r="H579">
        <f>0*$H$471</f>
        <v>0</v>
      </c>
      <c r="I579">
        <f>-1.845*$I$471</f>
        <v>0</v>
      </c>
      <c r="J579">
        <f>-94.195*$J$471</f>
        <v>0</v>
      </c>
      <c r="K579">
        <f>125.593*$K$471</f>
        <v>0</v>
      </c>
      <c r="L579">
        <f>7.095*$L$471</f>
        <v>0</v>
      </c>
      <c r="M579">
        <f>0+D579+E579+G579+H579+I579+J579+K579+L579</f>
        <v>0</v>
      </c>
      <c r="N579">
        <f>0+D579+F579+G579+H579+I579+J579+K579+L579</f>
        <v>0</v>
      </c>
    </row>
    <row r="580" spans="3:14">
      <c r="C580" t="s">
        <v>69</v>
      </c>
      <c r="D580">
        <f>-13.778*$D$471</f>
        <v>0</v>
      </c>
      <c r="E580">
        <f>2.307*$E$471</f>
        <v>0</v>
      </c>
      <c r="F580">
        <f>-29.626*$F$471</f>
        <v>0</v>
      </c>
      <c r="G580">
        <f>-3.321*$G$471</f>
        <v>0</v>
      </c>
      <c r="H580">
        <f>0*$H$471</f>
        <v>0</v>
      </c>
      <c r="I580">
        <f>-1.867*$I$471</f>
        <v>0</v>
      </c>
      <c r="J580">
        <f>-138.451*$J$471</f>
        <v>0</v>
      </c>
      <c r="K580">
        <f>184.601*$K$471</f>
        <v>0</v>
      </c>
      <c r="L580">
        <f>4.498*$L$471</f>
        <v>0</v>
      </c>
      <c r="M580">
        <f>0+D580+E580+G580+H580+I580+J580+K580+L580</f>
        <v>0</v>
      </c>
      <c r="N580">
        <f>0+D580+F580+G580+H580+I580+J580+K580+L580</f>
        <v>0</v>
      </c>
    </row>
    <row r="585" spans="3:14">
      <c r="C585" t="s">
        <v>74</v>
      </c>
    </row>
    <row r="587" spans="3:14">
      <c r="C587" t="s">
        <v>2</v>
      </c>
    </row>
    <row r="588" spans="3:14">
      <c r="C588" t="s">
        <v>3</v>
      </c>
      <c r="D588" t="s">
        <v>4</v>
      </c>
      <c r="E588" t="s">
        <v>5</v>
      </c>
      <c r="F588" t="s">
        <v>6</v>
      </c>
      <c r="G588" t="s">
        <v>7</v>
      </c>
      <c r="H588" t="s">
        <v>8</v>
      </c>
      <c r="I588" t="s">
        <v>9</v>
      </c>
      <c r="J588" t="s">
        <v>10</v>
      </c>
      <c r="K588" t="s">
        <v>11</v>
      </c>
      <c r="L588" t="s">
        <v>12</v>
      </c>
      <c r="M588" t="s">
        <v>13</v>
      </c>
      <c r="N588" t="s">
        <v>14</v>
      </c>
    </row>
    <row r="589" spans="3:14">
      <c r="C589" t="s">
        <v>80</v>
      </c>
      <c r="D589">
        <f>-0.1682*$D$587</f>
        <v>0</v>
      </c>
      <c r="E589">
        <f>68.2863*$E$587</f>
        <v>0</v>
      </c>
      <c r="F589">
        <f>-77.8898*$F$587</f>
        <v>0</v>
      </c>
      <c r="G589">
        <f>7.9308*$G$587</f>
        <v>0</v>
      </c>
      <c r="H589">
        <f>0*$H$587</f>
        <v>0</v>
      </c>
      <c r="I589">
        <f>-0.4893*$I$587</f>
        <v>0</v>
      </c>
      <c r="J589">
        <f>21.5006*$J$587</f>
        <v>0</v>
      </c>
      <c r="K589">
        <f>-28.6674*$K$587</f>
        <v>0</v>
      </c>
      <c r="L589">
        <f>-0.018*$L$587</f>
        <v>0</v>
      </c>
      <c r="M589">
        <f>0+D589+E589+G589+H589+I589+J589+K589+L589</f>
        <v>0</v>
      </c>
      <c r="N589">
        <f>0+D589+F589+G589+H589+I589+J589+K589+L589</f>
        <v>0</v>
      </c>
    </row>
    <row r="590" spans="3:14">
      <c r="C590" t="s">
        <v>16</v>
      </c>
      <c r="D590">
        <f>6.7747*$D$587</f>
        <v>0</v>
      </c>
      <c r="E590">
        <f>69.9815*$E$587</f>
        <v>0</v>
      </c>
      <c r="F590">
        <f>-78.6798*$F$587</f>
        <v>0</v>
      </c>
      <c r="G590">
        <f>7.3964*$G$587</f>
        <v>0</v>
      </c>
      <c r="H590">
        <f>0*$H$587</f>
        <v>0</v>
      </c>
      <c r="I590">
        <f>0.1764*$I$587</f>
        <v>0</v>
      </c>
      <c r="J590">
        <f>22.1006*$J$587</f>
        <v>0</v>
      </c>
      <c r="K590">
        <f>-29.4675*$K$587</f>
        <v>0</v>
      </c>
      <c r="L590">
        <f>-0.0192*$L$587</f>
        <v>0</v>
      </c>
      <c r="M590">
        <f>0+D590+E590+G590+H590+I590+J590+K590+L590</f>
        <v>0</v>
      </c>
      <c r="N590">
        <f>0+D590+F590+G590+H590+I590+J590+K590+L590</f>
        <v>0</v>
      </c>
    </row>
    <row r="591" spans="3:14">
      <c r="C591" t="s">
        <v>16</v>
      </c>
      <c r="D591">
        <f>4.1053*$D$587</f>
        <v>0</v>
      </c>
      <c r="E591">
        <f>72.0374*$E$587</f>
        <v>0</v>
      </c>
      <c r="F591">
        <f>-82.1857*$F$587</f>
        <v>0</v>
      </c>
      <c r="G591">
        <f>7.4049*$G$587</f>
        <v>0</v>
      </c>
      <c r="H591">
        <f>0*$H$587</f>
        <v>0</v>
      </c>
      <c r="I591">
        <f>0.2772*$I$587</f>
        <v>0</v>
      </c>
      <c r="J591">
        <f>26.2946*$J$587</f>
        <v>0</v>
      </c>
      <c r="K591">
        <f>-35.0594*$K$587</f>
        <v>0</v>
      </c>
      <c r="L591">
        <f>-0.022*$L$587</f>
        <v>0</v>
      </c>
      <c r="M591">
        <f>0+D591+E591+G591+H591+I591+J591+K591+L591</f>
        <v>0</v>
      </c>
      <c r="N591">
        <f>0+D591+F591+G591+H591+I591+J591+K591+L591</f>
        <v>0</v>
      </c>
    </row>
    <row r="592" spans="3:14">
      <c r="C592" t="s">
        <v>17</v>
      </c>
      <c r="D592">
        <f>7.6331*$D$587</f>
        <v>0</v>
      </c>
      <c r="E592">
        <f>76.5835*$E$587</f>
        <v>0</v>
      </c>
      <c r="F592">
        <f>-82.6844*$F$587</f>
        <v>0</v>
      </c>
      <c r="G592">
        <f>6.7968*$G$587</f>
        <v>0</v>
      </c>
      <c r="H592">
        <f>0*$H$587</f>
        <v>0</v>
      </c>
      <c r="I592">
        <f>0.4256*$I$587</f>
        <v>0</v>
      </c>
      <c r="J592">
        <f>35.3368*$J$587</f>
        <v>0</v>
      </c>
      <c r="K592">
        <f>-47.1157*$K$587</f>
        <v>0</v>
      </c>
      <c r="L592">
        <f>-0.0244*$L$587</f>
        <v>0</v>
      </c>
      <c r="M592">
        <f>0+D592+E592+G592+H592+I592+J592+K592+L592</f>
        <v>0</v>
      </c>
      <c r="N592">
        <f>0+D592+F592+G592+H592+I592+J592+K592+L592</f>
        <v>0</v>
      </c>
    </row>
    <row r="593" spans="3:14">
      <c r="C593" t="s">
        <v>17</v>
      </c>
      <c r="D593">
        <f>4.5667*$D$587</f>
        <v>0</v>
      </c>
      <c r="E593">
        <f>79.0318*$E$587</f>
        <v>0</v>
      </c>
      <c r="F593">
        <f>-82.5102*$F$587</f>
        <v>0</v>
      </c>
      <c r="G593">
        <f>6.378*$G$587</f>
        <v>0</v>
      </c>
      <c r="H593">
        <f>0*$H$587</f>
        <v>0</v>
      </c>
      <c r="I593">
        <f>0.4871*$I$587</f>
        <v>0</v>
      </c>
      <c r="J593">
        <f>41.175*$J$587</f>
        <v>0</v>
      </c>
      <c r="K593">
        <f>-54.9*$K$587</f>
        <v>0</v>
      </c>
      <c r="L593">
        <f>-0.0264*$L$587</f>
        <v>0</v>
      </c>
      <c r="M593">
        <f>0+D593+E593+G593+H593+I593+J593+K593+L593</f>
        <v>0</v>
      </c>
      <c r="N593">
        <f>0+D593+F593+G593+H593+I593+J593+K593+L593</f>
        <v>0</v>
      </c>
    </row>
    <row r="594" spans="3:14">
      <c r="C594" t="s">
        <v>18</v>
      </c>
      <c r="D594">
        <f>7.6592*$D$587</f>
        <v>0</v>
      </c>
      <c r="E594">
        <f>82.696*$E$587</f>
        <v>0</v>
      </c>
      <c r="F594">
        <f>-75.0125*$F$587</f>
        <v>0</v>
      </c>
      <c r="G594">
        <f>5.4083*$G$587</f>
        <v>0</v>
      </c>
      <c r="H594">
        <f>0*$H$587</f>
        <v>0</v>
      </c>
      <c r="I594">
        <f>0.5885*$I$587</f>
        <v>0</v>
      </c>
      <c r="J594">
        <f>47.0428*$J$587</f>
        <v>0</v>
      </c>
      <c r="K594">
        <f>-62.7237*$K$587</f>
        <v>0</v>
      </c>
      <c r="L594">
        <f>-0.0282*$L$587</f>
        <v>0</v>
      </c>
      <c r="M594">
        <f>0+D594+E594+G594+H594+I594+J594+K594+L594</f>
        <v>0</v>
      </c>
      <c r="N594">
        <f>0+D594+F594+G594+H594+I594+J594+K594+L594</f>
        <v>0</v>
      </c>
    </row>
    <row r="595" spans="3:14">
      <c r="C595" t="s">
        <v>18</v>
      </c>
      <c r="D595">
        <f>4.1578*$D$587</f>
        <v>0</v>
      </c>
      <c r="E595">
        <f>84.5457*$E$587</f>
        <v>0</v>
      </c>
      <c r="F595">
        <f>-79.8892*$F$587</f>
        <v>0</v>
      </c>
      <c r="G595">
        <f>4.599*$G$587</f>
        <v>0</v>
      </c>
      <c r="H595">
        <f>0*$H$587</f>
        <v>0</v>
      </c>
      <c r="I595">
        <f>0.6107*$I$587</f>
        <v>0</v>
      </c>
      <c r="J595">
        <f>51.0862*$J$587</f>
        <v>0</v>
      </c>
      <c r="K595">
        <f>-68.1149*$K$587</f>
        <v>0</v>
      </c>
      <c r="L595">
        <f>-0.0299*$L$587</f>
        <v>0</v>
      </c>
      <c r="M595">
        <f>0+D595+E595+G595+H595+I595+J595+K595+L595</f>
        <v>0</v>
      </c>
      <c r="N595">
        <f>0+D595+F595+G595+H595+I595+J595+K595+L595</f>
        <v>0</v>
      </c>
    </row>
    <row r="596" spans="3:14">
      <c r="C596" t="s">
        <v>19</v>
      </c>
      <c r="D596">
        <f>6.8213*$D$587</f>
        <v>0</v>
      </c>
      <c r="E596">
        <f>88.0649*$E$587</f>
        <v>0</v>
      </c>
      <c r="F596">
        <f>-78.0302*$F$587</f>
        <v>0</v>
      </c>
      <c r="G596">
        <f>3.2003*$G$587</f>
        <v>0</v>
      </c>
      <c r="H596">
        <f>0*$H$587</f>
        <v>0</v>
      </c>
      <c r="I596">
        <f>0.6785*$I$587</f>
        <v>0</v>
      </c>
      <c r="J596">
        <f>55.9725*$J$587</f>
        <v>0</v>
      </c>
      <c r="K596">
        <f>-74.63*$K$587</f>
        <v>0</v>
      </c>
      <c r="L596">
        <f>-0.0318*$L$587</f>
        <v>0</v>
      </c>
      <c r="M596">
        <f>0+D596+E596+G596+H596+I596+J596+K596+L596</f>
        <v>0</v>
      </c>
      <c r="N596">
        <f>0+D596+F596+G596+H596+I596+J596+K596+L596</f>
        <v>0</v>
      </c>
    </row>
    <row r="597" spans="3:14">
      <c r="C597" t="s">
        <v>19</v>
      </c>
      <c r="D597">
        <f>2.9271*$D$587</f>
        <v>0</v>
      </c>
      <c r="E597">
        <f>89.8563*$E$587</f>
        <v>0</v>
      </c>
      <c r="F597">
        <f>-75.5*$F$587</f>
        <v>0</v>
      </c>
      <c r="G597">
        <f>2.0912*$G$587</f>
        <v>0</v>
      </c>
      <c r="H597">
        <f>0*$H$587</f>
        <v>0</v>
      </c>
      <c r="I597">
        <f>0.6598*$I$587</f>
        <v>0</v>
      </c>
      <c r="J597">
        <f>57.9114*$J$587</f>
        <v>0</v>
      </c>
      <c r="K597">
        <f>-77.2152*$K$587</f>
        <v>0</v>
      </c>
      <c r="L597">
        <f>-0.0332*$L$587</f>
        <v>0</v>
      </c>
      <c r="M597">
        <f>0+D597+E597+G597+H597+I597+J597+K597+L597</f>
        <v>0</v>
      </c>
      <c r="N597">
        <f>0+D597+F597+G597+H597+I597+J597+K597+L597</f>
        <v>0</v>
      </c>
    </row>
    <row r="598" spans="3:14">
      <c r="C598" t="s">
        <v>20</v>
      </c>
      <c r="D598">
        <f>5.2991*$D$587</f>
        <v>0</v>
      </c>
      <c r="E598">
        <f>92.9063*$E$587</f>
        <v>0</v>
      </c>
      <c r="F598">
        <f>-72.2854*$F$587</f>
        <v>0</v>
      </c>
      <c r="G598">
        <f>0.268*$G$587</f>
        <v>0</v>
      </c>
      <c r="H598">
        <f>0*$H$587</f>
        <v>0</v>
      </c>
      <c r="I598">
        <f>0.6976*$I$587</f>
        <v>0</v>
      </c>
      <c r="J598">
        <f>62.538*$J$587</f>
        <v>0</v>
      </c>
      <c r="K598">
        <f>-83.384*$K$587</f>
        <v>0</v>
      </c>
      <c r="L598">
        <f>-0.0349*$L$587</f>
        <v>0</v>
      </c>
      <c r="M598">
        <f>0+D598+E598+G598+H598+I598+J598+K598+L598</f>
        <v>0</v>
      </c>
      <c r="N598">
        <f>0+D598+F598+G598+H598+I598+J598+K598+L598</f>
        <v>0</v>
      </c>
    </row>
    <row r="599" spans="3:14">
      <c r="C599" t="s">
        <v>20</v>
      </c>
      <c r="D599">
        <f>4.1972*$D$587</f>
        <v>0</v>
      </c>
      <c r="E599">
        <f>68.5425*$E$587</f>
        <v>0</v>
      </c>
      <c r="F599">
        <f>-82.3554*$F$587</f>
        <v>0</v>
      </c>
      <c r="G599">
        <f>9.0855*$G$587</f>
        <v>0</v>
      </c>
      <c r="H599">
        <f>0*$H$587</f>
        <v>0</v>
      </c>
      <c r="I599">
        <f>0.1193*$I$587</f>
        <v>0</v>
      </c>
      <c r="J599">
        <f>9.4734*$J$587</f>
        <v>0</v>
      </c>
      <c r="K599">
        <f>-12.6312*$K$587</f>
        <v>0</v>
      </c>
      <c r="L599">
        <f>-0.0366*$L$587</f>
        <v>0</v>
      </c>
      <c r="M599">
        <f>0+D599+E599+G599+H599+I599+J599+K599+L599</f>
        <v>0</v>
      </c>
      <c r="N599">
        <f>0+D599+F599+G599+H599+I599+J599+K599+L599</f>
        <v>0</v>
      </c>
    </row>
    <row r="600" spans="3:14">
      <c r="C600" t="s">
        <v>21</v>
      </c>
      <c r="D600">
        <f>6.503*$D$587</f>
        <v>0</v>
      </c>
      <c r="E600">
        <f>68.6836*$E$587</f>
        <v>0</v>
      </c>
      <c r="F600">
        <f>-78.3781*$F$587</f>
        <v>0</v>
      </c>
      <c r="G600">
        <f>7.1452*$G$587</f>
        <v>0</v>
      </c>
      <c r="H600">
        <f>0*$H$587</f>
        <v>0</v>
      </c>
      <c r="I600">
        <f>0.1551*$I$587</f>
        <v>0</v>
      </c>
      <c r="J600">
        <f>12.9908*$J$587</f>
        <v>0</v>
      </c>
      <c r="K600">
        <f>-17.321*$K$587</f>
        <v>0</v>
      </c>
      <c r="L600">
        <f>-0.0373*$L$587</f>
        <v>0</v>
      </c>
      <c r="M600">
        <f>0+D600+E600+G600+H600+I600+J600+K600+L600</f>
        <v>0</v>
      </c>
      <c r="N600">
        <f>0+D600+F600+G600+H600+I600+J600+K600+L600</f>
        <v>0</v>
      </c>
    </row>
    <row r="601" spans="3:14">
      <c r="C601" t="s">
        <v>21</v>
      </c>
      <c r="D601">
        <f>2.4753*$D$587</f>
        <v>0</v>
      </c>
      <c r="E601">
        <f>68.5229*$E$587</f>
        <v>0</v>
      </c>
      <c r="F601">
        <f>-74.7521*$F$587</f>
        <v>0</v>
      </c>
      <c r="G601">
        <f>5.8769*$G$587</f>
        <v>0</v>
      </c>
      <c r="H601">
        <f>0*$H$587</f>
        <v>0</v>
      </c>
      <c r="I601">
        <f>0.1271*$I$587</f>
        <v>0</v>
      </c>
      <c r="J601">
        <f>13.4536*$J$587</f>
        <v>0</v>
      </c>
      <c r="K601">
        <f>-17.9381*$K$587</f>
        <v>0</v>
      </c>
      <c r="L601">
        <f>-0.0383*$L$587</f>
        <v>0</v>
      </c>
      <c r="M601">
        <f>0+D601+E601+G601+H601+I601+J601+K601+L601</f>
        <v>0</v>
      </c>
      <c r="N601">
        <f>0+D601+F601+G601+H601+I601+J601+K601+L601</f>
        <v>0</v>
      </c>
    </row>
    <row r="602" spans="3:14">
      <c r="C602" t="s">
        <v>22</v>
      </c>
      <c r="D602">
        <f>4.7974*$D$587</f>
        <v>0</v>
      </c>
      <c r="E602">
        <f>69.3638*$E$587</f>
        <v>0</v>
      </c>
      <c r="F602">
        <f>-71.7*$F$587</f>
        <v>0</v>
      </c>
      <c r="G602">
        <f>4.1962*$G$587</f>
        <v>0</v>
      </c>
      <c r="H602">
        <f>0*$H$587</f>
        <v>0</v>
      </c>
      <c r="I602">
        <f>0.1629*$I$587</f>
        <v>0</v>
      </c>
      <c r="J602">
        <f>15.9328*$J$587</f>
        <v>0</v>
      </c>
      <c r="K602">
        <f>-21.2438*$K$587</f>
        <v>0</v>
      </c>
      <c r="L602">
        <f>-0.0388*$L$587</f>
        <v>0</v>
      </c>
      <c r="M602">
        <f>0+D602+E602+G602+H602+I602+J602+K602+L602</f>
        <v>0</v>
      </c>
      <c r="N602">
        <f>0+D602+F602+G602+H602+I602+J602+K602+L602</f>
        <v>0</v>
      </c>
    </row>
    <row r="603" spans="3:14">
      <c r="C603" t="s">
        <v>22</v>
      </c>
      <c r="D603">
        <f>0.8475*$D$587</f>
        <v>0</v>
      </c>
      <c r="E603">
        <f>68.7517*$E$587</f>
        <v>0</v>
      </c>
      <c r="F603">
        <f>-69.6085*$F$587</f>
        <v>0</v>
      </c>
      <c r="G603">
        <f>2.9881*$G$587</f>
        <v>0</v>
      </c>
      <c r="H603">
        <f>0*$H$587</f>
        <v>0</v>
      </c>
      <c r="I603">
        <f>0.1449*$I$587</f>
        <v>0</v>
      </c>
      <c r="J603">
        <f>16.8081*$J$587</f>
        <v>0</v>
      </c>
      <c r="K603">
        <f>-22.4108*$K$587</f>
        <v>0</v>
      </c>
      <c r="L603">
        <f>-0.0396*$L$587</f>
        <v>0</v>
      </c>
      <c r="M603">
        <f>0+D603+E603+G603+H603+I603+J603+K603+L603</f>
        <v>0</v>
      </c>
      <c r="N603">
        <f>0+D603+F603+G603+H603+I603+J603+K603+L603</f>
        <v>0</v>
      </c>
    </row>
    <row r="604" spans="3:14">
      <c r="C604" t="s">
        <v>23</v>
      </c>
      <c r="D604">
        <f>3.1378*$D$587</f>
        <v>0</v>
      </c>
      <c r="E604">
        <f>69.5528*$E$587</f>
        <v>0</v>
      </c>
      <c r="F604">
        <f>-68.1144*$F$587</f>
        <v>0</v>
      </c>
      <c r="G604">
        <f>1.4601*$G$587</f>
        <v>0</v>
      </c>
      <c r="H604">
        <f>0*$H$587</f>
        <v>0</v>
      </c>
      <c r="I604">
        <f>0.1637*$I$587</f>
        <v>0</v>
      </c>
      <c r="J604">
        <f>18.6937*$J$587</f>
        <v>0</v>
      </c>
      <c r="K604">
        <f>-24.925*$K$587</f>
        <v>0</v>
      </c>
      <c r="L604">
        <f>-0.0405*$L$587</f>
        <v>0</v>
      </c>
      <c r="M604">
        <f>0+D604+E604+G604+H604+I604+J604+K604+L604</f>
        <v>0</v>
      </c>
      <c r="N604">
        <f>0+D604+F604+G604+H604+I604+J604+K604+L604</f>
        <v>0</v>
      </c>
    </row>
    <row r="605" spans="3:14">
      <c r="C605" t="s">
        <v>23</v>
      </c>
      <c r="D605">
        <f>-0.8387*$D$587</f>
        <v>0</v>
      </c>
      <c r="E605">
        <f>68.8071*$E$587</f>
        <v>0</v>
      </c>
      <c r="F605">
        <f>-65.7081*$F$587</f>
        <v>0</v>
      </c>
      <c r="G605">
        <f>0.2621*$G$587</f>
        <v>0</v>
      </c>
      <c r="H605">
        <f>0*$H$587</f>
        <v>0</v>
      </c>
      <c r="I605">
        <f>0.1407*$I$587</f>
        <v>0</v>
      </c>
      <c r="J605">
        <f>19.6042*$J$587</f>
        <v>0</v>
      </c>
      <c r="K605">
        <f>-26.1389*$K$587</f>
        <v>0</v>
      </c>
      <c r="L605">
        <f>-0.0414*$L$587</f>
        <v>0</v>
      </c>
      <c r="M605">
        <f>0+D605+E605+G605+H605+I605+J605+K605+L605</f>
        <v>0</v>
      </c>
      <c r="N605">
        <f>0+D605+F605+G605+H605+I605+J605+K605+L605</f>
        <v>0</v>
      </c>
    </row>
    <row r="606" spans="3:14">
      <c r="C606" t="s">
        <v>24</v>
      </c>
      <c r="D606">
        <f>1.4092*$D$587</f>
        <v>0</v>
      </c>
      <c r="E606">
        <f>70.4163*$E$587</f>
        <v>0</v>
      </c>
      <c r="F606">
        <f>-62.7111*$F$587</f>
        <v>0</v>
      </c>
      <c r="G606">
        <f>-1.4162*$G$587</f>
        <v>0</v>
      </c>
      <c r="H606">
        <f>0*$H$587</f>
        <v>0</v>
      </c>
      <c r="I606">
        <f>0.1645*$I$587</f>
        <v>0</v>
      </c>
      <c r="J606">
        <f>22.0251*$J$587</f>
        <v>0</v>
      </c>
      <c r="K606">
        <f>-29.3668*$K$587</f>
        <v>0</v>
      </c>
      <c r="L606">
        <f>-0.0428*$L$587</f>
        <v>0</v>
      </c>
      <c r="M606">
        <f>0+D606+E606+G606+H606+I606+J606+K606+L606</f>
        <v>0</v>
      </c>
      <c r="N606">
        <f>0+D606+F606+G606+H606+I606+J606+K606+L606</f>
        <v>0</v>
      </c>
    </row>
    <row r="607" spans="3:14">
      <c r="C607" t="s">
        <v>24</v>
      </c>
      <c r="D607">
        <f>-2.7071*$D$587</f>
        <v>0</v>
      </c>
      <c r="E607">
        <f>70.0218*$E$587</f>
        <v>0</v>
      </c>
      <c r="F607">
        <f>-60.9471*$F$587</f>
        <v>0</v>
      </c>
      <c r="G607">
        <f>-2.6545*$G$587</f>
        <v>0</v>
      </c>
      <c r="H607">
        <f>0*$H$587</f>
        <v>0</v>
      </c>
      <c r="I607">
        <f>0.12*$I$587</f>
        <v>0</v>
      </c>
      <c r="J607">
        <f>22.6267*$J$587</f>
        <v>0</v>
      </c>
      <c r="K607">
        <f>-30.169*$K$587</f>
        <v>0</v>
      </c>
      <c r="L607">
        <f>-0.0437*$L$587</f>
        <v>0</v>
      </c>
      <c r="M607">
        <f>0+D607+E607+G607+H607+I607+J607+K607+L607</f>
        <v>0</v>
      </c>
      <c r="N607">
        <f>0+D607+F607+G607+H607+I607+J607+K607+L607</f>
        <v>0</v>
      </c>
    </row>
    <row r="608" spans="3:14">
      <c r="C608" t="s">
        <v>25</v>
      </c>
      <c r="D608">
        <f>-0.6185*$D$587</f>
        <v>0</v>
      </c>
      <c r="E608">
        <f>70.8793*$E$587</f>
        <v>0</v>
      </c>
      <c r="F608">
        <f>-55.9313*$F$587</f>
        <v>0</v>
      </c>
      <c r="G608">
        <f>-4.5923*$G$587</f>
        <v>0</v>
      </c>
      <c r="H608">
        <f>0*$H$587</f>
        <v>0</v>
      </c>
      <c r="I608">
        <f>0.1217*$I$587</f>
        <v>0</v>
      </c>
      <c r="J608">
        <f>26.1104*$J$587</f>
        <v>0</v>
      </c>
      <c r="K608">
        <f>-34.8139*$K$587</f>
        <v>0</v>
      </c>
      <c r="L608">
        <f>-0.0449*$L$587</f>
        <v>0</v>
      </c>
      <c r="M608">
        <f>0+D608+E608+G608+H608+I608+J608+K608+L608</f>
        <v>0</v>
      </c>
      <c r="N608">
        <f>0+D608+F608+G608+H608+I608+J608+K608+L608</f>
        <v>0</v>
      </c>
    </row>
    <row r="609" spans="3:14">
      <c r="C609" t="s">
        <v>25</v>
      </c>
      <c r="D609">
        <f>0.4513*$D$587</f>
        <v>0</v>
      </c>
      <c r="E609">
        <f>47.2876*$E$587</f>
        <v>0</v>
      </c>
      <c r="F609">
        <f>-67.6638*$F$587</f>
        <v>0</v>
      </c>
      <c r="G609">
        <f>5.6782*$G$587</f>
        <v>0</v>
      </c>
      <c r="H609">
        <f>0*$H$587</f>
        <v>0</v>
      </c>
      <c r="I609">
        <f>-0.2345*$I$587</f>
        <v>0</v>
      </c>
      <c r="J609">
        <f>-14.8517*$J$587</f>
        <v>0</v>
      </c>
      <c r="K609">
        <f>19.8023*$K$587</f>
        <v>0</v>
      </c>
      <c r="L609">
        <f>-0.0462*$L$587</f>
        <v>0</v>
      </c>
      <c r="M609">
        <f>0+D609+E609+G609+H609+I609+J609+K609+L609</f>
        <v>0</v>
      </c>
      <c r="N609">
        <f>0+D609+F609+G609+H609+I609+J609+K609+L609</f>
        <v>0</v>
      </c>
    </row>
    <row r="610" spans="3:14">
      <c r="C610" t="s">
        <v>26</v>
      </c>
      <c r="D610">
        <f>2.6236*$D$587</f>
        <v>0</v>
      </c>
      <c r="E610">
        <f>50.9835*$E$587</f>
        <v>0</v>
      </c>
      <c r="F610">
        <f>-64.5235*$F$587</f>
        <v>0</v>
      </c>
      <c r="G610">
        <f>3.7494*$G$587</f>
        <v>0</v>
      </c>
      <c r="H610">
        <f>0*$H$587</f>
        <v>0</v>
      </c>
      <c r="I610">
        <f>-0.2215*$I$587</f>
        <v>0</v>
      </c>
      <c r="J610">
        <f>-11.3269*$J$587</f>
        <v>0</v>
      </c>
      <c r="K610">
        <f>15.1025*$K$587</f>
        <v>0</v>
      </c>
      <c r="L610">
        <f>-0.0463*$L$587</f>
        <v>0</v>
      </c>
      <c r="M610">
        <f>0+D610+E610+G610+H610+I610+J610+K610+L610</f>
        <v>0</v>
      </c>
      <c r="N610">
        <f>0+D610+F610+G610+H610+I610+J610+K610+L610</f>
        <v>0</v>
      </c>
    </row>
    <row r="611" spans="3:14">
      <c r="C611" t="s">
        <v>26</v>
      </c>
      <c r="D611">
        <f>-1.2812*$D$587</f>
        <v>0</v>
      </c>
      <c r="E611">
        <f>53.1021*$E$587</f>
        <v>0</v>
      </c>
      <c r="F611">
        <f>-63.8199*$F$587</f>
        <v>0</v>
      </c>
      <c r="G611">
        <f>2.5433*$G$587</f>
        <v>0</v>
      </c>
      <c r="H611">
        <f>0*$H$587</f>
        <v>0</v>
      </c>
      <c r="I611">
        <f>-0.2381*$I$587</f>
        <v>0</v>
      </c>
      <c r="J611">
        <f>-10.518*$J$587</f>
        <v>0</v>
      </c>
      <c r="K611">
        <f>14.0239*$K$587</f>
        <v>0</v>
      </c>
      <c r="L611">
        <f>-0.0467*$L$587</f>
        <v>0</v>
      </c>
      <c r="M611">
        <f>0+D611+E611+G611+H611+I611+J611+K611+L611</f>
        <v>0</v>
      </c>
      <c r="N611">
        <f>0+D611+F611+G611+H611+I611+J611+K611+L611</f>
        <v>0</v>
      </c>
    </row>
    <row r="612" spans="3:14">
      <c r="C612" t="s">
        <v>27</v>
      </c>
      <c r="D612">
        <f>1.2714*$D$587</f>
        <v>0</v>
      </c>
      <c r="E612">
        <f>58.0605*$E$587</f>
        <v>0</v>
      </c>
      <c r="F612">
        <f>-61.5037*$F$587</f>
        <v>0</v>
      </c>
      <c r="G612">
        <f>0.9094*$G$587</f>
        <v>0</v>
      </c>
      <c r="H612">
        <f>0*$H$587</f>
        <v>0</v>
      </c>
      <c r="I612">
        <f>-0.174*$I$587</f>
        <v>0</v>
      </c>
      <c r="J612">
        <f>-7.8267*$J$587</f>
        <v>0</v>
      </c>
      <c r="K612">
        <f>10.4356*$K$587</f>
        <v>0</v>
      </c>
      <c r="L612">
        <f>-0.0465*$L$587</f>
        <v>0</v>
      </c>
      <c r="M612">
        <f>0+D612+E612+G612+H612+I612+J612+K612+L612</f>
        <v>0</v>
      </c>
      <c r="N612">
        <f>0+D612+F612+G612+H612+I612+J612+K612+L612</f>
        <v>0</v>
      </c>
    </row>
    <row r="613" spans="3:14">
      <c r="C613" t="s">
        <v>27</v>
      </c>
      <c r="D613">
        <f>-2.2706*$D$587</f>
        <v>0</v>
      </c>
      <c r="E613">
        <f>59.9038*$E$587</f>
        <v>0</v>
      </c>
      <c r="F613">
        <f>-63.0718*$F$587</f>
        <v>0</v>
      </c>
      <c r="G613">
        <f>-0.2282*$G$587</f>
        <v>0</v>
      </c>
      <c r="H613">
        <f>0*$H$587</f>
        <v>0</v>
      </c>
      <c r="I613">
        <f>-0.1394*$I$587</f>
        <v>0</v>
      </c>
      <c r="J613">
        <f>-6.5578*$J$587</f>
        <v>0</v>
      </c>
      <c r="K613">
        <f>8.7437*$K$587</f>
        <v>0</v>
      </c>
      <c r="L613">
        <f>-0.0468*$L$587</f>
        <v>0</v>
      </c>
      <c r="M613">
        <f>0+D613+E613+G613+H613+I613+J613+K613+L613</f>
        <v>0</v>
      </c>
      <c r="N613">
        <f>0+D613+F613+G613+H613+I613+J613+K613+L613</f>
        <v>0</v>
      </c>
    </row>
    <row r="614" spans="3:14">
      <c r="C614" t="s">
        <v>28</v>
      </c>
      <c r="D614">
        <f>0.5566*$D$587</f>
        <v>0</v>
      </c>
      <c r="E614">
        <f>62.6499*$E$587</f>
        <v>0</v>
      </c>
      <c r="F614">
        <f>-61.0947*$F$587</f>
        <v>0</v>
      </c>
      <c r="G614">
        <f>-1.6809*$G$587</f>
        <v>0</v>
      </c>
      <c r="H614">
        <f>0*$H$587</f>
        <v>0</v>
      </c>
      <c r="I614">
        <f>-0.0492*$I$587</f>
        <v>0</v>
      </c>
      <c r="J614">
        <f>-4.2364*$J$587</f>
        <v>0</v>
      </c>
      <c r="K614">
        <f>5.6485*$K$587</f>
        <v>0</v>
      </c>
      <c r="L614">
        <f>-0.0471*$L$587</f>
        <v>0</v>
      </c>
      <c r="M614">
        <f>0+D614+E614+G614+H614+I614+J614+K614+L614</f>
        <v>0</v>
      </c>
      <c r="N614">
        <f>0+D614+F614+G614+H614+I614+J614+K614+L614</f>
        <v>0</v>
      </c>
    </row>
    <row r="615" spans="3:14">
      <c r="C615" t="s">
        <v>28</v>
      </c>
      <c r="D615">
        <f>-2.7381*$D$587</f>
        <v>0</v>
      </c>
      <c r="E615">
        <f>65.2372*$E$587</f>
        <v>0</v>
      </c>
      <c r="F615">
        <f>-61.7472*$F$587</f>
        <v>0</v>
      </c>
      <c r="G615">
        <f>-2.8081*$G$587</f>
        <v>0</v>
      </c>
      <c r="H615">
        <f>0*$H$587</f>
        <v>0</v>
      </c>
      <c r="I615">
        <f>0.0207*$I$587</f>
        <v>0</v>
      </c>
      <c r="J615">
        <f>-2.9448*$J$587</f>
        <v>0</v>
      </c>
      <c r="K615">
        <f>3.9263*$K$587</f>
        <v>0</v>
      </c>
      <c r="L615">
        <f>-0.0474*$L$587</f>
        <v>0</v>
      </c>
      <c r="M615">
        <f>0+D615+E615+G615+H615+I615+J615+K615+L615</f>
        <v>0</v>
      </c>
      <c r="N615">
        <f>0+D615+F615+G615+H615+I615+J615+K615+L615</f>
        <v>0</v>
      </c>
    </row>
    <row r="616" spans="3:14">
      <c r="C616" t="s">
        <v>29</v>
      </c>
      <c r="D616">
        <f>0.2899*$D$587</f>
        <v>0</v>
      </c>
      <c r="E616">
        <f>68.74*$E$587</f>
        <v>0</v>
      </c>
      <c r="F616">
        <f>-60.5323*$F$587</f>
        <v>0</v>
      </c>
      <c r="G616">
        <f>-4.4157*$G$587</f>
        <v>0</v>
      </c>
      <c r="H616">
        <f>0*$H$587</f>
        <v>0</v>
      </c>
      <c r="I616">
        <f>0.1526*$I$587</f>
        <v>0</v>
      </c>
      <c r="J616">
        <f>-0.1767*$J$587</f>
        <v>0</v>
      </c>
      <c r="K616">
        <f>0.2356*$K$587</f>
        <v>0</v>
      </c>
      <c r="L616">
        <f>-0.0482*$L$587</f>
        <v>0</v>
      </c>
      <c r="M616">
        <f>0+D616+E616+G616+H616+I616+J616+K616+L616</f>
        <v>0</v>
      </c>
      <c r="N616">
        <f>0+D616+F616+G616+H616+I616+J616+K616+L616</f>
        <v>0</v>
      </c>
    </row>
    <row r="617" spans="3:14">
      <c r="C617" t="s">
        <v>29</v>
      </c>
      <c r="D617">
        <f>-2.8772*$D$587</f>
        <v>0</v>
      </c>
      <c r="E617">
        <f>73.2749*$E$587</f>
        <v>0</v>
      </c>
      <c r="F617">
        <f>-61.0594*$F$587</f>
        <v>0</v>
      </c>
      <c r="G617">
        <f>-5.5891*$G$587</f>
        <v>0</v>
      </c>
      <c r="H617">
        <f>0*$H$587</f>
        <v>0</v>
      </c>
      <c r="I617">
        <f>0.2413*$I$587</f>
        <v>0</v>
      </c>
      <c r="J617">
        <f>0.6882*$J$587</f>
        <v>0</v>
      </c>
      <c r="K617">
        <f>-0.9176*$K$587</f>
        <v>0</v>
      </c>
      <c r="L617">
        <f>-0.0483*$L$587</f>
        <v>0</v>
      </c>
      <c r="M617">
        <f>0+D617+E617+G617+H617+I617+J617+K617+L617</f>
        <v>0</v>
      </c>
      <c r="N617">
        <f>0+D617+F617+G617+H617+I617+J617+K617+L617</f>
        <v>0</v>
      </c>
    </row>
    <row r="618" spans="3:14">
      <c r="C618" t="s">
        <v>30</v>
      </c>
      <c r="D618">
        <f>0.2494*$D$587</f>
        <v>0</v>
      </c>
      <c r="E618">
        <f>78.7675*$E$587</f>
        <v>0</v>
      </c>
      <c r="F618">
        <f>-60.9808*$F$587</f>
        <v>0</v>
      </c>
      <c r="G618">
        <f>-7.4524*$G$587</f>
        <v>0</v>
      </c>
      <c r="H618">
        <f>0*$H$587</f>
        <v>0</v>
      </c>
      <c r="I618">
        <f>0.39*$I$587</f>
        <v>0</v>
      </c>
      <c r="J618">
        <f>4.3211*$J$587</f>
        <v>0</v>
      </c>
      <c r="K618">
        <f>-5.7615*$K$587</f>
        <v>0</v>
      </c>
      <c r="L618">
        <f>-0.0484*$L$587</f>
        <v>0</v>
      </c>
      <c r="M618">
        <f>0+D618+E618+G618+H618+I618+J618+K618+L618</f>
        <v>0</v>
      </c>
      <c r="N618">
        <f>0+D618+F618+G618+H618+I618+J618+K618+L618</f>
        <v>0</v>
      </c>
    </row>
    <row r="619" spans="3:14">
      <c r="C619" t="s">
        <v>30</v>
      </c>
      <c r="D619">
        <f>3.6494*$D$587</f>
        <v>0</v>
      </c>
      <c r="E619">
        <f>75.0157*$E$587</f>
        <v>0</v>
      </c>
      <c r="F619">
        <f>-88.4794*$F$587</f>
        <v>0</v>
      </c>
      <c r="G619">
        <f>2.293*$G$587</f>
        <v>0</v>
      </c>
      <c r="H619">
        <f>0*$H$587</f>
        <v>0</v>
      </c>
      <c r="I619">
        <f>0.3616*$I$587</f>
        <v>0</v>
      </c>
      <c r="J619">
        <f>-40.3301*$J$587</f>
        <v>0</v>
      </c>
      <c r="K619">
        <f>53.7735*$K$587</f>
        <v>0</v>
      </c>
      <c r="L619">
        <f>-0.0468*$L$587</f>
        <v>0</v>
      </c>
      <c r="M619">
        <f>0+D619+E619+G619+H619+I619+J619+K619+L619</f>
        <v>0</v>
      </c>
      <c r="N619">
        <f>0+D619+F619+G619+H619+I619+J619+K619+L619</f>
        <v>0</v>
      </c>
    </row>
    <row r="620" spans="3:14">
      <c r="C620" t="s">
        <v>31</v>
      </c>
      <c r="D620">
        <f>6.5491*$D$587</f>
        <v>0</v>
      </c>
      <c r="E620">
        <f>79.9605*$E$587</f>
        <v>0</v>
      </c>
      <c r="F620">
        <f>-86.3774*$F$587</f>
        <v>0</v>
      </c>
      <c r="G620">
        <f>0.5647*$G$587</f>
        <v>0</v>
      </c>
      <c r="H620">
        <f>0*$H$587</f>
        <v>0</v>
      </c>
      <c r="I620">
        <f>0.5081*$I$587</f>
        <v>0</v>
      </c>
      <c r="J620">
        <f>-36.3063*$J$587</f>
        <v>0</v>
      </c>
      <c r="K620">
        <f>48.4083*$K$587</f>
        <v>0</v>
      </c>
      <c r="L620">
        <f>-0.0457*$L$587</f>
        <v>0</v>
      </c>
      <c r="M620">
        <f>0+D620+E620+G620+H620+I620+J620+K620+L620</f>
        <v>0</v>
      </c>
      <c r="N620">
        <f>0+D620+F620+G620+H620+I620+J620+K620+L620</f>
        <v>0</v>
      </c>
    </row>
    <row r="621" spans="3:14">
      <c r="C621" t="s">
        <v>31</v>
      </c>
      <c r="D621">
        <f>4.0946*$D$587</f>
        <v>0</v>
      </c>
      <c r="E621">
        <f>84.8549*$E$587</f>
        <v>0</v>
      </c>
      <c r="F621">
        <f>-85.796*$F$587</f>
        <v>0</v>
      </c>
      <c r="G621">
        <f>-0.4705*$G$587</f>
        <v>0</v>
      </c>
      <c r="H621">
        <f>0*$H$587</f>
        <v>0</v>
      </c>
      <c r="I621">
        <f>0.6497*$I$587</f>
        <v>0</v>
      </c>
      <c r="J621">
        <f>-35.4042*$J$587</f>
        <v>0</v>
      </c>
      <c r="K621">
        <f>47.2056*$K$587</f>
        <v>0</v>
      </c>
      <c r="L621">
        <f>-0.0454*$L$587</f>
        <v>0</v>
      </c>
      <c r="M621">
        <f>0+D621+E621+G621+H621+I621+J621+K621+L621</f>
        <v>0</v>
      </c>
      <c r="N621">
        <f>0+D621+F621+G621+H621+I621+J621+K621+L621</f>
        <v>0</v>
      </c>
    </row>
    <row r="622" spans="3:14">
      <c r="C622" t="s">
        <v>32</v>
      </c>
      <c r="D622">
        <f>7.4731*$D$587</f>
        <v>0</v>
      </c>
      <c r="E622">
        <f>88.3756*$E$587</f>
        <v>0</v>
      </c>
      <c r="F622">
        <f>-82.7071*$F$587</f>
        <v>0</v>
      </c>
      <c r="G622">
        <f>-1.9295*$G$587</f>
        <v>0</v>
      </c>
      <c r="H622">
        <f>0*$H$587</f>
        <v>0</v>
      </c>
      <c r="I622">
        <f>0.8646*$I$587</f>
        <v>0</v>
      </c>
      <c r="J622">
        <f>-32.2553*$J$587</f>
        <v>0</v>
      </c>
      <c r="K622">
        <f>43.0071*$K$587</f>
        <v>0</v>
      </c>
      <c r="L622">
        <f>-0.0445*$L$587</f>
        <v>0</v>
      </c>
      <c r="M622">
        <f>0+D622+E622+G622+H622+I622+J622+K622+L622</f>
        <v>0</v>
      </c>
      <c r="N622">
        <f>0+D622+F622+G622+H622+I622+J622+K622+L622</f>
        <v>0</v>
      </c>
    </row>
    <row r="623" spans="3:14">
      <c r="C623" t="s">
        <v>32</v>
      </c>
      <c r="D623">
        <f>5.4343*$D$587</f>
        <v>0</v>
      </c>
      <c r="E623">
        <f>93.2826*$E$587</f>
        <v>0</v>
      </c>
      <c r="F623">
        <f>-81.7911*$F$587</f>
        <v>0</v>
      </c>
      <c r="G623">
        <f>-2.8673*$G$587</f>
        <v>0</v>
      </c>
      <c r="H623">
        <f>0*$H$587</f>
        <v>0</v>
      </c>
      <c r="I623">
        <f>1.0678*$I$587</f>
        <v>0</v>
      </c>
      <c r="J623">
        <f>-30.7231*$J$587</f>
        <v>0</v>
      </c>
      <c r="K623">
        <f>40.9641*$K$587</f>
        <v>0</v>
      </c>
      <c r="L623">
        <f>-0.0445*$L$587</f>
        <v>0</v>
      </c>
      <c r="M623">
        <f>0+D623+E623+G623+H623+I623+J623+K623+L623</f>
        <v>0</v>
      </c>
      <c r="N623">
        <f>0+D623+F623+G623+H623+I623+J623+K623+L623</f>
        <v>0</v>
      </c>
    </row>
    <row r="624" spans="3:14">
      <c r="C624" t="s">
        <v>33</v>
      </c>
      <c r="D624">
        <f>9.4034*$D$587</f>
        <v>0</v>
      </c>
      <c r="E624">
        <f>98.3011*$E$587</f>
        <v>0</v>
      </c>
      <c r="F624">
        <f>-79.0906*$F$587</f>
        <v>0</v>
      </c>
      <c r="G624">
        <f>-4.0908*$G$587</f>
        <v>0</v>
      </c>
      <c r="H624">
        <f>0*$H$587</f>
        <v>0</v>
      </c>
      <c r="I624">
        <f>1.355*$I$587</f>
        <v>0</v>
      </c>
      <c r="J624">
        <f>-28.1124*$J$587</f>
        <v>0</v>
      </c>
      <c r="K624">
        <f>37.4832*$K$587</f>
        <v>0</v>
      </c>
      <c r="L624">
        <f>-0.0445*$L$587</f>
        <v>0</v>
      </c>
      <c r="M624">
        <f>0+D624+E624+G624+H624+I624+J624+K624+L624</f>
        <v>0</v>
      </c>
      <c r="N624">
        <f>0+D624+F624+G624+H624+I624+J624+K624+L624</f>
        <v>0</v>
      </c>
    </row>
    <row r="625" spans="3:14">
      <c r="C625" t="s">
        <v>33</v>
      </c>
      <c r="D625">
        <f>7.8016*$D$587</f>
        <v>0</v>
      </c>
      <c r="E625">
        <f>103.8925*$E$587</f>
        <v>0</v>
      </c>
      <c r="F625">
        <f>-77.5296*$F$587</f>
        <v>0</v>
      </c>
      <c r="G625">
        <f>-4.9069*$G$587</f>
        <v>0</v>
      </c>
      <c r="H625">
        <f>0*$H$587</f>
        <v>0</v>
      </c>
      <c r="I625">
        <f>1.6191*$I$587</f>
        <v>0</v>
      </c>
      <c r="J625">
        <f>-26.461*$J$587</f>
        <v>0</v>
      </c>
      <c r="K625">
        <f>35.2814*$K$587</f>
        <v>0</v>
      </c>
      <c r="L625">
        <f>-0.045*$L$587</f>
        <v>0</v>
      </c>
      <c r="M625">
        <f>0+D625+E625+G625+H625+I625+J625+K625+L625</f>
        <v>0</v>
      </c>
      <c r="N625">
        <f>0+D625+F625+G625+H625+I625+J625+K625+L625</f>
        <v>0</v>
      </c>
    </row>
    <row r="626" spans="3:14">
      <c r="C626" t="s">
        <v>34</v>
      </c>
      <c r="D626">
        <f>11.9304*$D$587</f>
        <v>0</v>
      </c>
      <c r="E626">
        <f>110.8209*$E$587</f>
        <v>0</v>
      </c>
      <c r="F626">
        <f>-75.1015*$F$587</f>
        <v>0</v>
      </c>
      <c r="G626">
        <f>-6.0796*$G$587</f>
        <v>0</v>
      </c>
      <c r="H626">
        <f>0*$H$587</f>
        <v>0</v>
      </c>
      <c r="I626">
        <f>1.9372*$I$587</f>
        <v>0</v>
      </c>
      <c r="J626">
        <f>-22.8091*$J$587</f>
        <v>0</v>
      </c>
      <c r="K626">
        <f>30.4121*$K$587</f>
        <v>0</v>
      </c>
      <c r="L626">
        <f>-0.0456*$L$587</f>
        <v>0</v>
      </c>
      <c r="M626">
        <f>0+D626+E626+G626+H626+I626+J626+K626+L626</f>
        <v>0</v>
      </c>
      <c r="N626">
        <f>0+D626+F626+G626+H626+I626+J626+K626+L626</f>
        <v>0</v>
      </c>
    </row>
    <row r="627" spans="3:14">
      <c r="C627" t="s">
        <v>34</v>
      </c>
      <c r="D627">
        <f>9.8599*$D$587</f>
        <v>0</v>
      </c>
      <c r="E627">
        <f>115.374*$E$587</f>
        <v>0</v>
      </c>
      <c r="F627">
        <f>-74.1228*$F$587</f>
        <v>0</v>
      </c>
      <c r="G627">
        <f>-6.7408*$G$587</f>
        <v>0</v>
      </c>
      <c r="H627">
        <f>0*$H$587</f>
        <v>0</v>
      </c>
      <c r="I627">
        <f>2.1333*$I$587</f>
        <v>0</v>
      </c>
      <c r="J627">
        <f>-20.3845*$J$587</f>
        <v>0</v>
      </c>
      <c r="K627">
        <f>27.1793*$K$587</f>
        <v>0</v>
      </c>
      <c r="L627">
        <f>-0.0457*$L$587</f>
        <v>0</v>
      </c>
      <c r="M627">
        <f>0+D627+E627+G627+H627+I627+J627+K627+L627</f>
        <v>0</v>
      </c>
      <c r="N627">
        <f>0+D627+F627+G627+H627+I627+J627+K627+L627</f>
        <v>0</v>
      </c>
    </row>
    <row r="628" spans="3:14">
      <c r="C628" t="s">
        <v>35</v>
      </c>
      <c r="D628">
        <f>12.5731*$D$587</f>
        <v>0</v>
      </c>
      <c r="E628">
        <f>117.7325*$E$587</f>
        <v>0</v>
      </c>
      <c r="F628">
        <f>-73.1469*$F$587</f>
        <v>0</v>
      </c>
      <c r="G628">
        <f>-7.7891*$G$587</f>
        <v>0</v>
      </c>
      <c r="H628">
        <f>0*$H$587</f>
        <v>0</v>
      </c>
      <c r="I628">
        <f>2.2548*$I$587</f>
        <v>0</v>
      </c>
      <c r="J628">
        <f>-11.8609*$J$587</f>
        <v>0</v>
      </c>
      <c r="K628">
        <f>15.8145*$K$587</f>
        <v>0</v>
      </c>
      <c r="L628">
        <f>-0.045*$L$587</f>
        <v>0</v>
      </c>
      <c r="M628">
        <f>0+D628+E628+G628+H628+I628+J628+K628+L628</f>
        <v>0</v>
      </c>
      <c r="N628">
        <f>0+D628+F628+G628+H628+I628+J628+K628+L628</f>
        <v>0</v>
      </c>
    </row>
    <row r="629" spans="3:14">
      <c r="C629" t="s">
        <v>35</v>
      </c>
      <c r="D629">
        <f>10.2969*$D$587</f>
        <v>0</v>
      </c>
      <c r="E629">
        <f>67.5776*$E$587</f>
        <v>0</v>
      </c>
      <c r="F629">
        <f>-94.9645*$F$587</f>
        <v>0</v>
      </c>
      <c r="G629">
        <f>-1.2417*$G$587</f>
        <v>0</v>
      </c>
      <c r="H629">
        <f>0*$H$587</f>
        <v>0</v>
      </c>
      <c r="I629">
        <f>1.6805*$I$587</f>
        <v>0</v>
      </c>
      <c r="J629">
        <f>-32.6748*$J$587</f>
        <v>0</v>
      </c>
      <c r="K629">
        <f>43.5664*$K$587</f>
        <v>0</v>
      </c>
      <c r="L629">
        <f>-0.03*$L$587</f>
        <v>0</v>
      </c>
      <c r="M629">
        <f>0+D629+E629+G629+H629+I629+J629+K629+L629</f>
        <v>0</v>
      </c>
      <c r="N629">
        <f>0+D629+F629+G629+H629+I629+J629+K629+L629</f>
        <v>0</v>
      </c>
    </row>
    <row r="630" spans="3:14">
      <c r="C630" t="s">
        <v>36</v>
      </c>
      <c r="D630">
        <f>13.0802*$D$587</f>
        <v>0</v>
      </c>
      <c r="E630">
        <f>67.5776*$E$587</f>
        <v>0</v>
      </c>
      <c r="F630">
        <f>-94.9699*$F$587</f>
        <v>0</v>
      </c>
      <c r="G630">
        <f>-1.2417*$G$587</f>
        <v>0</v>
      </c>
      <c r="H630">
        <f>0*$H$587</f>
        <v>0</v>
      </c>
      <c r="I630">
        <f>1.6805*$I$587</f>
        <v>0</v>
      </c>
      <c r="J630">
        <f>-32.6748*$J$587</f>
        <v>0</v>
      </c>
      <c r="K630">
        <f>43.5664*$K$587</f>
        <v>0</v>
      </c>
      <c r="L630">
        <f>-0.03*$L$587</f>
        <v>0</v>
      </c>
      <c r="M630">
        <f>0+D630+E630+G630+H630+I630+J630+K630+L630</f>
        <v>0</v>
      </c>
      <c r="N630">
        <f>0+D630+F630+G630+H630+I630+J630+K630+L630</f>
        <v>0</v>
      </c>
    </row>
    <row r="631" spans="3:14">
      <c r="C631" t="s">
        <v>36</v>
      </c>
      <c r="D631">
        <f>-12.5759*$D$587</f>
        <v>0</v>
      </c>
      <c r="E631">
        <f>51.6769*$E$587</f>
        <v>0</v>
      </c>
      <c r="F631">
        <f>-69.7771*$F$587</f>
        <v>0</v>
      </c>
      <c r="G631">
        <f>0.9606*$G$587</f>
        <v>0</v>
      </c>
      <c r="H631">
        <f>0*$H$587</f>
        <v>0</v>
      </c>
      <c r="I631">
        <f>-1.5901*$I$587</f>
        <v>0</v>
      </c>
      <c r="J631">
        <f>29.8741*$J$587</f>
        <v>0</v>
      </c>
      <c r="K631">
        <f>-39.8321*$K$587</f>
        <v>0</v>
      </c>
      <c r="L631">
        <f>-0.9045*$L$587</f>
        <v>0</v>
      </c>
      <c r="M631">
        <f>0+D631+E631+G631+H631+I631+J631+K631+L631</f>
        <v>0</v>
      </c>
      <c r="N631">
        <f>0+D631+F631+G631+H631+I631+J631+K631+L631</f>
        <v>0</v>
      </c>
    </row>
    <row r="632" spans="3:14">
      <c r="C632" t="s">
        <v>37</v>
      </c>
      <c r="D632">
        <f>-9.7926*$D$587</f>
        <v>0</v>
      </c>
      <c r="E632">
        <f>51.6769*$E$587</f>
        <v>0</v>
      </c>
      <c r="F632">
        <f>-69.7771*$F$587</f>
        <v>0</v>
      </c>
      <c r="G632">
        <f>0.9606*$G$587</f>
        <v>0</v>
      </c>
      <c r="H632">
        <f>0*$H$587</f>
        <v>0</v>
      </c>
      <c r="I632">
        <f>-1.5901*$I$587</f>
        <v>0</v>
      </c>
      <c r="J632">
        <f>29.8741*$J$587</f>
        <v>0</v>
      </c>
      <c r="K632">
        <f>-39.8321*$K$587</f>
        <v>0</v>
      </c>
      <c r="L632">
        <f>-0.9045*$L$587</f>
        <v>0</v>
      </c>
      <c r="M632">
        <f>0+D632+E632+G632+H632+I632+J632+K632+L632</f>
        <v>0</v>
      </c>
      <c r="N632">
        <f>0+D632+F632+G632+H632+I632+J632+K632+L632</f>
        <v>0</v>
      </c>
    </row>
    <row r="633" spans="3:14">
      <c r="C633" t="s">
        <v>37</v>
      </c>
      <c r="D633">
        <f>-11.9826*$D$587</f>
        <v>0</v>
      </c>
      <c r="E633">
        <f>79.0859*$E$587</f>
        <v>0</v>
      </c>
      <c r="F633">
        <f>-115.272*$F$587</f>
        <v>0</v>
      </c>
      <c r="G633">
        <f>7.4122*$G$587</f>
        <v>0</v>
      </c>
      <c r="H633">
        <f>0*$H$587</f>
        <v>0</v>
      </c>
      <c r="I633">
        <f>-2.1459*$I$587</f>
        <v>0</v>
      </c>
      <c r="J633">
        <f>8.1514*$J$587</f>
        <v>0</v>
      </c>
      <c r="K633">
        <f>-10.8685*$K$587</f>
        <v>0</v>
      </c>
      <c r="L633">
        <f>-1.3453*$L$587</f>
        <v>0</v>
      </c>
      <c r="M633">
        <f>0+D633+E633+G633+H633+I633+J633+K633+L633</f>
        <v>0</v>
      </c>
      <c r="N633">
        <f>0+D633+F633+G633+H633+I633+J633+K633+L633</f>
        <v>0</v>
      </c>
    </row>
    <row r="634" spans="3:14">
      <c r="C634" t="s">
        <v>38</v>
      </c>
      <c r="D634">
        <f>-9.8771*$D$587</f>
        <v>0</v>
      </c>
      <c r="E634">
        <f>81.8207*$E$587</f>
        <v>0</v>
      </c>
      <c r="F634">
        <f>-125.2801*$F$587</f>
        <v>0</v>
      </c>
      <c r="G634">
        <f>6.3958*$G$587</f>
        <v>0</v>
      </c>
      <c r="H634">
        <f>0*$H$587</f>
        <v>0</v>
      </c>
      <c r="I634">
        <f>-2.1137*$I$587</f>
        <v>0</v>
      </c>
      <c r="J634">
        <f>17.2107*$J$587</f>
        <v>0</v>
      </c>
      <c r="K634">
        <f>-22.9476*$K$587</f>
        <v>0</v>
      </c>
      <c r="L634">
        <f>-1.4193*$L$587</f>
        <v>0</v>
      </c>
      <c r="M634">
        <f>0+D634+E634+G634+H634+I634+J634+K634+L634</f>
        <v>0</v>
      </c>
      <c r="N634">
        <f>0+D634+F634+G634+H634+I634+J634+K634+L634</f>
        <v>0</v>
      </c>
    </row>
    <row r="635" spans="3:14">
      <c r="C635" t="s">
        <v>38</v>
      </c>
      <c r="D635">
        <f>-12.5497*$D$587</f>
        <v>0</v>
      </c>
      <c r="E635">
        <f>83.376*$E$587</f>
        <v>0</v>
      </c>
      <c r="F635">
        <f>-121.2799*$F$587</f>
        <v>0</v>
      </c>
      <c r="G635">
        <f>5.7888*$G$587</f>
        <v>0</v>
      </c>
      <c r="H635">
        <f>0*$H$587</f>
        <v>0</v>
      </c>
      <c r="I635">
        <f>-2.0074*$I$587</f>
        <v>0</v>
      </c>
      <c r="J635">
        <f>20.3758*$J$587</f>
        <v>0</v>
      </c>
      <c r="K635">
        <f>-27.1678*$K$587</f>
        <v>0</v>
      </c>
      <c r="L635">
        <f>-1.4861*$L$587</f>
        <v>0</v>
      </c>
      <c r="M635">
        <f>0+D635+E635+G635+H635+I635+J635+K635+L635</f>
        <v>0</v>
      </c>
      <c r="N635">
        <f>0+D635+F635+G635+H635+I635+J635+K635+L635</f>
        <v>0</v>
      </c>
    </row>
    <row r="636" spans="3:14">
      <c r="C636" t="s">
        <v>39</v>
      </c>
      <c r="D636">
        <f>-8.9373*$D$587</f>
        <v>0</v>
      </c>
      <c r="E636">
        <f>86.0001*$E$587</f>
        <v>0</v>
      </c>
      <c r="F636">
        <f>-114.9645*$F$587</f>
        <v>0</v>
      </c>
      <c r="G636">
        <f>4.6707*$G$587</f>
        <v>0</v>
      </c>
      <c r="H636">
        <f>0*$H$587</f>
        <v>0</v>
      </c>
      <c r="I636">
        <f>-1.767*$I$587</f>
        <v>0</v>
      </c>
      <c r="J636">
        <f>24.7397*$J$587</f>
        <v>0</v>
      </c>
      <c r="K636">
        <f>-32.9863*$K$587</f>
        <v>0</v>
      </c>
      <c r="L636">
        <f>-1.5219*$L$587</f>
        <v>0</v>
      </c>
      <c r="M636">
        <f>0+D636+E636+G636+H636+I636+J636+K636+L636</f>
        <v>0</v>
      </c>
      <c r="N636">
        <f>0+D636+F636+G636+H636+I636+J636+K636+L636</f>
        <v>0</v>
      </c>
    </row>
    <row r="637" spans="3:14">
      <c r="C637" t="s">
        <v>39</v>
      </c>
      <c r="D637">
        <f>-10.962*$D$587</f>
        <v>0</v>
      </c>
      <c r="E637">
        <f>87.1484*$E$587</f>
        <v>0</v>
      </c>
      <c r="F637">
        <f>-109.7288*$F$587</f>
        <v>0</v>
      </c>
      <c r="G637">
        <f>3.9052*$G$587</f>
        <v>0</v>
      </c>
      <c r="H637">
        <f>0*$H$587</f>
        <v>0</v>
      </c>
      <c r="I637">
        <f>-1.567*$I$587</f>
        <v>0</v>
      </c>
      <c r="J637">
        <f>27.0317*$J$587</f>
        <v>0</v>
      </c>
      <c r="K637">
        <f>-36.0423*$K$587</f>
        <v>0</v>
      </c>
      <c r="L637">
        <f>-1.5561*$L$587</f>
        <v>0</v>
      </c>
      <c r="M637">
        <f>0+D637+E637+G637+H637+I637+J637+K637+L637</f>
        <v>0</v>
      </c>
      <c r="N637">
        <f>0+D637+F637+G637+H637+I637+J637+K637+L637</f>
        <v>0</v>
      </c>
    </row>
    <row r="638" spans="3:14">
      <c r="C638" t="s">
        <v>40</v>
      </c>
      <c r="D638">
        <f>-7.3088*$D$587</f>
        <v>0</v>
      </c>
      <c r="E638">
        <f>89.7513*$E$587</f>
        <v>0</v>
      </c>
      <c r="F638">
        <f>-104.9694*$F$587</f>
        <v>0</v>
      </c>
      <c r="G638">
        <f>2.7254*$G$587</f>
        <v>0</v>
      </c>
      <c r="H638">
        <f>0*$H$587</f>
        <v>0</v>
      </c>
      <c r="I638">
        <f>-1.328*$I$587</f>
        <v>0</v>
      </c>
      <c r="J638">
        <f>30.174*$J$587</f>
        <v>0</v>
      </c>
      <c r="K638">
        <f>-40.232*$K$587</f>
        <v>0</v>
      </c>
      <c r="L638">
        <f>-1.593*$L$587</f>
        <v>0</v>
      </c>
      <c r="M638">
        <f>0+D638+E638+G638+H638+I638+J638+K638+L638</f>
        <v>0</v>
      </c>
      <c r="N638">
        <f>0+D638+F638+G638+H638+I638+J638+K638+L638</f>
        <v>0</v>
      </c>
    </row>
    <row r="639" spans="3:14">
      <c r="C639" t="s">
        <v>40</v>
      </c>
      <c r="D639">
        <f>-9.5995*$D$587</f>
        <v>0</v>
      </c>
      <c r="E639">
        <f>90.5668*$E$587</f>
        <v>0</v>
      </c>
      <c r="F639">
        <f>-100.1212*$F$587</f>
        <v>0</v>
      </c>
      <c r="G639">
        <f>1.8285*$G$587</f>
        <v>0</v>
      </c>
      <c r="H639">
        <f>0*$H$587</f>
        <v>0</v>
      </c>
      <c r="I639">
        <f>-1.1636*$I$587</f>
        <v>0</v>
      </c>
      <c r="J639">
        <f>32.1867*$J$587</f>
        <v>0</v>
      </c>
      <c r="K639">
        <f>-42.9157*$K$587</f>
        <v>0</v>
      </c>
      <c r="L639">
        <f>-1.6246*$L$587</f>
        <v>0</v>
      </c>
      <c r="M639">
        <f>0+D639+E639+G639+H639+I639+J639+K639+L639</f>
        <v>0</v>
      </c>
      <c r="N639">
        <f>0+D639+F639+G639+H639+I639+J639+K639+L639</f>
        <v>0</v>
      </c>
    </row>
    <row r="640" spans="3:14">
      <c r="C640" t="s">
        <v>41</v>
      </c>
      <c r="D640">
        <f>-6.3981*$D$587</f>
        <v>0</v>
      </c>
      <c r="E640">
        <f>93.423*$E$587</f>
        <v>0</v>
      </c>
      <c r="F640">
        <f>-95.8058*$F$587</f>
        <v>0</v>
      </c>
      <c r="G640">
        <f>0.4053*$G$587</f>
        <v>0</v>
      </c>
      <c r="H640">
        <f>0*$H$587</f>
        <v>0</v>
      </c>
      <c r="I640">
        <f>-0.9765*$I$587</f>
        <v>0</v>
      </c>
      <c r="J640">
        <f>35.7358*$J$587</f>
        <v>0</v>
      </c>
      <c r="K640">
        <f>-47.6477*$K$587</f>
        <v>0</v>
      </c>
      <c r="L640">
        <f>-1.6716*$L$587</f>
        <v>0</v>
      </c>
      <c r="M640">
        <f>0+D640+E640+G640+H640+I640+J640+K640+L640</f>
        <v>0</v>
      </c>
      <c r="N640">
        <f>0+D640+F640+G640+H640+I640+J640+K640+L640</f>
        <v>0</v>
      </c>
    </row>
    <row r="641" spans="3:14">
      <c r="C641" t="s">
        <v>41</v>
      </c>
      <c r="D641">
        <f>-8.966*$D$587</f>
        <v>0</v>
      </c>
      <c r="E641">
        <f>94.0399*$E$587</f>
        <v>0</v>
      </c>
      <c r="F641">
        <f>-90.8295*$F$587</f>
        <v>0</v>
      </c>
      <c r="G641">
        <f>-0.5964*$G$587</f>
        <v>0</v>
      </c>
      <c r="H641">
        <f>0*$H$587</f>
        <v>0</v>
      </c>
      <c r="I641">
        <f>-0.8533*$I$587</f>
        <v>0</v>
      </c>
      <c r="J641">
        <f>36.9932*$J$587</f>
        <v>0</v>
      </c>
      <c r="K641">
        <f>-49.3242*$K$587</f>
        <v>0</v>
      </c>
      <c r="L641">
        <f>-1.6949*$L$587</f>
        <v>0</v>
      </c>
      <c r="M641">
        <f>0+D641+E641+G641+H641+I641+J641+K641+L641</f>
        <v>0</v>
      </c>
      <c r="N641">
        <f>0+D641+F641+G641+H641+I641+J641+K641+L641</f>
        <v>0</v>
      </c>
    </row>
    <row r="642" spans="3:14">
      <c r="C642" t="s">
        <v>42</v>
      </c>
      <c r="D642">
        <f>-6.1282*$D$587</f>
        <v>0</v>
      </c>
      <c r="E642">
        <f>96.6176*$E$587</f>
        <v>0</v>
      </c>
      <c r="F642">
        <f>-86.0299*$F$587</f>
        <v>0</v>
      </c>
      <c r="G642">
        <f>-2.2935*$G$587</f>
        <v>0</v>
      </c>
      <c r="H642">
        <f>0*$H$587</f>
        <v>0</v>
      </c>
      <c r="I642">
        <f>-0.7176*$I$587</f>
        <v>0</v>
      </c>
      <c r="J642">
        <f>41.3243*$J$587</f>
        <v>0</v>
      </c>
      <c r="K642">
        <f>-55.0991*$K$587</f>
        <v>0</v>
      </c>
      <c r="L642">
        <f>-1.7318*$L$587</f>
        <v>0</v>
      </c>
      <c r="M642">
        <f>0+D642+E642+G642+H642+I642+J642+K642+L642</f>
        <v>0</v>
      </c>
      <c r="N642">
        <f>0+D642+F642+G642+H642+I642+J642+K642+L642</f>
        <v>0</v>
      </c>
    </row>
    <row r="643" spans="3:14">
      <c r="C643" t="s">
        <v>42</v>
      </c>
      <c r="D643">
        <f>-2.6815*$D$587</f>
        <v>0</v>
      </c>
      <c r="E643">
        <f>70.9867*$E$587</f>
        <v>0</v>
      </c>
      <c r="F643">
        <f>-90.9621*$F$587</f>
        <v>0</v>
      </c>
      <c r="G643">
        <f>7.4356*$G$587</f>
        <v>0</v>
      </c>
      <c r="H643">
        <f>0*$H$587</f>
        <v>0</v>
      </c>
      <c r="I643">
        <f>-0.74*$I$587</f>
        <v>0</v>
      </c>
      <c r="J643">
        <f>-3.3566*$J$587</f>
        <v>0</v>
      </c>
      <c r="K643">
        <f>4.4755*$K$587</f>
        <v>0</v>
      </c>
      <c r="L643">
        <f>-1.803*$L$587</f>
        <v>0</v>
      </c>
      <c r="M643">
        <f>0+D643+E643+G643+H643+I643+J643+K643+L643</f>
        <v>0</v>
      </c>
      <c r="N643">
        <f>0+D643+F643+G643+H643+I643+J643+K643+L643</f>
        <v>0</v>
      </c>
    </row>
    <row r="644" spans="3:14">
      <c r="C644" t="s">
        <v>43</v>
      </c>
      <c r="D644">
        <f>0.4822*$D$587</f>
        <v>0</v>
      </c>
      <c r="E644">
        <f>70.5224*$E$587</f>
        <v>0</v>
      </c>
      <c r="F644">
        <f>-85.2557*$F$587</f>
        <v>0</v>
      </c>
      <c r="G644">
        <f>5.6079*$G$587</f>
        <v>0</v>
      </c>
      <c r="H644">
        <f>0*$H$587</f>
        <v>0</v>
      </c>
      <c r="I644">
        <f>-0.5883*$I$587</f>
        <v>0</v>
      </c>
      <c r="J644">
        <f>0.5902*$J$587</f>
        <v>0</v>
      </c>
      <c r="K644">
        <f>-0.7869*$K$587</f>
        <v>0</v>
      </c>
      <c r="L644">
        <f>-1.7875*$L$587</f>
        <v>0</v>
      </c>
      <c r="M644">
        <f>0+D644+E644+G644+H644+I644+J644+K644+L644</f>
        <v>0</v>
      </c>
      <c r="N644">
        <f>0+D644+F644+G644+H644+I644+J644+K644+L644</f>
        <v>0</v>
      </c>
    </row>
    <row r="645" spans="3:14">
      <c r="C645" t="s">
        <v>43</v>
      </c>
      <c r="D645">
        <f>-2.6167*$D$587</f>
        <v>0</v>
      </c>
      <c r="E645">
        <f>69.4826*$E$587</f>
        <v>0</v>
      </c>
      <c r="F645">
        <f>-79.8622*$F$587</f>
        <v>0</v>
      </c>
      <c r="G645">
        <f>4.4722*$G$587</f>
        <v>0</v>
      </c>
      <c r="H645">
        <f>0*$H$587</f>
        <v>0</v>
      </c>
      <c r="I645">
        <f>-0.4924*$I$587</f>
        <v>0</v>
      </c>
      <c r="J645">
        <f>1.794*$J$587</f>
        <v>0</v>
      </c>
      <c r="K645">
        <f>-2.392*$K$587</f>
        <v>0</v>
      </c>
      <c r="L645">
        <f>-1.7759*$L$587</f>
        <v>0</v>
      </c>
      <c r="M645">
        <f>0+D645+E645+G645+H645+I645+J645+K645+L645</f>
        <v>0</v>
      </c>
      <c r="N645">
        <f>0+D645+F645+G645+H645+I645+J645+K645+L645</f>
        <v>0</v>
      </c>
    </row>
    <row r="646" spans="3:14">
      <c r="C646" t="s">
        <v>44</v>
      </c>
      <c r="D646">
        <f>0.5122*$D$587</f>
        <v>0</v>
      </c>
      <c r="E646">
        <f>69.6252*$E$587</f>
        <v>0</v>
      </c>
      <c r="F646">
        <f>-75.4641*$F$587</f>
        <v>0</v>
      </c>
      <c r="G646">
        <f>2.9073*$G$587</f>
        <v>0</v>
      </c>
      <c r="H646">
        <f>0*$H$587</f>
        <v>0</v>
      </c>
      <c r="I646">
        <f>-0.3491*$I$587</f>
        <v>0</v>
      </c>
      <c r="J646">
        <f>4.9352*$J$587</f>
        <v>0</v>
      </c>
      <c r="K646">
        <f>-6.5802*$K$587</f>
        <v>0</v>
      </c>
      <c r="L646">
        <f>-1.7344*$L$587</f>
        <v>0</v>
      </c>
      <c r="M646">
        <f>0+D646+E646+G646+H646+I646+J646+K646+L646</f>
        <v>0</v>
      </c>
      <c r="N646">
        <f>0+D646+F646+G646+H646+I646+J646+K646+L646</f>
        <v>0</v>
      </c>
    </row>
    <row r="647" spans="3:14">
      <c r="C647" t="s">
        <v>44</v>
      </c>
      <c r="D647">
        <f>-2.6539*$D$587</f>
        <v>0</v>
      </c>
      <c r="E647">
        <f>68.1708*$E$587</f>
        <v>0</v>
      </c>
      <c r="F647">
        <f>-71.7359*$F$587</f>
        <v>0</v>
      </c>
      <c r="G647">
        <f>1.8261*$G$587</f>
        <v>0</v>
      </c>
      <c r="H647">
        <f>0*$H$587</f>
        <v>0</v>
      </c>
      <c r="I647">
        <f>-0.2642*$I$587</f>
        <v>0</v>
      </c>
      <c r="J647">
        <f>6.6324*$J$587</f>
        <v>0</v>
      </c>
      <c r="K647">
        <f>-8.8433*$K$587</f>
        <v>0</v>
      </c>
      <c r="L647">
        <f>-1.7008*$L$587</f>
        <v>0</v>
      </c>
      <c r="M647">
        <f>0+D647+E647+G647+H647+I647+J647+K647+L647</f>
        <v>0</v>
      </c>
      <c r="N647">
        <f>0+D647+F647+G647+H647+I647+J647+K647+L647</f>
        <v>0</v>
      </c>
    </row>
    <row r="648" spans="3:14">
      <c r="C648" t="s">
        <v>45</v>
      </c>
      <c r="D648">
        <f>0.3387*$D$587</f>
        <v>0</v>
      </c>
      <c r="E648">
        <f>68.5847*$E$587</f>
        <v>0</v>
      </c>
      <c r="F648">
        <f>-69.3115*$F$587</f>
        <v>0</v>
      </c>
      <c r="G648">
        <f>0.424*$G$587</f>
        <v>0</v>
      </c>
      <c r="H648">
        <f>0*$H$587</f>
        <v>0</v>
      </c>
      <c r="I648">
        <f>-0.1541*$I$587</f>
        <v>0</v>
      </c>
      <c r="J648">
        <f>9.3864*$J$587</f>
        <v>0</v>
      </c>
      <c r="K648">
        <f>-12.5153*$K$587</f>
        <v>0</v>
      </c>
      <c r="L648">
        <f>-1.6598*$L$587</f>
        <v>0</v>
      </c>
      <c r="M648">
        <f>0+D648+E648+G648+H648+I648+J648+K648+L648</f>
        <v>0</v>
      </c>
      <c r="N648">
        <f>0+D648+F648+G648+H648+I648+J648+K648+L648</f>
        <v>0</v>
      </c>
    </row>
    <row r="649" spans="3:14">
      <c r="C649" t="s">
        <v>45</v>
      </c>
      <c r="D649">
        <f>-3.0117*$D$587</f>
        <v>0</v>
      </c>
      <c r="E649">
        <f>67.5082*$E$587</f>
        <v>0</v>
      </c>
      <c r="F649">
        <f>-65.9903*$F$587</f>
        <v>0</v>
      </c>
      <c r="G649">
        <f>-0.6572*$G$587</f>
        <v>0</v>
      </c>
      <c r="H649">
        <f>0*$H$587</f>
        <v>0</v>
      </c>
      <c r="I649">
        <f>-0.0962*$I$587</f>
        <v>0</v>
      </c>
      <c r="J649">
        <f>11.1413*$J$587</f>
        <v>0</v>
      </c>
      <c r="K649">
        <f>-14.8551*$K$587</f>
        <v>0</v>
      </c>
      <c r="L649">
        <f>-1.6117*$L$587</f>
        <v>0</v>
      </c>
      <c r="M649">
        <f>0+D649+E649+G649+H649+I649+J649+K649+L649</f>
        <v>0</v>
      </c>
      <c r="N649">
        <f>0+D649+F649+G649+H649+I649+J649+K649+L649</f>
        <v>0</v>
      </c>
    </row>
    <row r="650" spans="3:14">
      <c r="C650" t="s">
        <v>46</v>
      </c>
      <c r="D650">
        <f>-0.2304*$D$587</f>
        <v>0</v>
      </c>
      <c r="E650">
        <f>68.9612*$E$587</f>
        <v>0</v>
      </c>
      <c r="F650">
        <f>-61.1371*$F$587</f>
        <v>0</v>
      </c>
      <c r="G650">
        <f>-2.231*$G$587</f>
        <v>0</v>
      </c>
      <c r="H650">
        <f>0*$H$587</f>
        <v>0</v>
      </c>
      <c r="I650">
        <f>-0.0038*$I$587</f>
        <v>0</v>
      </c>
      <c r="J650">
        <f>14.3334*$J$587</f>
        <v>0</v>
      </c>
      <c r="K650">
        <f>-19.1112*$K$587</f>
        <v>0</v>
      </c>
      <c r="L650">
        <f>-1.5661*$L$587</f>
        <v>0</v>
      </c>
      <c r="M650">
        <f>0+D650+E650+G650+H650+I650+J650+K650+L650</f>
        <v>0</v>
      </c>
      <c r="N650">
        <f>0+D650+F650+G650+H650+I650+J650+K650+L650</f>
        <v>0</v>
      </c>
    </row>
    <row r="651" spans="3:14">
      <c r="C651" t="s">
        <v>46</v>
      </c>
      <c r="D651">
        <f>-3.8728*$D$587</f>
        <v>0</v>
      </c>
      <c r="E651">
        <f>68.0186*$E$587</f>
        <v>0</v>
      </c>
      <c r="F651">
        <f>-58.9755*$F$587</f>
        <v>0</v>
      </c>
      <c r="G651">
        <f>-3.3667*$G$587</f>
        <v>0</v>
      </c>
      <c r="H651">
        <f>0*$H$587</f>
        <v>0</v>
      </c>
      <c r="I651">
        <f>0.0118*$I$587</f>
        <v>0</v>
      </c>
      <c r="J651">
        <f>15.7364*$J$587</f>
        <v>0</v>
      </c>
      <c r="K651">
        <f>-20.9819*$K$587</f>
        <v>0</v>
      </c>
      <c r="L651">
        <f>-1.487*$L$587</f>
        <v>0</v>
      </c>
      <c r="M651">
        <f>0+D651+E651+G651+H651+I651+J651+K651+L651</f>
        <v>0</v>
      </c>
      <c r="N651">
        <f>0+D651+F651+G651+H651+I651+J651+K651+L651</f>
        <v>0</v>
      </c>
    </row>
    <row r="652" spans="3:14">
      <c r="C652" t="s">
        <v>47</v>
      </c>
      <c r="D652">
        <f>-1.4039*$D$587</f>
        <v>0</v>
      </c>
      <c r="E652">
        <f>69.7463*$E$587</f>
        <v>0</v>
      </c>
      <c r="F652">
        <f>-53.9214*$F$587</f>
        <v>0</v>
      </c>
      <c r="G652">
        <f>-5.2213*$G$587</f>
        <v>0</v>
      </c>
      <c r="H652">
        <f>0*$H$587</f>
        <v>0</v>
      </c>
      <c r="I652">
        <f>0.0619*$I$587</f>
        <v>0</v>
      </c>
      <c r="J652">
        <f>19.8597*$J$587</f>
        <v>0</v>
      </c>
      <c r="K652">
        <f>-26.4797*$K$587</f>
        <v>0</v>
      </c>
      <c r="L652">
        <f>-1.3994*$L$587</f>
        <v>0</v>
      </c>
      <c r="M652">
        <f>0+D652+E652+G652+H652+I652+J652+K652+L652</f>
        <v>0</v>
      </c>
      <c r="N652">
        <f>0+D652+F652+G652+H652+I652+J652+K652+L652</f>
        <v>0</v>
      </c>
    </row>
    <row r="653" spans="3:14">
      <c r="C653" t="s">
        <v>47</v>
      </c>
      <c r="D653">
        <f>-0.1018*$D$587</f>
        <v>0</v>
      </c>
      <c r="E653">
        <f>52.7867*$E$587</f>
        <v>0</v>
      </c>
      <c r="F653">
        <f>-69.9807*$F$587</f>
        <v>0</v>
      </c>
      <c r="G653">
        <f>5.3094*$G$587</f>
        <v>0</v>
      </c>
      <c r="H653">
        <f>0*$H$587</f>
        <v>0</v>
      </c>
      <c r="I653">
        <f>-0.2862*$I$587</f>
        <v>0</v>
      </c>
      <c r="J653">
        <f>-18.2207*$J$587</f>
        <v>0</v>
      </c>
      <c r="K653">
        <f>24.2943*$K$587</f>
        <v>0</v>
      </c>
      <c r="L653">
        <f>-0.9946*$L$587</f>
        <v>0</v>
      </c>
      <c r="M653">
        <f>0+D653+E653+G653+H653+I653+J653+K653+L653</f>
        <v>0</v>
      </c>
      <c r="N653">
        <f>0+D653+F653+G653+H653+I653+J653+K653+L653</f>
        <v>0</v>
      </c>
    </row>
    <row r="654" spans="3:14">
      <c r="C654" t="s">
        <v>48</v>
      </c>
      <c r="D654">
        <f>2.3571*$D$587</f>
        <v>0</v>
      </c>
      <c r="E654">
        <f>57.5913*$E$587</f>
        <v>0</v>
      </c>
      <c r="F654">
        <f>-67.7867*$F$587</f>
        <v>0</v>
      </c>
      <c r="G654">
        <f>3.4529*$G$587</f>
        <v>0</v>
      </c>
      <c r="H654">
        <f>0*$H$587</f>
        <v>0</v>
      </c>
      <c r="I654">
        <f>-0.2375*$I$587</f>
        <v>0</v>
      </c>
      <c r="J654">
        <f>-14.1038*$J$587</f>
        <v>0</v>
      </c>
      <c r="K654">
        <f>18.805*$K$587</f>
        <v>0</v>
      </c>
      <c r="L654">
        <f>-0.8532*$L$587</f>
        <v>0</v>
      </c>
      <c r="M654">
        <f>0+D654+E654+G654+H654+I654+J654+K654+L654</f>
        <v>0</v>
      </c>
      <c r="N654">
        <f>0+D654+F654+G654+H654+I654+J654+K654+L654</f>
        <v>0</v>
      </c>
    </row>
    <row r="655" spans="3:14">
      <c r="C655" t="s">
        <v>48</v>
      </c>
      <c r="D655">
        <f>-1.3277*$D$587</f>
        <v>0</v>
      </c>
      <c r="E655">
        <f>59.661*$E$587</f>
        <v>0</v>
      </c>
      <c r="F655">
        <f>-68.6815*$F$587</f>
        <v>0</v>
      </c>
      <c r="G655">
        <f>2.3131*$G$587</f>
        <v>0</v>
      </c>
      <c r="H655">
        <f>0*$H$587</f>
        <v>0</v>
      </c>
      <c r="I655">
        <f>-0.2279*$I$587</f>
        <v>0</v>
      </c>
      <c r="J655">
        <f>-12.7006*$J$587</f>
        <v>0</v>
      </c>
      <c r="K655">
        <f>16.9341*$K$587</f>
        <v>0</v>
      </c>
      <c r="L655">
        <f>-0.7197*$L$587</f>
        <v>0</v>
      </c>
      <c r="M655">
        <f>0+D655+E655+G655+H655+I655+J655+K655+L655</f>
        <v>0</v>
      </c>
      <c r="N655">
        <f>0+D655+F655+G655+H655+I655+J655+K655+L655</f>
        <v>0</v>
      </c>
    </row>
    <row r="656" spans="3:14">
      <c r="C656" t="s">
        <v>49</v>
      </c>
      <c r="D656">
        <f>1.3977*$D$587</f>
        <v>0</v>
      </c>
      <c r="E656">
        <f>64.7429*$E$587</f>
        <v>0</v>
      </c>
      <c r="F656">
        <f>-68.6476*$F$587</f>
        <v>0</v>
      </c>
      <c r="G656">
        <f>0.7333*$G$587</f>
        <v>0</v>
      </c>
      <c r="H656">
        <f>0*$H$587</f>
        <v>0</v>
      </c>
      <c r="I656">
        <f>-0.1435*$I$587</f>
        <v>0</v>
      </c>
      <c r="J656">
        <f>-9.512*$J$587</f>
        <v>0</v>
      </c>
      <c r="K656">
        <f>12.6827*$K$587</f>
        <v>0</v>
      </c>
      <c r="L656">
        <f>-0.5604*$L$587</f>
        <v>0</v>
      </c>
      <c r="M656">
        <f>0+D656+E656+G656+H656+I656+J656+K656+L656</f>
        <v>0</v>
      </c>
      <c r="N656">
        <f>0+D656+F656+G656+H656+I656+J656+K656+L656</f>
        <v>0</v>
      </c>
    </row>
    <row r="657" spans="3:14">
      <c r="C657" t="s">
        <v>49</v>
      </c>
      <c r="D657">
        <f>-2.0324*$D$587</f>
        <v>0</v>
      </c>
      <c r="E657">
        <f>68.0584*$E$587</f>
        <v>0</v>
      </c>
      <c r="F657">
        <f>-68.4733*$F$587</f>
        <v>0</v>
      </c>
      <c r="G657">
        <f>-0.3569*$G$587</f>
        <v>0</v>
      </c>
      <c r="H657">
        <f>0*$H$587</f>
        <v>0</v>
      </c>
      <c r="I657">
        <f>-0.097*$I$587</f>
        <v>0</v>
      </c>
      <c r="J657">
        <f>-7.7651*$J$587</f>
        <v>0</v>
      </c>
      <c r="K657">
        <f>10.3535*$K$587</f>
        <v>0</v>
      </c>
      <c r="L657">
        <f>-0.4149*$L$587</f>
        <v>0</v>
      </c>
      <c r="M657">
        <f>0+D657+E657+G657+H657+I657+J657+K657+L657</f>
        <v>0</v>
      </c>
      <c r="N657">
        <f>0+D657+F657+G657+H657+I657+J657+K657+L657</f>
        <v>0</v>
      </c>
    </row>
    <row r="658" spans="3:14">
      <c r="C658" t="s">
        <v>50</v>
      </c>
      <c r="D658">
        <f>0.8633*$D$587</f>
        <v>0</v>
      </c>
      <c r="E658">
        <f>70.3638*$E$587</f>
        <v>0</v>
      </c>
      <c r="F658">
        <f>-68.1303*$F$587</f>
        <v>0</v>
      </c>
      <c r="G658">
        <f>-1.7698*$G$587</f>
        <v>0</v>
      </c>
      <c r="H658">
        <f>0*$H$587</f>
        <v>0</v>
      </c>
      <c r="I658">
        <f>-0.0006187*$I$587</f>
        <v>0</v>
      </c>
      <c r="J658">
        <f>-5.0202*$J$587</f>
        <v>0</v>
      </c>
      <c r="K658">
        <f>6.6936*$K$587</f>
        <v>0</v>
      </c>
      <c r="L658">
        <f>-0.2562*$L$587</f>
        <v>0</v>
      </c>
      <c r="M658">
        <f>0+D658+E658+G658+H658+I658+J658+K658+L658</f>
        <v>0</v>
      </c>
      <c r="N658">
        <f>0+D658+F658+G658+H658+I658+J658+K658+L658</f>
        <v>0</v>
      </c>
    </row>
    <row r="659" spans="3:14">
      <c r="C659" t="s">
        <v>50</v>
      </c>
      <c r="D659">
        <f>-2.4087*$D$587</f>
        <v>0</v>
      </c>
      <c r="E659">
        <f>74.0772*$E$587</f>
        <v>0</v>
      </c>
      <c r="F659">
        <f>-69.5427*$F$587</f>
        <v>0</v>
      </c>
      <c r="G659">
        <f>-2.8652*$G$587</f>
        <v>0</v>
      </c>
      <c r="H659">
        <f>0*$H$587</f>
        <v>0</v>
      </c>
      <c r="I659">
        <f>0.0693*$I$587</f>
        <v>0</v>
      </c>
      <c r="J659">
        <f>-3.3496*$J$587</f>
        <v>0</v>
      </c>
      <c r="K659">
        <f>4.4662*$K$587</f>
        <v>0</v>
      </c>
      <c r="L659">
        <f>-0.1115*$L$587</f>
        <v>0</v>
      </c>
      <c r="M659">
        <f>0+D659+E659+G659+H659+I659+J659+K659+L659</f>
        <v>0</v>
      </c>
      <c r="N659">
        <f>0+D659+F659+G659+H659+I659+J659+K659+L659</f>
        <v>0</v>
      </c>
    </row>
    <row r="660" spans="3:14">
      <c r="C660" t="s">
        <v>51</v>
      </c>
      <c r="D660">
        <f>0.6261*$D$587</f>
        <v>0</v>
      </c>
      <c r="E660">
        <f>78.4643*$E$587</f>
        <v>0</v>
      </c>
      <c r="F660">
        <f>-69.4716*$F$587</f>
        <v>0</v>
      </c>
      <c r="G660">
        <f>-4.4467*$G$587</f>
        <v>0</v>
      </c>
      <c r="H660">
        <f>0*$H$587</f>
        <v>0</v>
      </c>
      <c r="I660">
        <f>0.1995*$I$587</f>
        <v>0</v>
      </c>
      <c r="J660">
        <f>-0.26*$J$587</f>
        <v>0</v>
      </c>
      <c r="K660">
        <f>0.3466*$K$587</f>
        <v>0</v>
      </c>
      <c r="L660">
        <f>-0.0166*$L$587</f>
        <v>0</v>
      </c>
      <c r="M660">
        <f>0+D660+E660+G660+H660+I660+J660+K660+L660</f>
        <v>0</v>
      </c>
      <c r="N660">
        <f>0+D660+F660+G660+H660+I660+J660+K660+L660</f>
        <v>0</v>
      </c>
    </row>
    <row r="661" spans="3:14">
      <c r="C661" t="s">
        <v>51</v>
      </c>
      <c r="D661">
        <f>-2.5976*$D$587</f>
        <v>0</v>
      </c>
      <c r="E661">
        <f>84.1383*$E$587</f>
        <v>0</v>
      </c>
      <c r="F661">
        <f>-70.7418*$F$587</f>
        <v>0</v>
      </c>
      <c r="G661">
        <f>-5.6026*$G$587</f>
        <v>0</v>
      </c>
      <c r="H661">
        <f>0*$H$587</f>
        <v>0</v>
      </c>
      <c r="I661">
        <f>0.2779*$I$587</f>
        <v>0</v>
      </c>
      <c r="J661">
        <f>0.8866*$J$587</f>
        <v>0</v>
      </c>
      <c r="K661">
        <f>-1.1821*$K$587</f>
        <v>0</v>
      </c>
      <c r="L661">
        <f>0.0857*$L$587</f>
        <v>0</v>
      </c>
      <c r="M661">
        <f>0+D661+E661+G661+H661+I661+J661+K661+L661</f>
        <v>0</v>
      </c>
      <c r="N661">
        <f>0+D661+F661+G661+H661+I661+J661+K661+L661</f>
        <v>0</v>
      </c>
    </row>
    <row r="662" spans="3:14">
      <c r="C662" t="s">
        <v>52</v>
      </c>
      <c r="D662">
        <f>0.4764*$D$587</f>
        <v>0</v>
      </c>
      <c r="E662">
        <f>90.2557*$E$587</f>
        <v>0</v>
      </c>
      <c r="F662">
        <f>-71.4599*$F$587</f>
        <v>0</v>
      </c>
      <c r="G662">
        <f>-7.4537*$G$587</f>
        <v>0</v>
      </c>
      <c r="H662">
        <f>0*$H$587</f>
        <v>0</v>
      </c>
      <c r="I662">
        <f>0.4175*$I$587</f>
        <v>0</v>
      </c>
      <c r="J662">
        <f>4.729*$J$587</f>
        <v>0</v>
      </c>
      <c r="K662">
        <f>-6.3053*$K$587</f>
        <v>0</v>
      </c>
      <c r="L662">
        <f>0.0304*$L$587</f>
        <v>0</v>
      </c>
      <c r="M662">
        <f>0+D662+E662+G662+H662+I662+J662+K662+L662</f>
        <v>0</v>
      </c>
      <c r="N662">
        <f>0+D662+F662+G662+H662+I662+J662+K662+L662</f>
        <v>0</v>
      </c>
    </row>
    <row r="663" spans="3:14">
      <c r="C663" t="s">
        <v>52</v>
      </c>
      <c r="D663">
        <f>2.4039*$D$587</f>
        <v>0</v>
      </c>
      <c r="E663">
        <f>85.4657*$E$587</f>
        <v>0</v>
      </c>
      <c r="F663">
        <f>-98.499*$F$587</f>
        <v>0</v>
      </c>
      <c r="G663">
        <f>2.1984*$G$587</f>
        <v>0</v>
      </c>
      <c r="H663">
        <f>0*$H$587</f>
        <v>0</v>
      </c>
      <c r="I663">
        <f>0.1755*$I$587</f>
        <v>0</v>
      </c>
      <c r="J663">
        <f>-39.4593*$J$587</f>
        <v>0</v>
      </c>
      <c r="K663">
        <f>52.6124*$K$587</f>
        <v>0</v>
      </c>
      <c r="L663">
        <f>0.7601*$L$587</f>
        <v>0</v>
      </c>
      <c r="M663">
        <f>0+D663+E663+G663+H663+I663+J663+K663+L663</f>
        <v>0</v>
      </c>
      <c r="N663">
        <f>0+D663+F663+G663+H663+I663+J663+K663+L663</f>
        <v>0</v>
      </c>
    </row>
    <row r="664" spans="3:14">
      <c r="C664" t="s">
        <v>53</v>
      </c>
      <c r="D664">
        <f>5.2457*$D$587</f>
        <v>0</v>
      </c>
      <c r="E664">
        <f>90.8285*$E$587</f>
        <v>0</v>
      </c>
      <c r="F664">
        <f>-96.297*$F$587</f>
        <v>0</v>
      </c>
      <c r="G664">
        <f>0.4753*$G$587</f>
        <v>0</v>
      </c>
      <c r="H664">
        <f>0*$H$587</f>
        <v>0</v>
      </c>
      <c r="I664">
        <f>0.3129*$I$587</f>
        <v>0</v>
      </c>
      <c r="J664">
        <f>-35.3152*$J$587</f>
        <v>0</v>
      </c>
      <c r="K664">
        <f>47.0869*$K$587</f>
        <v>0</v>
      </c>
      <c r="L664">
        <f>0.6829*$L$587</f>
        <v>0</v>
      </c>
      <c r="M664">
        <f>0+D664+E664+G664+H664+I664+J664+K664+L664</f>
        <v>0</v>
      </c>
      <c r="N664">
        <f>0+D664+F664+G664+H664+I664+J664+K664+L664</f>
        <v>0</v>
      </c>
    </row>
    <row r="665" spans="3:14">
      <c r="C665" t="s">
        <v>53</v>
      </c>
      <c r="D665">
        <f>2.6582*$D$587</f>
        <v>0</v>
      </c>
      <c r="E665">
        <f>95.6801*$E$587</f>
        <v>0</v>
      </c>
      <c r="F665">
        <f>-95.6244*$F$587</f>
        <v>0</v>
      </c>
      <c r="G665">
        <f>-0.5619*$G$587</f>
        <v>0</v>
      </c>
      <c r="H665">
        <f>0*$H$587</f>
        <v>0</v>
      </c>
      <c r="I665">
        <f>0.4345*$I$587</f>
        <v>0</v>
      </c>
      <c r="J665">
        <f>-34.2906*$J$587</f>
        <v>0</v>
      </c>
      <c r="K665">
        <f>45.7208*$K$587</f>
        <v>0</v>
      </c>
      <c r="L665">
        <f>0.8164*$L$587</f>
        <v>0</v>
      </c>
      <c r="M665">
        <f>0+D665+E665+G665+H665+I665+J665+K665+L665</f>
        <v>0</v>
      </c>
      <c r="N665">
        <f>0+D665+F665+G665+H665+I665+J665+K665+L665</f>
        <v>0</v>
      </c>
    </row>
    <row r="666" spans="3:14">
      <c r="C666" t="s">
        <v>54</v>
      </c>
      <c r="D666">
        <f>5.9385*$D$587</f>
        <v>0</v>
      </c>
      <c r="E666">
        <f>99.499*$E$587</f>
        <v>0</v>
      </c>
      <c r="F666">
        <f>-92.6459*$F$587</f>
        <v>0</v>
      </c>
      <c r="G666">
        <f>-2.0226*$G$587</f>
        <v>0</v>
      </c>
      <c r="H666">
        <f>0*$H$587</f>
        <v>0</v>
      </c>
      <c r="I666">
        <f>0.6348*$I$587</f>
        <v>0</v>
      </c>
      <c r="J666">
        <f>-31.056*$J$587</f>
        <v>0</v>
      </c>
      <c r="K666">
        <f>41.408*$K$587</f>
        <v>0</v>
      </c>
      <c r="L666">
        <f>0.9191*$L$587</f>
        <v>0</v>
      </c>
      <c r="M666">
        <f>0+D666+E666+G666+H666+I666+J666+K666+L666</f>
        <v>0</v>
      </c>
      <c r="N666">
        <f>0+D666+F666+G666+H666+I666+J666+K666+L666</f>
        <v>0</v>
      </c>
    </row>
    <row r="667" spans="3:14">
      <c r="C667" t="s">
        <v>54</v>
      </c>
      <c r="D667">
        <f>3.7666*$D$587</f>
        <v>0</v>
      </c>
      <c r="E667">
        <f>104.5873*$E$587</f>
        <v>0</v>
      </c>
      <c r="F667">
        <f>-91.644*$F$587</f>
        <v>0</v>
      </c>
      <c r="G667">
        <f>-2.966*$G$587</f>
        <v>0</v>
      </c>
      <c r="H667">
        <f>0*$H$587</f>
        <v>0</v>
      </c>
      <c r="I667">
        <f>0.8183*$I$587</f>
        <v>0</v>
      </c>
      <c r="J667">
        <f>-29.4431*$J$587</f>
        <v>0</v>
      </c>
      <c r="K667">
        <f>39.2574*$K$587</f>
        <v>0</v>
      </c>
      <c r="L667">
        <f>1.177*$L$587</f>
        <v>0</v>
      </c>
      <c r="M667">
        <f>0+D667+E667+G667+H667+I667+J667+K667+L667</f>
        <v>0</v>
      </c>
      <c r="N667">
        <f>0+D667+F667+G667+H667+I667+J667+K667+L667</f>
        <v>0</v>
      </c>
    </row>
    <row r="668" spans="3:14">
      <c r="C668" t="s">
        <v>55</v>
      </c>
      <c r="D668">
        <f>7.5972*$D$587</f>
        <v>0</v>
      </c>
      <c r="E668">
        <f>109.737*$E$587</f>
        <v>0</v>
      </c>
      <c r="F668">
        <f>-88.954*$F$587</f>
        <v>0</v>
      </c>
      <c r="G668">
        <f>-4.1979*$G$587</f>
        <v>0</v>
      </c>
      <c r="H668">
        <f>0*$H$587</f>
        <v>0</v>
      </c>
      <c r="I668">
        <f>1.0855*$I$587</f>
        <v>0</v>
      </c>
      <c r="J668">
        <f>-26.7807*$J$587</f>
        <v>0</v>
      </c>
      <c r="K668">
        <f>35.7076*$K$587</f>
        <v>0</v>
      </c>
      <c r="L668">
        <f>1.4052*$L$587</f>
        <v>0</v>
      </c>
      <c r="M668">
        <f>0+D668+E668+G668+H668+I668+J668+K668+L668</f>
        <v>0</v>
      </c>
      <c r="N668">
        <f>0+D668+F668+G668+H668+I668+J668+K668+L668</f>
        <v>0</v>
      </c>
    </row>
    <row r="669" spans="3:14">
      <c r="C669" t="s">
        <v>55</v>
      </c>
      <c r="D669">
        <f>5.8754*$D$587</f>
        <v>0</v>
      </c>
      <c r="E669">
        <f>115.327*$E$587</f>
        <v>0</v>
      </c>
      <c r="F669">
        <f>-87.3968*$F$587</f>
        <v>0</v>
      </c>
      <c r="G669">
        <f>-5.0222*$G$587</f>
        <v>0</v>
      </c>
      <c r="H669">
        <f>0*$H$587</f>
        <v>0</v>
      </c>
      <c r="I669">
        <f>1.3321*$I$587</f>
        <v>0</v>
      </c>
      <c r="J669">
        <f>-25.0968*$J$587</f>
        <v>0</v>
      </c>
      <c r="K669">
        <f>33.4624*$K$587</f>
        <v>0</v>
      </c>
      <c r="L669">
        <f>1.7703*$L$587</f>
        <v>0</v>
      </c>
      <c r="M669">
        <f>0+D669+E669+G669+H669+I669+J669+K669+L669</f>
        <v>0</v>
      </c>
      <c r="N669">
        <f>0+D669+F669+G669+H669+I669+J669+K669+L669</f>
        <v>0</v>
      </c>
    </row>
    <row r="670" spans="3:14">
      <c r="C670" t="s">
        <v>56</v>
      </c>
      <c r="D670">
        <f>9.954*$D$587</f>
        <v>0</v>
      </c>
      <c r="E670">
        <f>122.303*$E$587</f>
        <v>0</v>
      </c>
      <c r="F670">
        <f>-84.7832*$F$587</f>
        <v>0</v>
      </c>
      <c r="G670">
        <f>-6.1998*$G$587</f>
        <v>0</v>
      </c>
      <c r="H670">
        <f>0*$H$587</f>
        <v>0</v>
      </c>
      <c r="I670">
        <f>1.6433*$I$587</f>
        <v>0</v>
      </c>
      <c r="J670">
        <f>-21.4602*$J$587</f>
        <v>0</v>
      </c>
      <c r="K670">
        <f>28.6135*$K$587</f>
        <v>0</v>
      </c>
      <c r="L670">
        <f>1.8692*$L$587</f>
        <v>0</v>
      </c>
      <c r="M670">
        <f>0+D670+E670+G670+H670+I670+J670+K670+L670</f>
        <v>0</v>
      </c>
      <c r="N670">
        <f>0+D670+F670+G670+H670+I670+J670+K670+L670</f>
        <v>0</v>
      </c>
    </row>
    <row r="671" spans="3:14">
      <c r="C671" t="s">
        <v>56</v>
      </c>
      <c r="D671">
        <f>7.8923*$D$587</f>
        <v>0</v>
      </c>
      <c r="E671">
        <f>126.7961*$E$587</f>
        <v>0</v>
      </c>
      <c r="F671">
        <f>-82.9284*$F$587</f>
        <v>0</v>
      </c>
      <c r="G671">
        <f>-6.8633*$G$587</f>
        <v>0</v>
      </c>
      <c r="H671">
        <f>0*$H$587</f>
        <v>0</v>
      </c>
      <c r="I671">
        <f>1.8413*$I$587</f>
        <v>0</v>
      </c>
      <c r="J671">
        <f>-19.0945*$J$587</f>
        <v>0</v>
      </c>
      <c r="K671">
        <f>25.4593*$K$587</f>
        <v>0</v>
      </c>
      <c r="L671">
        <f>2.1821*$L$587</f>
        <v>0</v>
      </c>
      <c r="M671">
        <f>0+D671+E671+G671+H671+I671+J671+K671+L671</f>
        <v>0</v>
      </c>
      <c r="N671">
        <f>0+D671+F671+G671+H671+I671+J671+K671+L671</f>
        <v>0</v>
      </c>
    </row>
    <row r="672" spans="3:14">
      <c r="C672" t="s">
        <v>57</v>
      </c>
      <c r="D672">
        <f>10.927*$D$587</f>
        <v>0</v>
      </c>
      <c r="E672">
        <f>129.1561*$E$587</f>
        <v>0</v>
      </c>
      <c r="F672">
        <f>-81.1694*$F$587</f>
        <v>0</v>
      </c>
      <c r="G672">
        <f>-7.8923*$G$587</f>
        <v>0</v>
      </c>
      <c r="H672">
        <f>0*$H$587</f>
        <v>0</v>
      </c>
      <c r="I672">
        <f>2.0103*$I$587</f>
        <v>0</v>
      </c>
      <c r="J672">
        <f>-10.7533*$J$587</f>
        <v>0</v>
      </c>
      <c r="K672">
        <f>14.3377*$K$587</f>
        <v>0</v>
      </c>
      <c r="L672">
        <f>1.8092*$L$587</f>
        <v>0</v>
      </c>
      <c r="M672">
        <f>0+D672+E672+G672+H672+I672+J672+K672+L672</f>
        <v>0</v>
      </c>
      <c r="N672">
        <f>0+D672+F672+G672+H672+I672+J672+K672+L672</f>
        <v>0</v>
      </c>
    </row>
    <row r="673" spans="3:14">
      <c r="C673" t="s">
        <v>57</v>
      </c>
      <c r="D673">
        <f>7.7884*$D$587</f>
        <v>0</v>
      </c>
      <c r="E673">
        <f>75.1195*$E$587</f>
        <v>0</v>
      </c>
      <c r="F673">
        <f>-101.1297*$F$587</f>
        <v>0</v>
      </c>
      <c r="G673">
        <f>-1.4425*$G$587</f>
        <v>0</v>
      </c>
      <c r="H673">
        <f>0*$H$587</f>
        <v>0</v>
      </c>
      <c r="I673">
        <f>1.3155*$I$587</f>
        <v>0</v>
      </c>
      <c r="J673">
        <f>-31.8542*$J$587</f>
        <v>0</v>
      </c>
      <c r="K673">
        <f>42.4722*$K$587</f>
        <v>0</v>
      </c>
      <c r="L673">
        <f>1.7216*$L$587</f>
        <v>0</v>
      </c>
      <c r="M673">
        <f>0+D673+E673+G673+H673+I673+J673+K673+L673</f>
        <v>0</v>
      </c>
      <c r="N673">
        <f>0+D673+F673+G673+H673+I673+J673+K673+L673</f>
        <v>0</v>
      </c>
    </row>
    <row r="674" spans="3:14">
      <c r="C674" t="s">
        <v>58</v>
      </c>
      <c r="D674">
        <f>10.5717*$D$587</f>
        <v>0</v>
      </c>
      <c r="E674">
        <f>75.1195*$E$587</f>
        <v>0</v>
      </c>
      <c r="F674">
        <f>-101.1291*$F$587</f>
        <v>0</v>
      </c>
      <c r="G674">
        <f>-1.4425*$G$587</f>
        <v>0</v>
      </c>
      <c r="H674">
        <f>0*$H$587</f>
        <v>0</v>
      </c>
      <c r="I674">
        <f>1.3155*$I$587</f>
        <v>0</v>
      </c>
      <c r="J674">
        <f>-31.8542*$J$587</f>
        <v>0</v>
      </c>
      <c r="K674">
        <f>42.4722*$K$587</f>
        <v>0</v>
      </c>
      <c r="L674">
        <f>1.7216*$L$587</f>
        <v>0</v>
      </c>
      <c r="M674">
        <f>0+D674+E674+G674+H674+I674+J674+K674+L674</f>
        <v>0</v>
      </c>
      <c r="N674">
        <f>0+D674+F674+G674+H674+I674+J674+K674+L674</f>
        <v>0</v>
      </c>
    </row>
    <row r="675" spans="3:14">
      <c r="C675" t="s">
        <v>58</v>
      </c>
      <c r="D675">
        <f>-11.2619*$D$587</f>
        <v>0</v>
      </c>
      <c r="E675">
        <f>13.9476*$E$587</f>
        <v>0</v>
      </c>
      <c r="F675">
        <f>-30.7036*$F$587</f>
        <v>0</v>
      </c>
      <c r="G675">
        <f>0.503*$G$587</f>
        <v>0</v>
      </c>
      <c r="H675">
        <f>0*$H$587</f>
        <v>0</v>
      </c>
      <c r="I675">
        <f>-1.3698*$I$587</f>
        <v>0</v>
      </c>
      <c r="J675">
        <f>23.7984*$J$587</f>
        <v>0</v>
      </c>
      <c r="K675">
        <f>-31.7312*$K$587</f>
        <v>0</v>
      </c>
      <c r="L675">
        <f>-12.6889*$L$587</f>
        <v>0</v>
      </c>
      <c r="M675">
        <f>0+D675+E675+G675+H675+I675+J675+K675+L675</f>
        <v>0</v>
      </c>
      <c r="N675">
        <f>0+D675+F675+G675+H675+I675+J675+K675+L675</f>
        <v>0</v>
      </c>
    </row>
    <row r="676" spans="3:14">
      <c r="C676" t="s">
        <v>59</v>
      </c>
      <c r="D676">
        <f>-8.4786*$D$587</f>
        <v>0</v>
      </c>
      <c r="E676">
        <f>13.8927*$E$587</f>
        <v>0</v>
      </c>
      <c r="F676">
        <f>-30.7036*$F$587</f>
        <v>0</v>
      </c>
      <c r="G676">
        <f>0.503*$G$587</f>
        <v>0</v>
      </c>
      <c r="H676">
        <f>0*$H$587</f>
        <v>0</v>
      </c>
      <c r="I676">
        <f>-1.3698*$I$587</f>
        <v>0</v>
      </c>
      <c r="J676">
        <f>23.7984*$J$587</f>
        <v>0</v>
      </c>
      <c r="K676">
        <f>-31.7312*$K$587</f>
        <v>0</v>
      </c>
      <c r="L676">
        <f>-12.6889*$L$587</f>
        <v>0</v>
      </c>
      <c r="M676">
        <f>0+D676+E676+G676+H676+I676+J676+K676+L676</f>
        <v>0</v>
      </c>
      <c r="N676">
        <f>0+D676+F676+G676+H676+I676+J676+K676+L676</f>
        <v>0</v>
      </c>
    </row>
    <row r="677" spans="3:14">
      <c r="C677" t="s">
        <v>59</v>
      </c>
      <c r="D677">
        <f>-12.4991*$D$587</f>
        <v>0</v>
      </c>
      <c r="E677">
        <f>39.5066*$E$587</f>
        <v>0</v>
      </c>
      <c r="F677">
        <f>-73.9753*$F$587</f>
        <v>0</v>
      </c>
      <c r="G677">
        <f>6.4274*$G$587</f>
        <v>0</v>
      </c>
      <c r="H677">
        <f>0*$H$587</f>
        <v>0</v>
      </c>
      <c r="I677">
        <f>-2.1674*$I$587</f>
        <v>0</v>
      </c>
      <c r="J677">
        <f>-1.4551*$J$587</f>
        <v>0</v>
      </c>
      <c r="K677">
        <f>1.9401*$K$587</f>
        <v>0</v>
      </c>
      <c r="L677">
        <f>-14.9437*$L$587</f>
        <v>0</v>
      </c>
      <c r="M677">
        <f>0+D677+E677+G677+H677+I677+J677+K677+L677</f>
        <v>0</v>
      </c>
      <c r="N677">
        <f>0+D677+F677+G677+H677+I677+J677+K677+L677</f>
        <v>0</v>
      </c>
    </row>
    <row r="678" spans="3:14">
      <c r="C678" t="s">
        <v>60</v>
      </c>
      <c r="D678">
        <f>-10.8031*$D$587</f>
        <v>0</v>
      </c>
      <c r="E678">
        <f>40.6054*$E$587</f>
        <v>0</v>
      </c>
      <c r="F678">
        <f>-63.7045*$F$587</f>
        <v>0</v>
      </c>
      <c r="G678">
        <f>5.3797*$G$587</f>
        <v>0</v>
      </c>
      <c r="H678">
        <f>0*$H$587</f>
        <v>0</v>
      </c>
      <c r="I678">
        <f>-2.1965*$I$587</f>
        <v>0</v>
      </c>
      <c r="J678">
        <f>8.2399*$J$587</f>
        <v>0</v>
      </c>
      <c r="K678">
        <f>-10.9865*$K$587</f>
        <v>0</v>
      </c>
      <c r="L678">
        <f>-14.473*$L$587</f>
        <v>0</v>
      </c>
      <c r="M678">
        <f>0+D678+E678+G678+H678+I678+J678+K678+L678</f>
        <v>0</v>
      </c>
      <c r="N678">
        <f>0+D678+F678+G678+H678+I678+J678+K678+L678</f>
        <v>0</v>
      </c>
    </row>
    <row r="679" spans="3:14">
      <c r="C679" t="s">
        <v>60</v>
      </c>
      <c r="D679">
        <f>-13.8426*$D$587</f>
        <v>0</v>
      </c>
      <c r="E679">
        <f>40.1283*$E$587</f>
        <v>0</v>
      </c>
      <c r="F679">
        <f>-71.8007*$F$587</f>
        <v>0</v>
      </c>
      <c r="G679">
        <f>4.6548*$G$587</f>
        <v>0</v>
      </c>
      <c r="H679">
        <f>0*$H$587</f>
        <v>0</v>
      </c>
      <c r="I679">
        <f>-2.1389*$I$587</f>
        <v>0</v>
      </c>
      <c r="J679">
        <f>11.0624*$J$587</f>
        <v>0</v>
      </c>
      <c r="K679">
        <f>-14.7499*$K$587</f>
        <v>0</v>
      </c>
      <c r="L679">
        <f>-12.7223*$L$587</f>
        <v>0</v>
      </c>
      <c r="M679">
        <f>0+D679+E679+G679+H679+I679+J679+K679+L679</f>
        <v>0</v>
      </c>
      <c r="N679">
        <f>0+D679+F679+G679+H679+I679+J679+K679+L679</f>
        <v>0</v>
      </c>
    </row>
    <row r="680" spans="3:14">
      <c r="C680" t="s">
        <v>61</v>
      </c>
      <c r="D680">
        <f>-10.5626*$D$587</f>
        <v>0</v>
      </c>
      <c r="E680">
        <f>42.7298*$E$587</f>
        <v>0</v>
      </c>
      <c r="F680">
        <f>-67.5445*$F$587</f>
        <v>0</v>
      </c>
      <c r="G680">
        <f>3.412*$G$587</f>
        <v>0</v>
      </c>
      <c r="H680">
        <f>0*$H$587</f>
        <v>0</v>
      </c>
      <c r="I680">
        <f>-1.9411*$I$587</f>
        <v>0</v>
      </c>
      <c r="J680">
        <f>14.9833*$J$587</f>
        <v>0</v>
      </c>
      <c r="K680">
        <f>-19.9777*$K$587</f>
        <v>0</v>
      </c>
      <c r="L680">
        <f>-10.8215*$L$587</f>
        <v>0</v>
      </c>
      <c r="M680">
        <f>0+D680+E680+G680+H680+I680+J680+K680+L680</f>
        <v>0</v>
      </c>
      <c r="N680">
        <f>0+D680+F680+G680+H680+I680+J680+K680+L680</f>
        <v>0</v>
      </c>
    </row>
    <row r="681" spans="3:14">
      <c r="C681" t="s">
        <v>61</v>
      </c>
      <c r="D681">
        <f>-12.8357*$D$587</f>
        <v>0</v>
      </c>
      <c r="E681">
        <f>43.3627*$E$587</f>
        <v>0</v>
      </c>
      <c r="F681">
        <f>-64.4334*$F$587</f>
        <v>0</v>
      </c>
      <c r="G681">
        <f>2.4838*$G$587</f>
        <v>0</v>
      </c>
      <c r="H681">
        <f>0*$H$587</f>
        <v>0</v>
      </c>
      <c r="I681">
        <f>-1.7683*$I$587</f>
        <v>0</v>
      </c>
      <c r="J681">
        <f>16.3499*$J$587</f>
        <v>0</v>
      </c>
      <c r="K681">
        <f>-21.7999*$K$587</f>
        <v>0</v>
      </c>
      <c r="L681">
        <f>-8.8748*$L$587</f>
        <v>0</v>
      </c>
      <c r="M681">
        <f>0+D681+E681+G681+H681+I681+J681+K681+L681</f>
        <v>0</v>
      </c>
      <c r="N681">
        <f>0+D681+F681+G681+H681+I681+J681+K681+L681</f>
        <v>0</v>
      </c>
    </row>
    <row r="682" spans="3:14">
      <c r="C682" t="s">
        <v>62</v>
      </c>
      <c r="D682">
        <f>-9.2116*$D$587</f>
        <v>0</v>
      </c>
      <c r="E682">
        <f>45.7319*$E$587</f>
        <v>0</v>
      </c>
      <c r="F682">
        <f>-60.2894*$F$587</f>
        <v>0</v>
      </c>
      <c r="G682">
        <f>1.145*$G$587</f>
        <v>0</v>
      </c>
      <c r="H682">
        <f>0*$H$587</f>
        <v>0</v>
      </c>
      <c r="I682">
        <f>-1.5237*$I$587</f>
        <v>0</v>
      </c>
      <c r="J682">
        <f>18.434*$J$587</f>
        <v>0</v>
      </c>
      <c r="K682">
        <f>-24.5787*$K$587</f>
        <v>0</v>
      </c>
      <c r="L682">
        <f>-7.2179*$L$587</f>
        <v>0</v>
      </c>
      <c r="M682">
        <f>0+D682+E682+G682+H682+I682+J682+K682+L682</f>
        <v>0</v>
      </c>
      <c r="N682">
        <f>0+D682+F682+G682+H682+I682+J682+K682+L682</f>
        <v>0</v>
      </c>
    </row>
    <row r="683" spans="3:14">
      <c r="C683" t="s">
        <v>62</v>
      </c>
      <c r="D683">
        <f>-11.4138*$D$587</f>
        <v>0</v>
      </c>
      <c r="E683">
        <f>46.1969*$E$587</f>
        <v>0</v>
      </c>
      <c r="F683">
        <f>-57.2689*$F$587</f>
        <v>0</v>
      </c>
      <c r="G683">
        <f>0.0663*$G$587</f>
        <v>0</v>
      </c>
      <c r="H683">
        <f>0*$H$587</f>
        <v>0</v>
      </c>
      <c r="I683">
        <f>-1.3346*$I$587</f>
        <v>0</v>
      </c>
      <c r="J683">
        <f>19.0945*$J$587</f>
        <v>0</v>
      </c>
      <c r="K683">
        <f>-25.4593*$K$587</f>
        <v>0</v>
      </c>
      <c r="L683">
        <f>-5.6616*$L$587</f>
        <v>0</v>
      </c>
      <c r="M683">
        <f>0+D683+E683+G683+H683+I683+J683+K683+L683</f>
        <v>0</v>
      </c>
      <c r="N683">
        <f>0+D683+F683+G683+H683+I683+J683+K683+L683</f>
        <v>0</v>
      </c>
    </row>
    <row r="684" spans="3:14">
      <c r="C684" t="s">
        <v>63</v>
      </c>
      <c r="D684">
        <f>-7.8328*$D$587</f>
        <v>0</v>
      </c>
      <c r="E684">
        <f>49.0677*$E$587</f>
        <v>0</v>
      </c>
      <c r="F684">
        <f>-50.7016*$F$587</f>
        <v>0</v>
      </c>
      <c r="G684">
        <f>-1.5143*$G$587</f>
        <v>0</v>
      </c>
      <c r="H684">
        <f>0*$H$587</f>
        <v>0</v>
      </c>
      <c r="I684">
        <f>-1.0807*$I$587</f>
        <v>0</v>
      </c>
      <c r="J684">
        <f>21.2892*$J$587</f>
        <v>0</v>
      </c>
      <c r="K684">
        <f>-28.3855*$K$587</f>
        <v>0</v>
      </c>
      <c r="L684">
        <f>-4.871*$L$587</f>
        <v>0</v>
      </c>
      <c r="M684">
        <f>0+D684+E684+G684+H684+I684+J684+K684+L684</f>
        <v>0</v>
      </c>
      <c r="N684">
        <f>0+D684+F684+G684+H684+I684+J684+K684+L684</f>
        <v>0</v>
      </c>
    </row>
    <row r="685" spans="3:14">
      <c r="C685" t="s">
        <v>63</v>
      </c>
      <c r="D685">
        <f>-9.9853*$D$587</f>
        <v>0</v>
      </c>
      <c r="E685">
        <f>50.8105*$E$587</f>
        <v>0</v>
      </c>
      <c r="F685">
        <f>-46.9866*$F$587</f>
        <v>0</v>
      </c>
      <c r="G685">
        <f>-2.7154*$G$587</f>
        <v>0</v>
      </c>
      <c r="H685">
        <f>0*$H$587</f>
        <v>0</v>
      </c>
      <c r="I685">
        <f>-0.8826*$I$587</f>
        <v>0</v>
      </c>
      <c r="J685">
        <f>20.801*$J$587</f>
        <v>0</v>
      </c>
      <c r="K685">
        <f>-27.7347*$K$587</f>
        <v>0</v>
      </c>
      <c r="L685">
        <f>-3.7255*$L$587</f>
        <v>0</v>
      </c>
      <c r="M685">
        <f>0+D685+E685+G685+H685+I685+J685+K685+L685</f>
        <v>0</v>
      </c>
      <c r="N685">
        <f>0+D685+F685+G685+H685+I685+J685+K685+L685</f>
        <v>0</v>
      </c>
    </row>
    <row r="686" spans="3:14">
      <c r="C686" t="s">
        <v>64</v>
      </c>
      <c r="D686">
        <f>-6.323*$D$587</f>
        <v>0</v>
      </c>
      <c r="E686">
        <f>55.9153*$E$587</f>
        <v>0</v>
      </c>
      <c r="F686">
        <f>-39.9108*$F$587</f>
        <v>0</v>
      </c>
      <c r="G686">
        <f>-4.5594*$G$587</f>
        <v>0</v>
      </c>
      <c r="H686">
        <f>0*$H$587</f>
        <v>0</v>
      </c>
      <c r="I686">
        <f>-0.6143*$I$587</f>
        <v>0</v>
      </c>
      <c r="J686">
        <f>23.5434*$J$587</f>
        <v>0</v>
      </c>
      <c r="K686">
        <f>-31.3911*$K$587</f>
        <v>0</v>
      </c>
      <c r="L686">
        <f>-3.9656*$L$587</f>
        <v>0</v>
      </c>
      <c r="M686">
        <f>0+D686+E686+G686+H686+I686+J686+K686+L686</f>
        <v>0</v>
      </c>
      <c r="N686">
        <f>0+D686+F686+G686+H686+I686+J686+K686+L686</f>
        <v>0</v>
      </c>
    </row>
    <row r="687" spans="3:14">
      <c r="C687" t="s">
        <v>64</v>
      </c>
      <c r="D687">
        <f>-7.2538*$D$587</f>
        <v>0</v>
      </c>
      <c r="E687">
        <f>32.911*$E$587</f>
        <v>0</v>
      </c>
      <c r="F687">
        <f>-61.2295*$F$587</f>
        <v>0</v>
      </c>
      <c r="G687">
        <f>3.2092*$G$587</f>
        <v>0</v>
      </c>
      <c r="H687">
        <f>0*$H$587</f>
        <v>0</v>
      </c>
      <c r="I687">
        <f>-1.1648*$I$587</f>
        <v>0</v>
      </c>
      <c r="J687">
        <f>-35.7574*$J$587</f>
        <v>0</v>
      </c>
      <c r="K687">
        <f>47.6765*$K$587</f>
        <v>0</v>
      </c>
      <c r="L687">
        <f>6.9978*$L$587</f>
        <v>0</v>
      </c>
      <c r="M687">
        <f>0+D687+E687+G687+H687+I687+J687+K687+L687</f>
        <v>0</v>
      </c>
      <c r="N687">
        <f>0+D687+F687+G687+H687+I687+J687+K687+L687</f>
        <v>0</v>
      </c>
    </row>
    <row r="688" spans="3:14">
      <c r="C688" t="s">
        <v>65</v>
      </c>
      <c r="D688">
        <f>-3.1287*$D$587</f>
        <v>0</v>
      </c>
      <c r="E688">
        <f>39.0596*$E$587</f>
        <v>0</v>
      </c>
      <c r="F688">
        <f>-56.0476*$F$587</f>
        <v>0</v>
      </c>
      <c r="G688">
        <f>1.2458*$G$587</f>
        <v>0</v>
      </c>
      <c r="H688">
        <f>0*$H$587</f>
        <v>0</v>
      </c>
      <c r="I688">
        <f>-0.8605*$I$587</f>
        <v>0</v>
      </c>
      <c r="J688">
        <f>-33.2736*$J$587</f>
        <v>0</v>
      </c>
      <c r="K688">
        <f>44.3648*$K$587</f>
        <v>0</v>
      </c>
      <c r="L688">
        <f>6.8489*$L$587</f>
        <v>0</v>
      </c>
      <c r="M688">
        <f>0+D688+E688+G688+H688+I688+J688+K688+L688</f>
        <v>0</v>
      </c>
      <c r="N688">
        <f>0+D688+F688+G688+H688+I688+J688+K688+L688</f>
        <v>0</v>
      </c>
    </row>
    <row r="689" spans="3:14">
      <c r="C689" t="s">
        <v>65</v>
      </c>
      <c r="D689">
        <f>-5.4978*$D$587</f>
        <v>0</v>
      </c>
      <c r="E689">
        <f>42.3099*$E$587</f>
        <v>0</v>
      </c>
      <c r="F689">
        <f>-53.233*$F$587</f>
        <v>0</v>
      </c>
      <c r="G689">
        <f>-0.1152*$G$587</f>
        <v>0</v>
      </c>
      <c r="H689">
        <f>0*$H$587</f>
        <v>0</v>
      </c>
      <c r="I689">
        <f>-0.6401*$I$587</f>
        <v>0</v>
      </c>
      <c r="J689">
        <f>-34.1408*$J$587</f>
        <v>0</v>
      </c>
      <c r="K689">
        <f>45.5211*$K$587</f>
        <v>0</v>
      </c>
      <c r="L689">
        <f>7.9168*$L$587</f>
        <v>0</v>
      </c>
      <c r="M689">
        <f>0+D689+E689+G689+H689+I689+J689+K689+L689</f>
        <v>0</v>
      </c>
      <c r="N689">
        <f>0+D689+F689+G689+H689+I689+J689+K689+L689</f>
        <v>0</v>
      </c>
    </row>
    <row r="690" spans="3:14">
      <c r="C690" t="s">
        <v>66</v>
      </c>
      <c r="D690">
        <f>-1.4866*$D$587</f>
        <v>0</v>
      </c>
      <c r="E690">
        <f>47.5203*$E$587</f>
        <v>0</v>
      </c>
      <c r="F690">
        <f>-49.668*$F$587</f>
        <v>0</v>
      </c>
      <c r="G690">
        <f>-1.8249*$G$587</f>
        <v>0</v>
      </c>
      <c r="H690">
        <f>0*$H$587</f>
        <v>0</v>
      </c>
      <c r="I690">
        <f>-0.3545*$I$587</f>
        <v>0</v>
      </c>
      <c r="J690">
        <f>-32.4977*$J$587</f>
        <v>0</v>
      </c>
      <c r="K690">
        <f>43.3303*$K$587</f>
        <v>0</v>
      </c>
      <c r="L690">
        <f>8.638*$L$587</f>
        <v>0</v>
      </c>
      <c r="M690">
        <f>0+D690+E690+G690+H690+I690+J690+K690+L690</f>
        <v>0</v>
      </c>
      <c r="N690">
        <f>0+D690+F690+G690+H690+I690+J690+K690+L690</f>
        <v>0</v>
      </c>
    </row>
    <row r="691" spans="3:14">
      <c r="C691" t="s">
        <v>66</v>
      </c>
      <c r="D691">
        <f>-3.8716*$D$587</f>
        <v>0</v>
      </c>
      <c r="E691">
        <f>50.9198*$E$587</f>
        <v>0</v>
      </c>
      <c r="F691">
        <f>-49.026*$F$587</f>
        <v>0</v>
      </c>
      <c r="G691">
        <f>-3.0572*$G$587</f>
        <v>0</v>
      </c>
      <c r="H691">
        <f>0*$H$587</f>
        <v>0</v>
      </c>
      <c r="I691">
        <f>-0.1415*$I$587</f>
        <v>0</v>
      </c>
      <c r="J691">
        <f>-32.5086*$J$587</f>
        <v>0</v>
      </c>
      <c r="K691">
        <f>43.3448*$K$587</f>
        <v>0</v>
      </c>
      <c r="L691">
        <f>9.8058*$L$587</f>
        <v>0</v>
      </c>
      <c r="M691">
        <f>0+D691+E691+G691+H691+I691+J691+K691+L691</f>
        <v>0</v>
      </c>
      <c r="N691">
        <f>0+D691+F691+G691+H691+I691+J691+K691+L691</f>
        <v>0</v>
      </c>
    </row>
    <row r="692" spans="3:14">
      <c r="C692" t="s">
        <v>67</v>
      </c>
      <c r="D692">
        <f>0.1391*$D$587</f>
        <v>0</v>
      </c>
      <c r="E692">
        <f>54.9877*$E$587</f>
        <v>0</v>
      </c>
      <c r="F692">
        <f>-47.4891*$F$587</f>
        <v>0</v>
      </c>
      <c r="G692">
        <f>-4.5203*$G$587</f>
        <v>0</v>
      </c>
      <c r="H692">
        <f>0*$H$587</f>
        <v>0</v>
      </c>
      <c r="I692">
        <f>0.1265*$I$587</f>
        <v>0</v>
      </c>
      <c r="J692">
        <f>-31.2014*$J$587</f>
        <v>0</v>
      </c>
      <c r="K692">
        <f>41.6019*$K$587</f>
        <v>0</v>
      </c>
      <c r="L692">
        <f>11.0379*$L$587</f>
        <v>0</v>
      </c>
      <c r="M692">
        <f>0+D692+E692+G692+H692+I692+J692+K692+L692</f>
        <v>0</v>
      </c>
      <c r="N692">
        <f>0+D692+F692+G692+H692+I692+J692+K692+L692</f>
        <v>0</v>
      </c>
    </row>
    <row r="693" spans="3:14">
      <c r="C693" t="s">
        <v>67</v>
      </c>
      <c r="D693">
        <f>-2.2571*$D$587</f>
        <v>0</v>
      </c>
      <c r="E693">
        <f>57.9849*$E$587</f>
        <v>0</v>
      </c>
      <c r="F693">
        <f>-47.5188*$F$587</f>
        <v>0</v>
      </c>
      <c r="G693">
        <f>-5.5708*$G$587</f>
        <v>0</v>
      </c>
      <c r="H693">
        <f>0*$H$587</f>
        <v>0</v>
      </c>
      <c r="I693">
        <f>0.3278*$I$587</f>
        <v>0</v>
      </c>
      <c r="J693">
        <f>-30.9552*$J$587</f>
        <v>0</v>
      </c>
      <c r="K693">
        <f>41.2736*$K$587</f>
        <v>0</v>
      </c>
      <c r="L693">
        <f>12.1778*$L$587</f>
        <v>0</v>
      </c>
      <c r="M693">
        <f>0+D693+E693+G693+H693+I693+J693+K693+L693</f>
        <v>0</v>
      </c>
      <c r="N693">
        <f>0+D693+F693+G693+H693+I693+J693+K693+L693</f>
        <v>0</v>
      </c>
    </row>
    <row r="694" spans="3:14">
      <c r="C694" t="s">
        <v>68</v>
      </c>
      <c r="D694">
        <f>1.675*$D$587</f>
        <v>0</v>
      </c>
      <c r="E694">
        <f>62.5496*$E$587</f>
        <v>0</v>
      </c>
      <c r="F694">
        <f>-46.6171*$F$587</f>
        <v>0</v>
      </c>
      <c r="G694">
        <f>-6.8701*$G$587</f>
        <v>0</v>
      </c>
      <c r="H694">
        <f>0*$H$587</f>
        <v>0</v>
      </c>
      <c r="I694">
        <f>0.5813*$I$587</f>
        <v>0</v>
      </c>
      <c r="J694">
        <f>-27.7786*$J$587</f>
        <v>0</v>
      </c>
      <c r="K694">
        <f>37.0381*$K$587</f>
        <v>0</v>
      </c>
      <c r="L694">
        <f>13.5426*$L$587</f>
        <v>0</v>
      </c>
      <c r="M694">
        <f>0+D694+E694+G694+H694+I694+J694+K694+L694</f>
        <v>0</v>
      </c>
      <c r="N694">
        <f>0+D694+F694+G694+H694+I694+J694+K694+L694</f>
        <v>0</v>
      </c>
    </row>
    <row r="695" spans="3:14">
      <c r="C695" t="s">
        <v>68</v>
      </c>
      <c r="D695">
        <f>-0.9412*$D$587</f>
        <v>0</v>
      </c>
      <c r="E695">
        <f>63.2895*$E$587</f>
        <v>0</v>
      </c>
      <c r="F695">
        <f>-48.9679*$F$587</f>
        <v>0</v>
      </c>
      <c r="G695">
        <f>-7.5713*$G$587</f>
        <v>0</v>
      </c>
      <c r="H695">
        <f>0*$H$587</f>
        <v>0</v>
      </c>
      <c r="I695">
        <f>0.7363*$I$587</f>
        <v>0</v>
      </c>
      <c r="J695">
        <f>-29.339*$J$587</f>
        <v>0</v>
      </c>
      <c r="K695">
        <f>39.1187*$K$587</f>
        <v>0</v>
      </c>
      <c r="L695">
        <f>14.3737*$L$587</f>
        <v>0</v>
      </c>
      <c r="M695">
        <f>0+D695+E695+G695+H695+I695+J695+K695+L695</f>
        <v>0</v>
      </c>
      <c r="N695">
        <f>0+D695+F695+G695+H695+I695+J695+K695+L695</f>
        <v>0</v>
      </c>
    </row>
    <row r="696" spans="3:14">
      <c r="C696" t="s">
        <v>69</v>
      </c>
      <c r="D696">
        <f>3.8436*$D$587</f>
        <v>0</v>
      </c>
      <c r="E696">
        <f>63.7231*$E$587</f>
        <v>0</v>
      </c>
      <c r="F696">
        <f>-51.4364*$F$587</f>
        <v>0</v>
      </c>
      <c r="G696">
        <f>-8.6027*$G$587</f>
        <v>0</v>
      </c>
      <c r="H696">
        <f>0*$H$587</f>
        <v>0</v>
      </c>
      <c r="I696">
        <f>1.114*$I$587</f>
        <v>0</v>
      </c>
      <c r="J696">
        <f>-30.8453*$J$587</f>
        <v>0</v>
      </c>
      <c r="K696">
        <f>41.127*$K$587</f>
        <v>0</v>
      </c>
      <c r="L696">
        <f>15.2345*$L$587</f>
        <v>0</v>
      </c>
      <c r="M696">
        <f>0+D696+E696+G696+H696+I696+J696+K696+L696</f>
        <v>0</v>
      </c>
      <c r="N696">
        <f>0+D696+F696+G696+H696+I696+J696+K696+L696</f>
        <v>0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Left Exterior Girder</vt:lpstr>
      <vt:lpstr>Interior Girder 1</vt:lpstr>
      <vt:lpstr>Interior Girder 2</vt:lpstr>
      <vt:lpstr>Right Exterior Girder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2019-04-16T20:51:58Z</dcterms:created>
  <dcterms:modified xsi:type="dcterms:W3CDTF">2019-04-16T20:51:58Z</dcterms:modified>
</cp:coreProperties>
</file>