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ght Exterior Girder" sheetId="1" r:id="rId1"/>
    <sheet name="Interior Girder 1" sheetId="2" r:id="rId2"/>
    <sheet name="Interior Girder 2" sheetId="3" r:id="rId3"/>
    <sheet name="Left Exterior Girder" sheetId="4" r:id="rId4"/>
  </sheets>
  <calcPr calcId="124519" fullCalcOnLoad="1"/>
</workbook>
</file>

<file path=xl/sharedStrings.xml><?xml version="1.0" encoding="utf-8"?>
<sst xmlns="http://schemas.openxmlformats.org/spreadsheetml/2006/main" count="312" uniqueCount="13">
  <si>
    <t>Stations</t>
  </si>
  <si>
    <t>GirderDist</t>
  </si>
  <si>
    <t>Barrier</t>
  </si>
  <si>
    <t>DEAD</t>
  </si>
  <si>
    <t>FWS</t>
  </si>
  <si>
    <t>Sidewalk</t>
  </si>
  <si>
    <t>TEST</t>
  </si>
  <si>
    <t>T_Change_Neg</t>
  </si>
  <si>
    <t>T_Change_Pos</t>
  </si>
  <si>
    <t>Max_MOVE1</t>
  </si>
  <si>
    <t>Min_MOVE1</t>
  </si>
  <si>
    <t>Max_MOVE1 Combo</t>
  </si>
  <si>
    <t>Min_MOVE1 Combo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</si>
</sst>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0:O66" totalsRowShown="0">
  <autoFilter ref="C10:O6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74:O130" totalsRowShown="0">
  <autoFilter ref="C74:O130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38:O194" totalsRowShown="0">
  <autoFilter ref="C138:O194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202:O258" totalsRowShown="0">
  <autoFilter ref="C202:O258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266:O322" totalsRowShown="0">
  <autoFilter ref="C266:O322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330:O386" totalsRowShown="0">
  <autoFilter ref="C330:O38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10:O66" totalsRowShown="0">
  <autoFilter ref="C10:O6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C74:O130" totalsRowShown="0">
  <autoFilter ref="C74:O130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C138:O194" totalsRowShown="0">
  <autoFilter ref="C138:O194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C202:O258" totalsRowShown="0">
  <autoFilter ref="C202:O258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C266:O322" totalsRowShown="0">
  <autoFilter ref="C266:O322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C330:O386" totalsRowShown="0">
  <autoFilter ref="C330:O38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C10:O66" totalsRowShown="0">
  <autoFilter ref="C10:O6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C74:O130" totalsRowShown="0">
  <autoFilter ref="C74:O130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C138:O194" totalsRowShown="0">
  <autoFilter ref="C138:O194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C202:O258" totalsRowShown="0">
  <autoFilter ref="C202:O258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C266:O322" totalsRowShown="0">
  <autoFilter ref="C266:O322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C330:O386" totalsRowShown="0">
  <autoFilter ref="C330:O38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C10:O66" totalsRowShown="0">
  <autoFilter ref="C10:O6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C74:O130" totalsRowShown="0">
  <autoFilter ref="C74:O130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C138:O194" totalsRowShown="0">
  <autoFilter ref="C138:O194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C202:O258" totalsRowShown="0">
  <autoFilter ref="C202:O258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C266:O322" totalsRowShown="0">
  <autoFilter ref="C266:O322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C330:O386" totalsRowShown="0">
  <autoFilter ref="C330:O386"/>
  <tableColumns count="13">
    <tableColumn id="1" name="Stations"/>
    <tableColumn id="2" name="GirderDist"/>
    <tableColumn id="3" name="Barrier"/>
    <tableColumn id="4" name="DEAD"/>
    <tableColumn id="5" name="FWS"/>
    <tableColumn id="6" name="Sidewalk"/>
    <tableColumn id="7" name="TEST"/>
    <tableColumn id="8" name="T_Change_Neg"/>
    <tableColumn id="9" name="T_Change_Pos"/>
    <tableColumn id="10" name="Max_MOVE1"/>
    <tableColumn id="11" name="Min_MOVE1"/>
    <tableColumn id="12" name="Max_MOVE1 Combo"/>
    <tableColumn id="13" name="Min_MOVE1 Comb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0:O386"/>
  <sheetViews>
    <sheetView tabSelected="1" workbookViewId="0"/>
  </sheetViews>
  <sheetFormatPr defaultRowHeight="15"/>
  <sheetData>
    <row r="10" spans="3:1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</row>
    <row r="11" spans="3:15">
      <c r="C11">
        <f>0.0</f>
        <v>0</v>
      </c>
      <c r="D11">
        <f>0.0</f>
        <v>0</v>
      </c>
      <c r="E11">
        <f>E9*-24.4106</f>
        <v>0</v>
      </c>
      <c r="F11">
        <f>F9*14.56</f>
        <v>0</v>
      </c>
      <c r="G11">
        <f>G9*3.6272</f>
        <v>0</v>
      </c>
      <c r="H11">
        <f>H9*0.0</f>
        <v>0</v>
      </c>
      <c r="I11">
        <f>I9*0.1871</f>
        <v>0</v>
      </c>
      <c r="J11">
        <f>J9*360.7304</f>
        <v>0</v>
      </c>
      <c r="K11">
        <f>K9*-270.5478</f>
        <v>0</v>
      </c>
      <c r="L11">
        <f>L9*472.1305</f>
        <v>0</v>
      </c>
      <c r="M11">
        <f>M9*-440.6164</f>
        <v>0</v>
      </c>
      <c r="N11">
        <f>E11+F11+G11+H11+I11+J11+K11+L11</f>
        <v>0</v>
      </c>
      <c r="O11">
        <f>E11+F11+G11+H11+I11+J11+K11+M11</f>
        <v>0</v>
      </c>
    </row>
    <row r="12" spans="3:15">
      <c r="C12">
        <f>1.0</f>
        <v>0</v>
      </c>
      <c r="D12">
        <f>1.0</f>
        <v>0</v>
      </c>
      <c r="E12">
        <f>E9*10.27145</f>
        <v>0</v>
      </c>
      <c r="F12">
        <f>F9*223.651</f>
        <v>0</v>
      </c>
      <c r="G12">
        <f>G9*32.97145</f>
        <v>0</v>
      </c>
      <c r="H12">
        <f>H9*0.0</f>
        <v>0</v>
      </c>
      <c r="I12">
        <f>I9*0.16199999999999998</f>
        <v>0</v>
      </c>
      <c r="J12">
        <f>J9*270.6898</f>
        <v>0</v>
      </c>
      <c r="K12">
        <f>K9*-203.01735</f>
        <v>0</v>
      </c>
      <c r="L12">
        <f>L9*545.2136</f>
        <v>0</v>
      </c>
      <c r="M12">
        <f>M9*-213.92905</f>
        <v>0</v>
      </c>
      <c r="N12">
        <f>E12+F12+G12+H12+I12+J12+K12+L12</f>
        <v>0</v>
      </c>
      <c r="O12">
        <f>E12+F12+G12+H12+I12+J12+K12+M12</f>
        <v>0</v>
      </c>
    </row>
    <row r="13" spans="3:15">
      <c r="C13">
        <f>2.0</f>
        <v>0</v>
      </c>
      <c r="D13">
        <f>2.0</f>
        <v>0</v>
      </c>
      <c r="E13">
        <f>E9*37.00975</f>
        <v>0</v>
      </c>
      <c r="F13">
        <f>F9*400.76795</f>
        <v>0</v>
      </c>
      <c r="G13">
        <f>G9*57.832350000000005</f>
        <v>0</v>
      </c>
      <c r="H13">
        <f>H9*0.0</f>
        <v>0</v>
      </c>
      <c r="I13">
        <f>I9*0.13935</f>
        <v>0</v>
      </c>
      <c r="J13">
        <f>J9*209.5972</f>
        <v>0</v>
      </c>
      <c r="K13">
        <f>K9*-157.1979</f>
        <v>0</v>
      </c>
      <c r="L13">
        <f>L9*655.1990499999999</f>
        <v>0</v>
      </c>
      <c r="M13">
        <f>M9*-75.8592</f>
        <v>0</v>
      </c>
      <c r="N13">
        <f>E13+F13+G13+H13+I13+J13+K13+L13</f>
        <v>0</v>
      </c>
      <c r="O13">
        <f>E13+F13+G13+H13+I13+J13+K13+M13</f>
        <v>0</v>
      </c>
    </row>
    <row r="14" spans="3:15">
      <c r="C14">
        <f>3.0</f>
        <v>0</v>
      </c>
      <c r="D14">
        <f>3.0</f>
        <v>0</v>
      </c>
      <c r="E14">
        <f>E9*56.68775</f>
        <v>0</v>
      </c>
      <c r="F14">
        <f>F9*549.9192</f>
        <v>0</v>
      </c>
      <c r="G14">
        <f>G9*78.76650000000001</f>
        <v>0</v>
      </c>
      <c r="H14">
        <f>H9*0.0</f>
        <v>0</v>
      </c>
      <c r="I14">
        <f>I9*0.119</f>
        <v>0</v>
      </c>
      <c r="J14">
        <f>J9*152.5482</f>
        <v>0</v>
      </c>
      <c r="K14">
        <f>K9*-114.4111</f>
        <v>0</v>
      </c>
      <c r="L14">
        <f>L9*793.74065</f>
        <v>0</v>
      </c>
      <c r="M14">
        <f>M9*-26.4381</f>
        <v>0</v>
      </c>
      <c r="N14">
        <f>E14+F14+G14+H14+I14+J14+K14+L14</f>
        <v>0</v>
      </c>
      <c r="O14">
        <f>E14+F14+G14+H14+I14+J14+K14+M14</f>
        <v>0</v>
      </c>
    </row>
    <row r="15" spans="3:15">
      <c r="C15">
        <f>4.0</f>
        <v>0</v>
      </c>
      <c r="D15">
        <f>4.0</f>
        <v>0</v>
      </c>
      <c r="E15">
        <f>E9*70.06655</f>
        <v>0</v>
      </c>
      <c r="F15">
        <f>F9*670.78195</f>
        <v>0</v>
      </c>
      <c r="G15">
        <f>G9*95.6916</f>
        <v>0</v>
      </c>
      <c r="H15">
        <f>H9*0.0</f>
        <v>0</v>
      </c>
      <c r="I15">
        <f>I9*0.1005</f>
        <v>0</v>
      </c>
      <c r="J15">
        <f>J9*95.16045</f>
        <v>0</v>
      </c>
      <c r="K15">
        <f>K9*-71.37035</f>
        <v>0</v>
      </c>
      <c r="L15">
        <f>L9*926.6413</f>
        <v>0</v>
      </c>
      <c r="M15">
        <f>M9*-25.26955</f>
        <v>0</v>
      </c>
      <c r="N15">
        <f>E15+F15+G15+H15+I15+J15+K15+L15</f>
        <v>0</v>
      </c>
      <c r="O15">
        <f>E15+F15+G15+H15+I15+J15+K15+M15</f>
        <v>0</v>
      </c>
    </row>
    <row r="16" spans="3:15">
      <c r="C16">
        <f>5.0</f>
        <v>0</v>
      </c>
      <c r="D16">
        <f>5.0</f>
        <v>0</v>
      </c>
      <c r="E16">
        <f>E9*79.8617</f>
        <v>0</v>
      </c>
      <c r="F16">
        <f>F9*785.28215</f>
        <v>0</v>
      </c>
      <c r="G16">
        <f>G9*111.6891</f>
        <v>0</v>
      </c>
      <c r="H16">
        <f>H9*0.0</f>
        <v>0</v>
      </c>
      <c r="I16">
        <f>I9*0.0921</f>
        <v>0</v>
      </c>
      <c r="J16">
        <f>J9*34.22055</f>
        <v>0</v>
      </c>
      <c r="K16">
        <f>K9*-25.6654</f>
        <v>0</v>
      </c>
      <c r="L16">
        <f>L9*1079.6876499999998</f>
        <v>0</v>
      </c>
      <c r="M16">
        <f>M9*-26.55405</f>
        <v>0</v>
      </c>
      <c r="N16">
        <f>E16+F16+G16+H16+I16+J16+K16+L16</f>
        <v>0</v>
      </c>
      <c r="O16">
        <f>E16+F16+G16+H16+I16+J16+K16+M16</f>
        <v>0</v>
      </c>
    </row>
    <row r="17" spans="3:15">
      <c r="C17">
        <f>6.0</f>
        <v>0</v>
      </c>
      <c r="D17">
        <f>6.0</f>
        <v>0</v>
      </c>
      <c r="E17">
        <f>E9*92.56315000000001</f>
        <v>0</v>
      </c>
      <c r="F17">
        <f>F9*871.8929</f>
        <v>0</v>
      </c>
      <c r="G17">
        <f>G9*124.19864999999999</f>
        <v>0</v>
      </c>
      <c r="H17">
        <f>H9*0.0</f>
        <v>0</v>
      </c>
      <c r="I17">
        <f>I9*0.08499999999999999</f>
        <v>0</v>
      </c>
      <c r="J17">
        <f>J9*54.1803</f>
        <v>0</v>
      </c>
      <c r="K17">
        <f>K9*-40.63525</f>
        <v>0</v>
      </c>
      <c r="L17">
        <f>L9*1192.0216</f>
        <v>0</v>
      </c>
      <c r="M17">
        <f>M9*-28.3784</f>
        <v>0</v>
      </c>
      <c r="N17">
        <f>E17+F17+G17+H17+I17+J17+K17+L17</f>
        <v>0</v>
      </c>
      <c r="O17">
        <f>E17+F17+G17+H17+I17+J17+K17+M17</f>
        <v>0</v>
      </c>
    </row>
    <row r="18" spans="3:15">
      <c r="C18">
        <f>7.0</f>
        <v>0</v>
      </c>
      <c r="D18">
        <f>7.0</f>
        <v>0</v>
      </c>
      <c r="E18">
        <f>E9*101.3544</f>
        <v>0</v>
      </c>
      <c r="F18">
        <f>F9*935.7692</f>
        <v>0</v>
      </c>
      <c r="G18">
        <f>G9*133.34885</f>
        <v>0</v>
      </c>
      <c r="H18">
        <f>H9*0.0</f>
        <v>0</v>
      </c>
      <c r="I18">
        <f>I9*0.07245</f>
        <v>0</v>
      </c>
      <c r="J18">
        <f>J9*65.5864</f>
        <v>0</v>
      </c>
      <c r="K18">
        <f>K9*-49.189800000000005</f>
        <v>0</v>
      </c>
      <c r="L18">
        <f>L9*1283.748</f>
        <v>0</v>
      </c>
      <c r="M18">
        <f>M9*-30.585250000000002</f>
        <v>0</v>
      </c>
      <c r="N18">
        <f>E18+F18+G18+H18+I18+J18+K18+L18</f>
        <v>0</v>
      </c>
      <c r="O18">
        <f>E18+F18+G18+H18+I18+J18+K18+M18</f>
        <v>0</v>
      </c>
    </row>
    <row r="19" spans="3:15">
      <c r="C19">
        <f>8.0</f>
        <v>0</v>
      </c>
      <c r="D19">
        <f>8.0</f>
        <v>0</v>
      </c>
      <c r="E19">
        <f>E9*105.8142</f>
        <v>0</v>
      </c>
      <c r="F19">
        <f>F9*982.10005</f>
        <v>0</v>
      </c>
      <c r="G19">
        <f>G9*139.974</f>
        <v>0</v>
      </c>
      <c r="H19">
        <f>H9*0.0</f>
        <v>0</v>
      </c>
      <c r="I19">
        <f>I9*0.06075</f>
        <v>0</v>
      </c>
      <c r="J19">
        <f>J9*66.77005</f>
        <v>0</v>
      </c>
      <c r="K19">
        <f>K9*-50.0775</f>
        <v>0</v>
      </c>
      <c r="L19">
        <f>L9*1352.13415</f>
        <v>0</v>
      </c>
      <c r="M19">
        <f>M9*-33.07325</f>
        <v>0</v>
      </c>
      <c r="N19">
        <f>E19+F19+G19+H19+I19+J19+K19+L19</f>
        <v>0</v>
      </c>
      <c r="O19">
        <f>E19+F19+G19+H19+I19+J19+K19+M19</f>
        <v>0</v>
      </c>
    </row>
    <row r="20" spans="3:15">
      <c r="C20">
        <f>9.0</f>
        <v>0</v>
      </c>
      <c r="D20">
        <f>9.0</f>
        <v>0</v>
      </c>
      <c r="E20">
        <f>E9*106.0359</f>
        <v>0</v>
      </c>
      <c r="F20">
        <f>F9*1011.5105</f>
        <v>0</v>
      </c>
      <c r="G20">
        <f>G9*144.14600000000002</f>
        <v>0</v>
      </c>
      <c r="H20">
        <f>H9*0.0</f>
        <v>0</v>
      </c>
      <c r="I20">
        <f>I9*0.0494</f>
        <v>0</v>
      </c>
      <c r="J20">
        <f>J9*57.5102</f>
        <v>0</v>
      </c>
      <c r="K20">
        <f>K9*-43.13265</f>
        <v>0</v>
      </c>
      <c r="L20">
        <f>L9*1399.37165</f>
        <v>0</v>
      </c>
      <c r="M20">
        <f>M9*-35.90135</f>
        <v>0</v>
      </c>
      <c r="N20">
        <f>E20+F20+G20+H20+I20+J20+K20+L20</f>
        <v>0</v>
      </c>
      <c r="O20">
        <f>E20+F20+G20+H20+I20+J20+K20+M20</f>
        <v>0</v>
      </c>
    </row>
    <row r="21" spans="3:15">
      <c r="C21">
        <f>10.0</f>
        <v>0</v>
      </c>
      <c r="D21">
        <f>10.0</f>
        <v>0</v>
      </c>
      <c r="E21">
        <f>E9*102.23325</f>
        <v>0</v>
      </c>
      <c r="F21">
        <f>F9*1021.3471</f>
        <v>0</v>
      </c>
      <c r="G21">
        <f>G9*145.43535</f>
        <v>0</v>
      </c>
      <c r="H21">
        <f>H9*0.0</f>
        <v>0</v>
      </c>
      <c r="I21">
        <f>I9*0.0477</f>
        <v>0</v>
      </c>
      <c r="J21">
        <f>J9*44.60195</f>
        <v>0</v>
      </c>
      <c r="K21">
        <f>K9*-33.451499999999996</f>
        <v>0</v>
      </c>
      <c r="L21">
        <f>L9*1419.58095</f>
        <v>0</v>
      </c>
      <c r="M21">
        <f>M9*-39.12585</f>
        <v>0</v>
      </c>
      <c r="N21">
        <f>E21+F21+G21+H21+I21+J21+K21+L21</f>
        <v>0</v>
      </c>
      <c r="O21">
        <f>E21+F21+G21+H21+I21+J21+K21+M21</f>
        <v>0</v>
      </c>
    </row>
    <row r="22" spans="3:15">
      <c r="C22">
        <f>11.0</f>
        <v>0</v>
      </c>
      <c r="D22">
        <f>11.0</f>
        <v>0</v>
      </c>
      <c r="E22">
        <f>E9*104.60055</f>
        <v>0</v>
      </c>
      <c r="F22">
        <f>F9*997.02955</f>
        <v>0</v>
      </c>
      <c r="G22">
        <f>G9*142.1078</f>
        <v>0</v>
      </c>
      <c r="H22">
        <f>H9*0.0</f>
        <v>0</v>
      </c>
      <c r="I22">
        <f>I9*0.045700000000000005</f>
        <v>0</v>
      </c>
      <c r="J22">
        <f>J9*61.455</f>
        <v>0</v>
      </c>
      <c r="K22">
        <f>K9*-46.09125</f>
        <v>0</v>
      </c>
      <c r="L22">
        <f>L9*1394.5545</f>
        <v>0</v>
      </c>
      <c r="M22">
        <f>M9*-42.28955</f>
        <v>0</v>
      </c>
      <c r="N22">
        <f>E22+F22+G22+H22+I22+J22+K22+L22</f>
        <v>0</v>
      </c>
      <c r="O22">
        <f>E22+F22+G22+H22+I22+J22+K22+M22</f>
        <v>0</v>
      </c>
    </row>
    <row r="23" spans="3:15">
      <c r="C23">
        <f>12.0</f>
        <v>0</v>
      </c>
      <c r="D23">
        <f>12.0</f>
        <v>0</v>
      </c>
      <c r="E23">
        <f>E9*103.0316</f>
        <v>0</v>
      </c>
      <c r="F23">
        <f>F9*952.43635</f>
        <v>0</v>
      </c>
      <c r="G23">
        <f>G9*135.78455</f>
        <v>0</v>
      </c>
      <c r="H23">
        <f>H9*0.0</f>
        <v>0</v>
      </c>
      <c r="I23">
        <f>I9*0.0351</f>
        <v>0</v>
      </c>
      <c r="J23">
        <f>J9*72.55225</f>
        <v>0</v>
      </c>
      <c r="K23">
        <f>K9*-54.4142</f>
        <v>0</v>
      </c>
      <c r="L23">
        <f>L9*1345.27355</f>
        <v>0</v>
      </c>
      <c r="M23">
        <f>M9*-45.5407</f>
        <v>0</v>
      </c>
      <c r="N23">
        <f>E23+F23+G23+H23+I23+J23+K23+L23</f>
        <v>0</v>
      </c>
      <c r="O23">
        <f>E23+F23+G23+H23+I23+J23+K23+M23</f>
        <v>0</v>
      </c>
    </row>
    <row r="24" spans="3:15">
      <c r="C24">
        <f>13.0</f>
        <v>0</v>
      </c>
      <c r="D24">
        <f>13.0</f>
        <v>0</v>
      </c>
      <c r="E24">
        <f>E9*97.2799</f>
        <v>0</v>
      </c>
      <c r="F24">
        <f>F9*891.51335</f>
        <v>0</v>
      </c>
      <c r="G24">
        <f>G9*127.09309999999999</f>
        <v>0</v>
      </c>
      <c r="H24">
        <f>H9*0.0</f>
        <v>0</v>
      </c>
      <c r="I24">
        <f>I9*0.0251</f>
        <v>0</v>
      </c>
      <c r="J24">
        <f>J9*73.12465</f>
        <v>0</v>
      </c>
      <c r="K24">
        <f>K9*-54.8435</f>
        <v>0</v>
      </c>
      <c r="L24">
        <f>L9*1273.3775</f>
        <v>0</v>
      </c>
      <c r="M24">
        <f>M9*-49.05955</f>
        <v>0</v>
      </c>
      <c r="N24">
        <f>E24+F24+G24+H24+I24+J24+K24+L24</f>
        <v>0</v>
      </c>
      <c r="O24">
        <f>E24+F24+G24+H24+I24+J24+K24+M24</f>
        <v>0</v>
      </c>
    </row>
    <row r="25" spans="3:15">
      <c r="C25">
        <f>14.0</f>
        <v>0</v>
      </c>
      <c r="D25">
        <f>14.0</f>
        <v>0</v>
      </c>
      <c r="E25">
        <f>E9*87.1919</f>
        <v>0</v>
      </c>
      <c r="F25">
        <f>F9*812.7985</f>
        <v>0</v>
      </c>
      <c r="G25">
        <f>G9*115.8426</f>
        <v>0</v>
      </c>
      <c r="H25">
        <f>H9*0.0</f>
        <v>0</v>
      </c>
      <c r="I25">
        <f>I9*0.0151</f>
        <v>0</v>
      </c>
      <c r="J25">
        <f>J9*63.36265</f>
        <v>0</v>
      </c>
      <c r="K25">
        <f>K9*-47.522</f>
        <v>0</v>
      </c>
      <c r="L25">
        <f>L9*1179.8465999999999</f>
        <v>0</v>
      </c>
      <c r="M25">
        <f>M9*-54.82755</f>
        <v>0</v>
      </c>
      <c r="N25">
        <f>E25+F25+G25+H25+I25+J25+K25+L25</f>
        <v>0</v>
      </c>
      <c r="O25">
        <f>E25+F25+G25+H25+I25+J25+K25+M25</f>
        <v>0</v>
      </c>
    </row>
    <row r="26" spans="3:15">
      <c r="C26">
        <f>15.0</f>
        <v>0</v>
      </c>
      <c r="D26">
        <f>15.0</f>
        <v>0</v>
      </c>
      <c r="E26">
        <f>E9*72.9315</f>
        <v>0</v>
      </c>
      <c r="F26">
        <f>F9*708.3556</f>
        <v>0</v>
      </c>
      <c r="G26">
        <f>G9*100.8189</f>
        <v>0</v>
      </c>
      <c r="H26">
        <f>H9*0.0</f>
        <v>0</v>
      </c>
      <c r="I26">
        <f>I9*0.01415</f>
        <v>0</v>
      </c>
      <c r="J26">
        <f>J9*45.785</f>
        <v>0</v>
      </c>
      <c r="K26">
        <f>K9*-34.338750000000005</f>
        <v>0</v>
      </c>
      <c r="L26">
        <f>L9*1058.8326499999998</f>
        <v>0</v>
      </c>
      <c r="M26">
        <f>M9*-64.77025</f>
        <v>0</v>
      </c>
      <c r="N26">
        <f>E26+F26+G26+H26+I26+J26+K26+L26</f>
        <v>0</v>
      </c>
      <c r="O26">
        <f>E26+F26+G26+H26+I26+J26+K26+M26</f>
        <v>0</v>
      </c>
    </row>
    <row r="27" spans="3:15">
      <c r="C27">
        <f>15.91</f>
        <v>0</v>
      </c>
      <c r="D27">
        <f>15.91</f>
        <v>0</v>
      </c>
      <c r="E27">
        <f>E9*65.52590000000001</f>
        <v>0</v>
      </c>
      <c r="F27">
        <f>F9*597.81</f>
        <v>0</v>
      </c>
      <c r="G27">
        <f>G9*85.18295</f>
        <v>0</v>
      </c>
      <c r="H27">
        <f>H9*0.0</f>
        <v>0</v>
      </c>
      <c r="I27">
        <f>I9*0.013049999999999999</f>
        <v>0</v>
      </c>
      <c r="J27">
        <f>J9*71.4426</f>
        <v>0</v>
      </c>
      <c r="K27">
        <f>K9*-53.581999999999994</f>
        <v>0</v>
      </c>
      <c r="L27">
        <f>L9*907.6659999999999</f>
        <v>0</v>
      </c>
      <c r="M27">
        <f>M9*-63.41815</f>
        <v>0</v>
      </c>
      <c r="N27">
        <f>E27+F27+G27+H27+I27+J27+K27+L27</f>
        <v>0</v>
      </c>
      <c r="O27">
        <f>E27+F27+G27+H27+I27+J27+K27+M27</f>
        <v>0</v>
      </c>
    </row>
    <row r="28" spans="3:15">
      <c r="C28">
        <f>16.82</f>
        <v>0</v>
      </c>
      <c r="D28">
        <f>16.82</f>
        <v>0</v>
      </c>
      <c r="E28">
        <f>E9*55.4033</f>
        <v>0</v>
      </c>
      <c r="F28">
        <f>F9*480.51564999999994</f>
        <v>0</v>
      </c>
      <c r="G28">
        <f>G9*68.52875</f>
        <v>0</v>
      </c>
      <c r="H28">
        <f>H9*0.0</f>
        <v>0</v>
      </c>
      <c r="I28">
        <f>I9*0.00215</f>
        <v>0</v>
      </c>
      <c r="J28">
        <f>J9*89.8438</f>
        <v>0</v>
      </c>
      <c r="K28">
        <f>K9*-67.38284999999999</f>
        <v>0</v>
      </c>
      <c r="L28">
        <f>L9*738.1569999999999</f>
        <v>0</v>
      </c>
      <c r="M28">
        <f>M9*-60.216350000000006</f>
        <v>0</v>
      </c>
      <c r="N28">
        <f>E28+F28+G28+H28+I28+J28+K28+L28</f>
        <v>0</v>
      </c>
      <c r="O28">
        <f>E28+F28+G28+H28+I28+J28+K28+M28</f>
        <v>0</v>
      </c>
    </row>
    <row r="29" spans="3:15">
      <c r="C29">
        <f>17.73</f>
        <v>0</v>
      </c>
      <c r="D29">
        <f>17.73</f>
        <v>0</v>
      </c>
      <c r="E29">
        <f>E9*40.419</f>
        <v>0</v>
      </c>
      <c r="F29">
        <f>F9*338.28594999999996</f>
        <v>0</v>
      </c>
      <c r="G29">
        <f>G9*48.296</f>
        <v>0</v>
      </c>
      <c r="H29">
        <f>H9*0.0</f>
        <v>0</v>
      </c>
      <c r="I29">
        <f>I9*-0.0085</f>
        <v>0</v>
      </c>
      <c r="J29">
        <f>J9*101.8812</f>
        <v>0</v>
      </c>
      <c r="K29">
        <f>K9*-76.4109</f>
        <v>0</v>
      </c>
      <c r="L29">
        <f>L9*527.7471499999999</f>
        <v>0</v>
      </c>
      <c r="M29">
        <f>M9*-57.23625</f>
        <v>0</v>
      </c>
      <c r="N29">
        <f>E29+F29+G29+H29+I29+J29+K29+L29</f>
        <v>0</v>
      </c>
      <c r="O29">
        <f>E29+F29+G29+H29+I29+J29+K29+M29</f>
        <v>0</v>
      </c>
    </row>
    <row r="30" spans="3:15">
      <c r="C30">
        <f>18.64</f>
        <v>0</v>
      </c>
      <c r="D30">
        <f>18.64</f>
        <v>0</v>
      </c>
      <c r="E30">
        <f>E9*21.3892</f>
        <v>0</v>
      </c>
      <c r="F30">
        <f>F9*180.9252</f>
        <v>0</v>
      </c>
      <c r="G30">
        <f>G9*25.8858</f>
        <v>0</v>
      </c>
      <c r="H30">
        <f>H9*0.0</f>
        <v>0</v>
      </c>
      <c r="I30">
        <f>I9*-0.0174</f>
        <v>0</v>
      </c>
      <c r="J30">
        <f>J9*108.3566</f>
        <v>0</v>
      </c>
      <c r="K30">
        <f>K9*-81.26745</f>
        <v>0</v>
      </c>
      <c r="L30">
        <f>L9*287.9361</f>
        <v>0</v>
      </c>
      <c r="M30">
        <f>M9*-55.5544</f>
        <v>0</v>
      </c>
      <c r="N30">
        <f>E30+F30+G30+H30+I30+J30+K30+L30</f>
        <v>0</v>
      </c>
      <c r="O30">
        <f>E30+F30+G30+H30+I30+J30+K30+M30</f>
        <v>0</v>
      </c>
    </row>
    <row r="31" spans="3:15">
      <c r="C31">
        <f>19.55</f>
        <v>0</v>
      </c>
      <c r="D31">
        <f>19.55</f>
        <v>0</v>
      </c>
      <c r="E31">
        <f>E9*-2.33825</f>
        <v>0</v>
      </c>
      <c r="F31">
        <f>F9*-2.7301</f>
        <v>0</v>
      </c>
      <c r="G31">
        <f>G9*-0.3423</f>
        <v>0</v>
      </c>
      <c r="H31">
        <f>H9*0.0</f>
        <v>0</v>
      </c>
      <c r="I31">
        <f>I9*-0.016</f>
        <v>0</v>
      </c>
      <c r="J31">
        <f>J9*117.9077</f>
        <v>0</v>
      </c>
      <c r="K31">
        <f>K9*-88.43075</f>
        <v>0</v>
      </c>
      <c r="L31">
        <f>L9*28.7543</f>
        <v>0</v>
      </c>
      <c r="M31">
        <f>M9*-73.02995</f>
        <v>0</v>
      </c>
      <c r="N31">
        <f>E31+F31+G31+H31+I31+J31+K31+L31</f>
        <v>0</v>
      </c>
      <c r="O31">
        <f>E31+F31+G31+H31+I31+J31+K31+M31</f>
        <v>0</v>
      </c>
    </row>
    <row r="32" spans="3:15">
      <c r="C32">
        <f>20.0</f>
        <v>0</v>
      </c>
      <c r="D32">
        <f>20.0</f>
        <v>0</v>
      </c>
      <c r="E32">
        <f>E9*-0.8748</f>
        <v>0</v>
      </c>
      <c r="F32">
        <f>F9*-7.6935</f>
        <v>0</v>
      </c>
      <c r="G32">
        <f>G9*-1.1034</f>
        <v>0</v>
      </c>
      <c r="H32">
        <f>H9*0.0</f>
        <v>0</v>
      </c>
      <c r="I32">
        <f>I9*0.0009142999999999999</f>
        <v>0</v>
      </c>
      <c r="J32">
        <f>J9*90.3963</f>
        <v>0</v>
      </c>
      <c r="K32">
        <f>K9*-67.7972</f>
        <v>0</v>
      </c>
      <c r="L32">
        <f>L9*3.563</f>
        <v>0</v>
      </c>
      <c r="M32">
        <f>M9*-11.7271</f>
        <v>0</v>
      </c>
      <c r="N32">
        <f>E32+F32+G32+H32+I32+J32+K32+L32</f>
        <v>0</v>
      </c>
      <c r="O32">
        <f>E32+F32+G32+H32+I32+J32+K32+M32</f>
        <v>0</v>
      </c>
    </row>
    <row r="33" spans="3:15">
      <c r="C33">
        <f>20.0</f>
        <v>0</v>
      </c>
      <c r="D33">
        <f>0.0</f>
        <v>0</v>
      </c>
      <c r="E33">
        <f>E9*-0.7079</f>
        <v>0</v>
      </c>
      <c r="F33">
        <f>F9*-8.5707</f>
        <v>0</v>
      </c>
      <c r="G33">
        <f>G9*-1.2388</f>
        <v>0</v>
      </c>
      <c r="H33">
        <f>H9*0.0</f>
        <v>0</v>
      </c>
      <c r="I33">
        <f>I9*-0.2968</f>
        <v>0</v>
      </c>
      <c r="J33">
        <f>J9*88.0313</f>
        <v>0</v>
      </c>
      <c r="K33">
        <f>K9*-66.0235</f>
        <v>0</v>
      </c>
      <c r="L33">
        <f>L9*0.8551</f>
        <v>0</v>
      </c>
      <c r="M33">
        <f>M9*-13.305</f>
        <v>0</v>
      </c>
      <c r="N33">
        <f>E33+F33+G33+H33+I33+J33+K33+L33</f>
        <v>0</v>
      </c>
      <c r="O33">
        <f>E33+F33+G33+H33+I33+J33+K33+M33</f>
        <v>0</v>
      </c>
    </row>
    <row r="34" spans="3:15">
      <c r="C34">
        <f>20.45</f>
        <v>0</v>
      </c>
      <c r="D34">
        <f>0.45</f>
        <v>0</v>
      </c>
      <c r="E34">
        <f>E9*-3.28435</f>
        <v>0</v>
      </c>
      <c r="F34">
        <f>F9*5.85145</f>
        <v>0</v>
      </c>
      <c r="G34">
        <f>G9*0.95095</f>
        <v>0</v>
      </c>
      <c r="H34">
        <f>H9*0.0</f>
        <v>0</v>
      </c>
      <c r="I34">
        <f>I9*2.3287999999999998</f>
        <v>0</v>
      </c>
      <c r="J34">
        <f>J9*134.06645</f>
        <v>0</v>
      </c>
      <c r="K34">
        <f>K9*-100.5498</f>
        <v>0</v>
      </c>
      <c r="L34">
        <f>L9*58.2861</f>
        <v>0</v>
      </c>
      <c r="M34">
        <f>M9*-47.3278</f>
        <v>0</v>
      </c>
      <c r="N34">
        <f>E34+F34+G34+H34+I34+J34+K34+L34</f>
        <v>0</v>
      </c>
      <c r="O34">
        <f>E34+F34+G34+H34+I34+J34+K34+M34</f>
        <v>0</v>
      </c>
    </row>
    <row r="35" spans="3:15">
      <c r="C35">
        <f>21.36</f>
        <v>0</v>
      </c>
      <c r="D35">
        <f>1.36</f>
        <v>0</v>
      </c>
      <c r="E35">
        <f>E9*19.15395</f>
        <v>0</v>
      </c>
      <c r="F35">
        <f>F9*189.1377</f>
        <v>0</v>
      </c>
      <c r="G35">
        <f>G9*27.17925</f>
        <v>0</v>
      </c>
      <c r="H35">
        <f>H9*0.0</f>
        <v>0</v>
      </c>
      <c r="I35">
        <f>I9*3.8872</f>
        <v>0</v>
      </c>
      <c r="J35">
        <f>J9*136.85595</f>
        <v>0</v>
      </c>
      <c r="K35">
        <f>K9*-102.64195000000001</f>
        <v>0</v>
      </c>
      <c r="L35">
        <f>L9*297.6044</f>
        <v>0</v>
      </c>
      <c r="M35">
        <f>M9*-9.3968</f>
        <v>0</v>
      </c>
      <c r="N35">
        <f>E35+F35+G35+H35+I35+J35+K35+L35</f>
        <v>0</v>
      </c>
      <c r="O35">
        <f>E35+F35+G35+H35+I35+J35+K35+M35</f>
        <v>0</v>
      </c>
    </row>
    <row r="36" spans="3:15">
      <c r="C36">
        <f>22.27</f>
        <v>0</v>
      </c>
      <c r="D36">
        <f>2.27</f>
        <v>0</v>
      </c>
      <c r="E36">
        <f>E9*38.06125</f>
        <v>0</v>
      </c>
      <c r="F36">
        <f>F9*337.67295</f>
        <v>0</v>
      </c>
      <c r="G36">
        <f>G9*48.30315</f>
        <v>0</v>
      </c>
      <c r="H36">
        <f>H9*0.0</f>
        <v>0</v>
      </c>
      <c r="I36">
        <f>I9*3.0915</f>
        <v>0</v>
      </c>
      <c r="J36">
        <f>J9*124.2567</f>
        <v>0</v>
      </c>
      <c r="K36">
        <f>K9*-93.1925</f>
        <v>0</v>
      </c>
      <c r="L36">
        <f>L9*526.22595</f>
        <v>0</v>
      </c>
      <c r="M36">
        <f>M9*-13.113900000000001</f>
        <v>0</v>
      </c>
      <c r="N36">
        <f>E36+F36+G36+H36+I36+J36+K36+L36</f>
        <v>0</v>
      </c>
      <c r="O36">
        <f>E36+F36+G36+H36+I36+J36+K36+M36</f>
        <v>0</v>
      </c>
    </row>
    <row r="37" spans="3:15">
      <c r="C37">
        <f>23.18</f>
        <v>0</v>
      </c>
      <c r="D37">
        <f>3.18</f>
        <v>0</v>
      </c>
      <c r="E37">
        <f>E9*52.819</f>
        <v>0</v>
      </c>
      <c r="F37">
        <f>F9*471.91485</f>
        <v>0</v>
      </c>
      <c r="G37">
        <f>G9*67.3766</f>
        <v>0</v>
      </c>
      <c r="H37">
        <f>H9*0.0</f>
        <v>0</v>
      </c>
      <c r="I37">
        <f>I9*2.37035</f>
        <v>0</v>
      </c>
      <c r="J37">
        <f>J9*107.82955</f>
        <v>0</v>
      </c>
      <c r="K37">
        <f>K9*-80.87215</f>
        <v>0</v>
      </c>
      <c r="L37">
        <f>L9*731.065</f>
        <v>0</v>
      </c>
      <c r="M37">
        <f>M9*-18.4418</f>
        <v>0</v>
      </c>
      <c r="N37">
        <f>E37+F37+G37+H37+I37+J37+K37+L37</f>
        <v>0</v>
      </c>
      <c r="O37">
        <f>E37+F37+G37+H37+I37+J37+K37+M37</f>
        <v>0</v>
      </c>
    </row>
    <row r="38" spans="3:15">
      <c r="C38">
        <f>24.09</f>
        <v>0</v>
      </c>
      <c r="D38">
        <f>4.09</f>
        <v>0</v>
      </c>
      <c r="E38">
        <f>E9*62.686949999999996</f>
        <v>0</v>
      </c>
      <c r="F38">
        <f>F9*582.10835</f>
        <v>0</v>
      </c>
      <c r="G38">
        <f>G9*83.00280000000001</f>
        <v>0</v>
      </c>
      <c r="H38">
        <f>H9*0.0</f>
        <v>0</v>
      </c>
      <c r="I38">
        <f>I9*1.70085</f>
        <v>0</v>
      </c>
      <c r="J38">
        <f>J9*86.07759999999999</f>
        <v>0</v>
      </c>
      <c r="K38">
        <f>K9*-64.5582</f>
        <v>0</v>
      </c>
      <c r="L38">
        <f>L9*897.70935</f>
        <v>0</v>
      </c>
      <c r="M38">
        <f>M9*-26.703850000000003</f>
        <v>0</v>
      </c>
      <c r="N38">
        <f>E38+F38+G38+H38+I38+J38+K38+L38</f>
        <v>0</v>
      </c>
      <c r="O38">
        <f>E38+F38+G38+H38+I38+J38+K38+M38</f>
        <v>0</v>
      </c>
    </row>
    <row r="39" spans="3:15">
      <c r="C39">
        <f>25.0</f>
        <v>0</v>
      </c>
      <c r="D39">
        <f>5.0</f>
        <v>0</v>
      </c>
      <c r="E39">
        <f>E9*69.75385</f>
        <v>0</v>
      </c>
      <c r="F39">
        <f>F9*685.82825</f>
        <v>0</v>
      </c>
      <c r="G39">
        <f>G9*97.65495000000001</f>
        <v>0</v>
      </c>
      <c r="H39">
        <f>H9*0.0</f>
        <v>0</v>
      </c>
      <c r="I39">
        <f>I9*1.3833</f>
        <v>0</v>
      </c>
      <c r="J39">
        <f>J9*58.1515</f>
        <v>0</v>
      </c>
      <c r="K39">
        <f>K9*-43.61365</f>
        <v>0</v>
      </c>
      <c r="L39">
        <f>L9*1046.8948500000001</f>
        <v>0</v>
      </c>
      <c r="M39">
        <f>M9*-34.8073</f>
        <v>0</v>
      </c>
      <c r="N39">
        <f>E39+F39+G39+H39+I39+J39+K39+L39</f>
        <v>0</v>
      </c>
      <c r="O39">
        <f>E39+F39+G39+H39+I39+J39+K39+M39</f>
        <v>0</v>
      </c>
    </row>
    <row r="40" spans="3:15">
      <c r="C40">
        <f>26.0</f>
        <v>0</v>
      </c>
      <c r="D40">
        <f>6.0</f>
        <v>0</v>
      </c>
      <c r="E40">
        <f>E9*83.3878</f>
        <v>0</v>
      </c>
      <c r="F40">
        <f>F9*783.48805</f>
        <v>0</v>
      </c>
      <c r="G40">
        <f>G9*111.71709999999999</f>
        <v>0</v>
      </c>
      <c r="H40">
        <f>H9*0.0</f>
        <v>0</v>
      </c>
      <c r="I40">
        <f>I9*0.7195</f>
        <v>0</v>
      </c>
      <c r="J40">
        <f>J9*76.68025</f>
        <v>0</v>
      </c>
      <c r="K40">
        <f>K9*-57.5102</f>
        <v>0</v>
      </c>
      <c r="L40">
        <f>L9*1167.353</f>
        <v>0</v>
      </c>
      <c r="M40">
        <f>M9*-31.372100000000003</f>
        <v>0</v>
      </c>
      <c r="N40">
        <f>E40+F40+G40+H40+I40+J40+K40+L40</f>
        <v>0</v>
      </c>
      <c r="O40">
        <f>E40+F40+G40+H40+I40+J40+K40+M40</f>
        <v>0</v>
      </c>
    </row>
    <row r="41" spans="3:15">
      <c r="C41">
        <f>27.0</f>
        <v>0</v>
      </c>
      <c r="D41">
        <f>7.0</f>
        <v>0</v>
      </c>
      <c r="E41">
        <f>E9*92.8442</f>
        <v>0</v>
      </c>
      <c r="F41">
        <f>F9*855.75315</f>
        <v>0</v>
      </c>
      <c r="G41">
        <f>G9*122.05615</f>
        <v>0</v>
      </c>
      <c r="H41">
        <f>H9*0.0</f>
        <v>0</v>
      </c>
      <c r="I41">
        <f>I9*-0.22660000000000002</f>
        <v>0</v>
      </c>
      <c r="J41">
        <f>J9*87.8672</f>
        <v>0</v>
      </c>
      <c r="K41">
        <f>K9*-65.90039999999999</f>
        <v>0</v>
      </c>
      <c r="L41">
        <f>L9*1259.94485</f>
        <v>0</v>
      </c>
      <c r="M41">
        <f>M9*-32.20265</f>
        <v>0</v>
      </c>
      <c r="N41">
        <f>E41+F41+G41+H41+I41+J41+K41+L41</f>
        <v>0</v>
      </c>
      <c r="O41">
        <f>E41+F41+G41+H41+I41+J41+K41+M41</f>
        <v>0</v>
      </c>
    </row>
    <row r="42" spans="3:15">
      <c r="C42">
        <f>28.0</f>
        <v>0</v>
      </c>
      <c r="D42">
        <f>8.0</f>
        <v>0</v>
      </c>
      <c r="E42">
        <f>E9*97.9158</f>
        <v>0</v>
      </c>
      <c r="F42">
        <f>F9*910.10835</f>
        <v>0</v>
      </c>
      <c r="G42">
        <f>G9*129.82315</f>
        <v>0</v>
      </c>
      <c r="H42">
        <f>H9*0.0</f>
        <v>0</v>
      </c>
      <c r="I42">
        <f>I9*-1.20905</f>
        <v>0</v>
      </c>
      <c r="J42">
        <f>J9*89.31485</f>
        <v>0</v>
      </c>
      <c r="K42">
        <f>K9*-66.98615</f>
        <v>0</v>
      </c>
      <c r="L42">
        <f>L9*1332.4149</f>
        <v>0</v>
      </c>
      <c r="M42">
        <f>M9*-34.23585</f>
        <v>0</v>
      </c>
      <c r="N42">
        <f>E42+F42+G42+H42+I42+J42+K42+L42</f>
        <v>0</v>
      </c>
      <c r="O42">
        <f>E42+F42+G42+H42+I42+J42+K42+M42</f>
        <v>0</v>
      </c>
    </row>
    <row r="43" spans="3:15">
      <c r="C43">
        <f>29.0</f>
        <v>0</v>
      </c>
      <c r="D43">
        <f>9.0</f>
        <v>0</v>
      </c>
      <c r="E43">
        <f>E9*98.71860000000001</f>
        <v>0</v>
      </c>
      <c r="F43">
        <f>F9*947.60635</f>
        <v>0</v>
      </c>
      <c r="G43">
        <f>G9*135.1515</f>
        <v>0</v>
      </c>
      <c r="H43">
        <f>H9*0.0</f>
        <v>0</v>
      </c>
      <c r="I43">
        <f>I9*-2.29725</f>
        <v>0</v>
      </c>
      <c r="J43">
        <f>J9*80.96375</f>
        <v>0</v>
      </c>
      <c r="K43">
        <f>K9*-60.7228</f>
        <v>0</v>
      </c>
      <c r="L43">
        <f>L9*1381.8371000000002</f>
        <v>0</v>
      </c>
      <c r="M43">
        <f>M9*-40.13875</f>
        <v>0</v>
      </c>
      <c r="N43">
        <f>E43+F43+G43+H43+I43+J43+K43+L43</f>
        <v>0</v>
      </c>
      <c r="O43">
        <f>E43+F43+G43+H43+I43+J43+K43+M43</f>
        <v>0</v>
      </c>
    </row>
    <row r="44" spans="3:15">
      <c r="C44">
        <f>30.0</f>
        <v>0</v>
      </c>
      <c r="D44">
        <f>10.0</f>
        <v>0</v>
      </c>
      <c r="E44">
        <f>E9*95.49685</f>
        <v>0</v>
      </c>
      <c r="F44">
        <f>F9*965.05385</f>
        <v>0</v>
      </c>
      <c r="G44">
        <f>G9*137.52685</f>
        <v>0</v>
      </c>
      <c r="H44">
        <f>H9*0.0</f>
        <v>0</v>
      </c>
      <c r="I44">
        <f>I9*-3.19455</f>
        <v>0</v>
      </c>
      <c r="J44">
        <f>J9*68.49485</f>
        <v>0</v>
      </c>
      <c r="K44">
        <f>K9*-51.37115</f>
        <v>0</v>
      </c>
      <c r="L44">
        <f>L9*1404.2512</f>
        <v>0</v>
      </c>
      <c r="M44">
        <f>M9*-48.7432</f>
        <v>0</v>
      </c>
      <c r="N44">
        <f>E44+F44+G44+H44+I44+J44+K44+L44</f>
        <v>0</v>
      </c>
      <c r="O44">
        <f>E44+F44+G44+H44+I44+J44+K44+M44</f>
        <v>0</v>
      </c>
    </row>
    <row r="45" spans="3:15">
      <c r="C45">
        <f>31.0</f>
        <v>0</v>
      </c>
      <c r="D45">
        <f>11.0</f>
        <v>0</v>
      </c>
      <c r="E45">
        <f>E9*98.83779999999999</f>
        <v>0</v>
      </c>
      <c r="F45">
        <f>F9*948.29435</f>
        <v>0</v>
      </c>
      <c r="G45">
        <f>G9*135.24765</f>
        <v>0</v>
      </c>
      <c r="H45">
        <f>H9*0.0</f>
        <v>0</v>
      </c>
      <c r="I45">
        <f>I9*-3.82635</f>
        <v>0</v>
      </c>
      <c r="J45">
        <f>J9*80.49625</f>
        <v>0</v>
      </c>
      <c r="K45">
        <f>K9*-60.372150000000005</f>
        <v>0</v>
      </c>
      <c r="L45">
        <f>L9*1382.49825</f>
        <v>0</v>
      </c>
      <c r="M45">
        <f>M9*-47.5158</f>
        <v>0</v>
      </c>
      <c r="N45">
        <f>E45+F45+G45+H45+I45+J45+K45+L45</f>
        <v>0</v>
      </c>
      <c r="O45">
        <f>E45+F45+G45+H45+I45+J45+K45+M45</f>
        <v>0</v>
      </c>
    </row>
    <row r="46" spans="3:15">
      <c r="C46">
        <f>32.0</f>
        <v>0</v>
      </c>
      <c r="D46">
        <f>12.0</f>
        <v>0</v>
      </c>
      <c r="E46">
        <f>E9*98.1691</f>
        <v>0</v>
      </c>
      <c r="F46">
        <f>F9*911.2596000000001</f>
        <v>0</v>
      </c>
      <c r="G46">
        <f>G9*129.98194999999998</f>
        <v>0</v>
      </c>
      <c r="H46">
        <f>H9*0.0</f>
        <v>0</v>
      </c>
      <c r="I46">
        <f>I9*-4.79485</f>
        <v>0</v>
      </c>
      <c r="J46">
        <f>J9*88.03845</f>
        <v>0</v>
      </c>
      <c r="K46">
        <f>K9*-66.02885</f>
        <v>0</v>
      </c>
      <c r="L46">
        <f>L9*1334.41085</f>
        <v>0</v>
      </c>
      <c r="M46">
        <f>M9*-48.91585</f>
        <v>0</v>
      </c>
      <c r="N46">
        <f>E46+F46+G46+H46+I46+J46+K46+L46</f>
        <v>0</v>
      </c>
      <c r="O46">
        <f>E46+F46+G46+H46+I46+J46+K46+M46</f>
        <v>0</v>
      </c>
    </row>
    <row r="47" spans="3:15">
      <c r="C47">
        <f>33.0</f>
        <v>0</v>
      </c>
      <c r="D47">
        <f>13.0</f>
        <v>0</v>
      </c>
      <c r="E47">
        <f>E9*93.23175</f>
        <v>0</v>
      </c>
      <c r="F47">
        <f>F9*857.3659500000001</f>
        <v>0</v>
      </c>
      <c r="G47">
        <f>G9*122.2773</f>
        <v>0</v>
      </c>
      <c r="H47">
        <f>H9*0.0</f>
        <v>0</v>
      </c>
      <c r="I47">
        <f>I9*-5.806</f>
        <v>0</v>
      </c>
      <c r="J47">
        <f>J9*85.7775</f>
        <v>0</v>
      </c>
      <c r="K47">
        <f>K9*-64.3331</f>
        <v>0</v>
      </c>
      <c r="L47">
        <f>L9*1263.12275</f>
        <v>0</v>
      </c>
      <c r="M47">
        <f>M9*-52.9397</f>
        <v>0</v>
      </c>
      <c r="N47">
        <f>E47+F47+G47+H47+I47+J47+K47+L47</f>
        <v>0</v>
      </c>
      <c r="O47">
        <f>E47+F47+G47+H47+I47+J47+K47+M47</f>
        <v>0</v>
      </c>
    </row>
    <row r="48" spans="3:15">
      <c r="C48">
        <f>34.0</f>
        <v>0</v>
      </c>
      <c r="D48">
        <f>14.0</f>
        <v>0</v>
      </c>
      <c r="E48">
        <f>E9*83.9218</f>
        <v>0</v>
      </c>
      <c r="F48">
        <f>F9*785.5858499999999</f>
        <v>0</v>
      </c>
      <c r="G48">
        <f>G9*112.0036</f>
        <v>0</v>
      </c>
      <c r="H48">
        <f>H9*0.0</f>
        <v>0</v>
      </c>
      <c r="I48">
        <f>I9*-6.906599999999999</f>
        <v>0</v>
      </c>
      <c r="J48">
        <f>J9*73.6863</f>
        <v>0</v>
      </c>
      <c r="K48">
        <f>K9*-55.264700000000005</f>
        <v>0</v>
      </c>
      <c r="L48">
        <f>L9*1171.25785</f>
        <v>0</v>
      </c>
      <c r="M48">
        <f>M9*-58.22455</f>
        <v>0</v>
      </c>
      <c r="N48">
        <f>E48+F48+G48+H48+I48+J48+K48+L48</f>
        <v>0</v>
      </c>
      <c r="O48">
        <f>E48+F48+G48+H48+I48+J48+K48+M48</f>
        <v>0</v>
      </c>
    </row>
    <row r="49" spans="3:15">
      <c r="C49">
        <f>35.0</f>
        <v>0</v>
      </c>
      <c r="D49">
        <f>15.0</f>
        <v>0</v>
      </c>
      <c r="E49">
        <f>E9*70.49565</f>
        <v>0</v>
      </c>
      <c r="F49">
        <f>F9*688.68595</f>
        <v>0</v>
      </c>
      <c r="G49">
        <f>G9*98.04464999999999</f>
        <v>0</v>
      </c>
      <c r="H49">
        <f>H9*0.0</f>
        <v>0</v>
      </c>
      <c r="I49">
        <f>I9*-8.0606</f>
        <v>0</v>
      </c>
      <c r="J49">
        <f>J9*53.9327</f>
        <v>0</v>
      </c>
      <c r="K49">
        <f>K9*-40.4495</f>
        <v>0</v>
      </c>
      <c r="L49">
        <f>L9*1051.8526000000002</f>
        <v>0</v>
      </c>
      <c r="M49">
        <f>M9*-68.4103</f>
        <v>0</v>
      </c>
      <c r="N49">
        <f>E49+F49+G49+H49+I49+J49+K49+L49</f>
        <v>0</v>
      </c>
      <c r="O49">
        <f>E49+F49+G49+H49+I49+J49+K49+M49</f>
        <v>0</v>
      </c>
    </row>
    <row r="50" spans="3:15">
      <c r="C50">
        <f>35.91</f>
        <v>0</v>
      </c>
      <c r="D50">
        <f>15.91</f>
        <v>0</v>
      </c>
      <c r="E50">
        <f>E9*63.607350000000004</f>
        <v>0</v>
      </c>
      <c r="F50">
        <f>F9*582.1878999999999</f>
        <v>0</v>
      </c>
      <c r="G50">
        <f>G9*82.97784999999999</f>
        <v>0</v>
      </c>
      <c r="H50">
        <f>H9*0.0</f>
        <v>0</v>
      </c>
      <c r="I50">
        <f>I9*-6.02805</f>
        <v>0</v>
      </c>
      <c r="J50">
        <f>J9*77.66470000000001</f>
        <v>0</v>
      </c>
      <c r="K50">
        <f>K9*-58.24850000000001</f>
        <v>0</v>
      </c>
      <c r="L50">
        <f>L9*901.51005</f>
        <v>0</v>
      </c>
      <c r="M50">
        <f>M9*-65.3074</f>
        <v>0</v>
      </c>
      <c r="N50">
        <f>E50+F50+G50+H50+I50+J50+K50+L50</f>
        <v>0</v>
      </c>
      <c r="O50">
        <f>E50+F50+G50+H50+I50+J50+K50+M50</f>
        <v>0</v>
      </c>
    </row>
    <row r="51" spans="3:15">
      <c r="C51">
        <f>36.82</f>
        <v>0</v>
      </c>
      <c r="D51">
        <f>16.82</f>
        <v>0</v>
      </c>
      <c r="E51">
        <f>E9*53.93375</f>
        <v>0</v>
      </c>
      <c r="F51">
        <f>F9*468.43084999999996</f>
        <v>0</v>
      </c>
      <c r="G51">
        <f>G9*66.82124999999999</f>
        <v>0</v>
      </c>
      <c r="H51">
        <f>H9*0.0</f>
        <v>0</v>
      </c>
      <c r="I51">
        <f>I9*-3.89485</f>
        <v>0</v>
      </c>
      <c r="J51">
        <f>J9*94.36395</f>
        <v>0</v>
      </c>
      <c r="K51">
        <f>K9*-70.773</f>
        <v>0</v>
      </c>
      <c r="L51">
        <f>L9*732.25235</f>
        <v>0</v>
      </c>
      <c r="M51">
        <f>M9*-60.5963</f>
        <v>0</v>
      </c>
      <c r="N51">
        <f>E51+F51+G51+H51+I51+J51+K51+L51</f>
        <v>0</v>
      </c>
      <c r="O51">
        <f>E51+F51+G51+H51+I51+J51+K51+M51</f>
        <v>0</v>
      </c>
    </row>
    <row r="52" spans="3:15">
      <c r="C52">
        <f>37.73</f>
        <v>0</v>
      </c>
      <c r="D52">
        <f>17.73</f>
        <v>0</v>
      </c>
      <c r="E52">
        <f>E9*39.42745</f>
        <v>0</v>
      </c>
      <c r="F52">
        <f>F9*330.01604999999995</f>
        <v>0</v>
      </c>
      <c r="G52">
        <f>G9*47.12575</f>
        <v>0</v>
      </c>
      <c r="H52">
        <f>H9*0.0</f>
        <v>0</v>
      </c>
      <c r="I52">
        <f>I9*-1.9610500000000002</f>
        <v>0</v>
      </c>
      <c r="J52">
        <f>J9*104.66550000000001</f>
        <v>0</v>
      </c>
      <c r="K52">
        <f>K9*-78.49915</f>
        <v>0</v>
      </c>
      <c r="L52">
        <f>L9*522.9419</f>
        <v>0</v>
      </c>
      <c r="M52">
        <f>M9*-56.61255</f>
        <v>0</v>
      </c>
      <c r="N52">
        <f>E52+F52+G52+H52+I52+J52+K52+L52</f>
        <v>0</v>
      </c>
      <c r="O52">
        <f>E52+F52+G52+H52+I52+J52+K52+M52</f>
        <v>0</v>
      </c>
    </row>
    <row r="53" spans="3:15">
      <c r="C53">
        <f>38.64</f>
        <v>0</v>
      </c>
      <c r="D53">
        <f>18.64</f>
        <v>0</v>
      </c>
      <c r="E53">
        <f>E9*20.85615</f>
        <v>0</v>
      </c>
      <c r="F53">
        <f>F9*176.31369999999998</f>
        <v>0</v>
      </c>
      <c r="G53">
        <f>G9*25.23085</f>
        <v>0</v>
      </c>
      <c r="H53">
        <f>H9*0.0</f>
        <v>0</v>
      </c>
      <c r="I53">
        <f>I9*-0.5101</f>
        <v>0</v>
      </c>
      <c r="J53">
        <f>J9*109.46935</f>
        <v>0</v>
      </c>
      <c r="K53">
        <f>K9*-82.102</f>
        <v>0</v>
      </c>
      <c r="L53">
        <f>L9*284.99725</f>
        <v>0</v>
      </c>
      <c r="M53">
        <f>M9*-55.361850000000004</f>
        <v>0</v>
      </c>
      <c r="N53">
        <f>E53+F53+G53+H53+I53+J53+K53+L53</f>
        <v>0</v>
      </c>
      <c r="O53">
        <f>E53+F53+G53+H53+I53+J53+K53+M53</f>
        <v>0</v>
      </c>
    </row>
    <row r="54" spans="3:15">
      <c r="C54">
        <f>39.55</f>
        <v>0</v>
      </c>
      <c r="D54">
        <f>19.55</f>
        <v>0</v>
      </c>
      <c r="E54">
        <f>E9*-2.42615</f>
        <v>0</v>
      </c>
      <c r="F54">
        <f>F9*-3.8941</f>
        <v>0</v>
      </c>
      <c r="G54">
        <f>G9*-0.5122</f>
        <v>0</v>
      </c>
      <c r="H54">
        <f>H9*0.0</f>
        <v>0</v>
      </c>
      <c r="I54">
        <f>I9*0.9495</f>
        <v>0</v>
      </c>
      <c r="J54">
        <f>J9*117.29204999999999</f>
        <v>0</v>
      </c>
      <c r="K54">
        <f>K9*-87.96900000000001</f>
        <v>0</v>
      </c>
      <c r="L54">
        <f>L9*33.04745</f>
        <v>0</v>
      </c>
      <c r="M54">
        <f>M9*-76.3024</f>
        <v>0</v>
      </c>
      <c r="N54">
        <f>E54+F54+G54+H54+I54+J54+K54+L54</f>
        <v>0</v>
      </c>
      <c r="O54">
        <f>E54+F54+G54+H54+I54+J54+K54+M54</f>
        <v>0</v>
      </c>
    </row>
    <row r="55" spans="3:15">
      <c r="C55">
        <f>40.0</f>
        <v>0</v>
      </c>
      <c r="D55">
        <f>20.0</f>
        <v>0</v>
      </c>
      <c r="E55">
        <f>E9*-0.8533</f>
        <v>0</v>
      </c>
      <c r="F55">
        <f>F9*-7.525</f>
        <v>0</v>
      </c>
      <c r="G55">
        <f>G9*-1.0797</f>
        <v>0</v>
      </c>
      <c r="H55">
        <f>H9*0.0</f>
        <v>0</v>
      </c>
      <c r="I55">
        <f>I9*0.1653</f>
        <v>0</v>
      </c>
      <c r="J55">
        <f>J9*90.3233</f>
        <v>0</v>
      </c>
      <c r="K55">
        <f>K9*-67.7425</f>
        <v>0</v>
      </c>
      <c r="L55">
        <f>L9*3.5335</f>
        <v>0</v>
      </c>
      <c r="M55">
        <f>M9*-11.5602</f>
        <v>0</v>
      </c>
      <c r="N55">
        <f>E55+F55+G55+H55+I55+J55+K55+L55</f>
        <v>0</v>
      </c>
      <c r="O55">
        <f>E55+F55+G55+H55+I55+J55+K55+M55</f>
        <v>0</v>
      </c>
    </row>
    <row r="56" spans="3:15">
      <c r="C56">
        <f>40.0</f>
        <v>0</v>
      </c>
      <c r="D56">
        <f>0.0</f>
        <v>0</v>
      </c>
      <c r="E56">
        <f>E9*-0.4431</f>
        <v>0</v>
      </c>
      <c r="F56">
        <f>F9*-4.1677</f>
        <v>0</v>
      </c>
      <c r="G56">
        <f>G9*-0.6013</f>
        <v>0</v>
      </c>
      <c r="H56">
        <f>H9*0.0</f>
        <v>0</v>
      </c>
      <c r="I56">
        <f>I9*0.565</f>
        <v>0</v>
      </c>
      <c r="J56">
        <f>J9*88.3118</f>
        <v>0</v>
      </c>
      <c r="K56">
        <f>K9*-66.2339</f>
        <v>0</v>
      </c>
      <c r="L56">
        <f>L9*0.9311</f>
        <v>0</v>
      </c>
      <c r="M56">
        <f>M9*-8.9372</f>
        <v>0</v>
      </c>
      <c r="N56">
        <f>E56+F56+G56+H56+I56+J56+K56+L56</f>
        <v>0</v>
      </c>
      <c r="O56">
        <f>E56+F56+G56+H56+I56+J56+K56+M56</f>
        <v>0</v>
      </c>
    </row>
    <row r="57" spans="3:15">
      <c r="C57">
        <f>40.45</f>
        <v>0</v>
      </c>
      <c r="D57">
        <f>0.45</f>
        <v>0</v>
      </c>
      <c r="E57">
        <f>E9*-2.37615</f>
        <v>0</v>
      </c>
      <c r="F57">
        <f>F9*6.664499999999999</f>
        <v>0</v>
      </c>
      <c r="G57">
        <f>G9*1.0186000000000002</f>
        <v>0</v>
      </c>
      <c r="H57">
        <f>H9*0.0</f>
        <v>0</v>
      </c>
      <c r="I57">
        <f>I9*3.2702</f>
        <v>0</v>
      </c>
      <c r="J57">
        <f>J9*124.9528</f>
        <v>0</v>
      </c>
      <c r="K57">
        <f>K9*-93.7146</f>
        <v>0</v>
      </c>
      <c r="L57">
        <f>L9*28.700249999999997</f>
        <v>0</v>
      </c>
      <c r="M57">
        <f>M9*-21.20645</f>
        <v>0</v>
      </c>
      <c r="N57">
        <f>E57+F57+G57+H57+I57+J57+K57+L57</f>
        <v>0</v>
      </c>
      <c r="O57">
        <f>E57+F57+G57+H57+I57+J57+K57+M57</f>
        <v>0</v>
      </c>
    </row>
    <row r="58" spans="3:15">
      <c r="C58">
        <f>41.36</f>
        <v>0</v>
      </c>
      <c r="D58">
        <f>1.36</f>
        <v>0</v>
      </c>
      <c r="E58">
        <f>E9*11.40375</f>
        <v>0</v>
      </c>
      <c r="F58">
        <f>F9*86.76795</f>
        <v>0</v>
      </c>
      <c r="G58">
        <f>G9*12.4407</f>
        <v>0</v>
      </c>
      <c r="H58">
        <f>H9*0.0</f>
        <v>0</v>
      </c>
      <c r="I58">
        <f>I9*-10.3626</f>
        <v>0</v>
      </c>
      <c r="J58">
        <f>J9*116.1651</f>
        <v>0</v>
      </c>
      <c r="K58">
        <f>K9*-87.12385</f>
        <v>0</v>
      </c>
      <c r="L58">
        <f>L9*198.39915</f>
        <v>0</v>
      </c>
      <c r="M58">
        <f>M9*-10.14785</f>
        <v>0</v>
      </c>
      <c r="N58">
        <f>E58+F58+G58+H58+I58+J58+K58+L58</f>
        <v>0</v>
      </c>
      <c r="O58">
        <f>E58+F58+G58+H58+I58+J58+K58+M58</f>
        <v>0</v>
      </c>
    </row>
    <row r="59" spans="3:15">
      <c r="C59">
        <f>42.27</f>
        <v>0</v>
      </c>
      <c r="D59">
        <f>2.27</f>
        <v>0</v>
      </c>
      <c r="E59">
        <f>E9*21.604750000000003</f>
        <v>0</v>
      </c>
      <c r="F59">
        <f>F9*140.59210000000002</f>
        <v>0</v>
      </c>
      <c r="G59">
        <f>G9*20.01395</f>
        <v>0</v>
      </c>
      <c r="H59">
        <f>H9*0.0</f>
        <v>0</v>
      </c>
      <c r="I59">
        <f>I9*-23.57575</f>
        <v>0</v>
      </c>
      <c r="J59">
        <f>J9*101.02590000000001</f>
        <v>0</v>
      </c>
      <c r="K59">
        <f>K9*-75.76939999999999</f>
        <v>0</v>
      </c>
      <c r="L59">
        <f>L9*319.2147</f>
        <v>0</v>
      </c>
      <c r="M59">
        <f>M9*-12.578</f>
        <v>0</v>
      </c>
      <c r="N59">
        <f>E59+F59+G59+H59+I59+J59+K59+L59</f>
        <v>0</v>
      </c>
      <c r="O59">
        <f>E59+F59+G59+H59+I59+J59+K59+M59</f>
        <v>0</v>
      </c>
    </row>
    <row r="60" spans="3:15">
      <c r="C60">
        <f>43.18</f>
        <v>0</v>
      </c>
      <c r="D60">
        <f>3.18</f>
        <v>0</v>
      </c>
      <c r="E60">
        <f>E9*28.25125</f>
        <v>0</v>
      </c>
      <c r="F60">
        <f>F9*182.8657</f>
        <v>0</v>
      </c>
      <c r="G60">
        <f>G9*25.9207</f>
        <v>0</v>
      </c>
      <c r="H60">
        <f>H9*0.0</f>
        <v>0</v>
      </c>
      <c r="I60">
        <f>I9*-39.2059</f>
        <v>0</v>
      </c>
      <c r="J60">
        <f>J9*66.11664999999999</f>
        <v>0</v>
      </c>
      <c r="K60">
        <f>K9*-49.58755</f>
        <v>0</v>
      </c>
      <c r="L60">
        <f>L9*414.0289</f>
        <v>0</v>
      </c>
      <c r="M60">
        <f>M9*-16.048949999999998</f>
        <v>0</v>
      </c>
      <c r="N60">
        <f>E60+F60+G60+H60+I60+J60+K60+L60</f>
        <v>0</v>
      </c>
      <c r="O60">
        <f>E60+F60+G60+H60+I60+J60+K60+M60</f>
        <v>0</v>
      </c>
    </row>
    <row r="61" spans="3:15">
      <c r="C61">
        <f>44.09</f>
        <v>0</v>
      </c>
      <c r="D61">
        <f>4.09</f>
        <v>0</v>
      </c>
      <c r="E61">
        <f>E9*30.98345</f>
        <v>0</v>
      </c>
      <c r="F61">
        <f>F9*209.54700000000003</f>
        <v>0</v>
      </c>
      <c r="G61">
        <f>G9*29.5796</f>
        <v>0</v>
      </c>
      <c r="H61">
        <f>H9*0.0</f>
        <v>0</v>
      </c>
      <c r="I61">
        <f>I9*-55.688950000000006</f>
        <v>0</v>
      </c>
      <c r="J61">
        <f>J9*23.463250000000002</f>
        <v>0</v>
      </c>
      <c r="K61">
        <f>K9*-17.597450000000002</f>
        <v>0</v>
      </c>
      <c r="L61">
        <f>L9*476.04515000000004</f>
        <v>0</v>
      </c>
      <c r="M61">
        <f>M9*-23.168</f>
        <v>0</v>
      </c>
      <c r="N61">
        <f>E61+F61+G61+H61+I61+J61+K61+L61</f>
        <v>0</v>
      </c>
      <c r="O61">
        <f>E61+F61+G61+H61+I61+J61+K61+M61</f>
        <v>0</v>
      </c>
    </row>
    <row r="62" spans="3:15">
      <c r="C62">
        <f>45.0</f>
        <v>0</v>
      </c>
      <c r="D62">
        <f>5.0</f>
        <v>0</v>
      </c>
      <c r="E62">
        <f>E9*30.737299999999998</f>
        <v>0</v>
      </c>
      <c r="F62">
        <f>F9*222.95885</f>
        <v>0</v>
      </c>
      <c r="G62">
        <f>G9*31.2472</f>
        <v>0</v>
      </c>
      <c r="H62">
        <f>H9*0.0</f>
        <v>0</v>
      </c>
      <c r="I62">
        <f>I9*-71.35755</f>
        <v>0</v>
      </c>
      <c r="J62">
        <f>J9*-22.1572</f>
        <v>0</v>
      </c>
      <c r="K62">
        <f>K9*16.6179</f>
        <v>0</v>
      </c>
      <c r="L62">
        <f>L9*506.02535</f>
        <v>0</v>
      </c>
      <c r="M62">
        <f>M9*-28.575650000000003</f>
        <v>0</v>
      </c>
      <c r="N62">
        <f>E62+F62+G62+H62+I62+J62+K62+L62</f>
        <v>0</v>
      </c>
      <c r="O62">
        <f>E62+F62+G62+H62+I62+J62+K62+M62</f>
        <v>0</v>
      </c>
    </row>
    <row r="63" spans="3:15">
      <c r="C63">
        <f>46.0</f>
        <v>0</v>
      </c>
      <c r="D63">
        <f>6.0</f>
        <v>0</v>
      </c>
      <c r="E63">
        <f>E9*33.0643</f>
        <v>0</v>
      </c>
      <c r="F63">
        <f>F9*215.58135</f>
        <v>0</v>
      </c>
      <c r="G63">
        <f>G9*30.38475</f>
        <v>0</v>
      </c>
      <c r="H63">
        <f>H9*0.0</f>
        <v>0</v>
      </c>
      <c r="I63">
        <f>I9*-56.0287</f>
        <v>0</v>
      </c>
      <c r="J63">
        <f>J9*15.94645</f>
        <v>0</v>
      </c>
      <c r="K63">
        <f>K9*-11.95985</f>
        <v>0</v>
      </c>
      <c r="L63">
        <f>L9*486.77895</f>
        <v>0</v>
      </c>
      <c r="M63">
        <f>M9*-22.701549999999997</f>
        <v>0</v>
      </c>
      <c r="N63">
        <f>E63+F63+G63+H63+I63+J63+K63+L63</f>
        <v>0</v>
      </c>
      <c r="O63">
        <f>E63+F63+G63+H63+I63+J63+K63+M63</f>
        <v>0</v>
      </c>
    </row>
    <row r="64" spans="3:15">
      <c r="C64">
        <f>47.0</f>
        <v>0</v>
      </c>
      <c r="D64">
        <f>7.0</f>
        <v>0</v>
      </c>
      <c r="E64">
        <f>E9*31.3061</f>
        <v>0</v>
      </c>
      <c r="F64">
        <f>F9*188.88425</f>
        <v>0</v>
      </c>
      <c r="G64">
        <f>G9*26.6929</f>
        <v>0</v>
      </c>
      <c r="H64">
        <f>H9*0.0</f>
        <v>0</v>
      </c>
      <c r="I64">
        <f>I9*-39.477850000000004</f>
        <v>0</v>
      </c>
      <c r="J64">
        <f>J9*53.63495</f>
        <v>0</v>
      </c>
      <c r="K64">
        <f>K9*-40.22624999999999</f>
        <v>0</v>
      </c>
      <c r="L64">
        <f>L9*429.5424</f>
        <v>0</v>
      </c>
      <c r="M64">
        <f>M9*-17.107950000000002</f>
        <v>0</v>
      </c>
      <c r="N64">
        <f>E64+F64+G64+H64+I64+J64+K64+L64</f>
        <v>0</v>
      </c>
      <c r="O64">
        <f>E64+F64+G64+H64+I64+J64+K64+M64</f>
        <v>0</v>
      </c>
    </row>
    <row r="65" spans="3:15">
      <c r="C65">
        <f>48.0</f>
        <v>0</v>
      </c>
      <c r="D65">
        <f>8.0</f>
        <v>0</v>
      </c>
      <c r="E65">
        <f>E9*25.12285</f>
        <v>0</v>
      </c>
      <c r="F65">
        <f>F9*144.0664</f>
        <v>0</v>
      </c>
      <c r="G65">
        <f>G9*20.38315</f>
        <v>0</v>
      </c>
      <c r="H65">
        <f>H9*0.0</f>
        <v>0</v>
      </c>
      <c r="I65">
        <f>I9*-23.5083</f>
        <v>0</v>
      </c>
      <c r="J65">
        <f>J9*78.64115000000001</f>
        <v>0</v>
      </c>
      <c r="K65">
        <f>K9*-58.98085</f>
        <v>0</v>
      </c>
      <c r="L65">
        <f>L9*332.61765</f>
        <v>0</v>
      </c>
      <c r="M65">
        <f>M9*-12.24205</f>
        <v>0</v>
      </c>
      <c r="N65">
        <f>E65+F65+G65+H65+I65+J65+K65+L65</f>
        <v>0</v>
      </c>
      <c r="O65">
        <f>E65+F65+G65+H65+I65+J65+K65+M65</f>
        <v>0</v>
      </c>
    </row>
    <row r="66" spans="3:15">
      <c r="C66">
        <f>49.0</f>
        <v>0</v>
      </c>
      <c r="D66">
        <f>9.0</f>
        <v>0</v>
      </c>
      <c r="E66">
        <f>E9*14.470849999999999</f>
        <v>0</v>
      </c>
      <c r="F66">
        <f>F9*82.40610000000001</f>
        <v>0</v>
      </c>
      <c r="G66">
        <f>G9*11.6577</f>
        <v>0</v>
      </c>
      <c r="H66">
        <f>H9*0.0</f>
        <v>0</v>
      </c>
      <c r="I66">
        <f>I9*-8.6433</f>
        <v>0</v>
      </c>
      <c r="J66">
        <f>J9*72.7902</f>
        <v>0</v>
      </c>
      <c r="K66">
        <f>K9*-54.59265</f>
        <v>0</v>
      </c>
      <c r="L66">
        <f>L9*196.51344999999998</f>
        <v>0</v>
      </c>
      <c r="M66">
        <f>M9*-7.48205</f>
        <v>0</v>
      </c>
      <c r="N66">
        <f>E66+F66+G66+H66+I66+J66+K66+L66</f>
        <v>0</v>
      </c>
      <c r="O66">
        <f>E66+F66+G66+H66+I66+J66+K66+M66</f>
        <v>0</v>
      </c>
    </row>
    <row r="74" spans="3:15"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</row>
    <row r="75" spans="3:15">
      <c r="C75">
        <f>0.0</f>
        <v>0</v>
      </c>
      <c r="D75">
        <f>0.0</f>
        <v>0</v>
      </c>
      <c r="E75">
        <f>E73*-37.354</f>
        <v>0</v>
      </c>
      <c r="F75">
        <f>F73*-227.726</f>
        <v>0</v>
      </c>
      <c r="G75">
        <f>G73*-31.264</f>
        <v>0</v>
      </c>
      <c r="H75">
        <f>H73*0.0</f>
        <v>0</v>
      </c>
      <c r="I75">
        <f>I73*0.027000000000000003</f>
        <v>0</v>
      </c>
      <c r="J75">
        <f>J73*110.354</f>
        <v>0</v>
      </c>
      <c r="K75">
        <f>K73*-82.765</f>
        <v>0</v>
      </c>
      <c r="L75">
        <f>L73*40.544000000000004</f>
        <v>0</v>
      </c>
      <c r="M75">
        <f>M73*-368.69599999999997</f>
        <v>0</v>
      </c>
      <c r="N75">
        <f>E75+F75+G75+H75+I75+J75+K75+L75</f>
        <v>0</v>
      </c>
      <c r="O75">
        <f>E75+F75+G75+H75+I75+J75+K75+M75</f>
        <v>0</v>
      </c>
    </row>
    <row r="76" spans="3:15">
      <c r="C76">
        <f>1.0</f>
        <v>0</v>
      </c>
      <c r="D76">
        <f>1.0</f>
        <v>0</v>
      </c>
      <c r="E76">
        <f>E73*-32.8615</f>
        <v>0</v>
      </c>
      <c r="F76">
        <f>F73*-206.6375</f>
        <v>0</v>
      </c>
      <c r="G76">
        <f>G73*-28.9895</f>
        <v>0</v>
      </c>
      <c r="H76">
        <f>H73*0.0</f>
        <v>0</v>
      </c>
      <c r="I76">
        <f>I73*0.025500000000000002</f>
        <v>0</v>
      </c>
      <c r="J76">
        <f>J73*95.5925</f>
        <v>0</v>
      </c>
      <c r="K76">
        <f>K73*-71.6945</f>
        <v>0</v>
      </c>
      <c r="L76">
        <f>L73*42.876</f>
        <v>0</v>
      </c>
      <c r="M76">
        <f>M73*-352.6325</f>
        <v>0</v>
      </c>
      <c r="N76">
        <f>E76+F76+G76+H76+I76+J76+K76+L76</f>
        <v>0</v>
      </c>
      <c r="O76">
        <f>E76+F76+G76+H76+I76+J76+K76+M76</f>
        <v>0</v>
      </c>
    </row>
    <row r="77" spans="3:15">
      <c r="C77">
        <f>2.0</f>
        <v>0</v>
      </c>
      <c r="D77">
        <f>2.0</f>
        <v>0</v>
      </c>
      <c r="E77">
        <f>E73*-26.435499999999998</f>
        <v>0</v>
      </c>
      <c r="F77">
        <f>F73*-184.58349999999996</f>
        <v>0</v>
      </c>
      <c r="G77">
        <f>G73*-25.890500000000003</f>
        <v>0</v>
      </c>
      <c r="H77">
        <f>H73*0.0</f>
        <v>0</v>
      </c>
      <c r="I77">
        <f>I73*0.0235</f>
        <v>0</v>
      </c>
      <c r="J77">
        <f>J73*76.338</f>
        <v>0</v>
      </c>
      <c r="K77">
        <f>K73*-57.2535</f>
        <v>0</v>
      </c>
      <c r="L77">
        <f>L73*45.697500000000005</f>
        <v>0</v>
      </c>
      <c r="M77">
        <f>M73*-329.404</f>
        <v>0</v>
      </c>
      <c r="N77">
        <f>E77+F77+G77+H77+I77+J77+K77+L77</f>
        <v>0</v>
      </c>
      <c r="O77">
        <f>E77+F77+G77+H77+I77+J77+K77+M77</f>
        <v>0</v>
      </c>
    </row>
    <row r="78" spans="3:15">
      <c r="C78">
        <f>3.0</f>
        <v>0</v>
      </c>
      <c r="D78">
        <f>3.0</f>
        <v>0</v>
      </c>
      <c r="E78">
        <f>E73*-20.368000000000002</f>
        <v>0</v>
      </c>
      <c r="F78">
        <f>F73*-161.6215</f>
        <v>0</v>
      </c>
      <c r="G78">
        <f>G73*-22.637</f>
        <v>0</v>
      </c>
      <c r="H78">
        <f>H73*0.0</f>
        <v>0</v>
      </c>
      <c r="I78">
        <f>I73*0.022000000000000002</f>
        <v>0</v>
      </c>
      <c r="J78">
        <f>J73*67.203</f>
        <v>0</v>
      </c>
      <c r="K78">
        <f>K73*-50.402</f>
        <v>0</v>
      </c>
      <c r="L78">
        <f>L73*54.5875</f>
        <v>0</v>
      </c>
      <c r="M78">
        <f>M73*-305.10749999999996</f>
        <v>0</v>
      </c>
      <c r="N78">
        <f>E78+F78+G78+H78+I78+J78+K78+L78</f>
        <v>0</v>
      </c>
      <c r="O78">
        <f>E78+F78+G78+H78+I78+J78+K78+M78</f>
        <v>0</v>
      </c>
    </row>
    <row r="79" spans="3:15">
      <c r="C79">
        <f>4.0</f>
        <v>0</v>
      </c>
      <c r="D79">
        <f>4.0</f>
        <v>0</v>
      </c>
      <c r="E79">
        <f>E73*-15.382000000000001</f>
        <v>0</v>
      </c>
      <c r="F79">
        <f>F73*-143.0505</f>
        <v>0</v>
      </c>
      <c r="G79">
        <f>G73*-19.978</f>
        <v>0</v>
      </c>
      <c r="H79">
        <f>H73*0.0</f>
        <v>0</v>
      </c>
      <c r="I79">
        <f>I73*0.019000000000000003</f>
        <v>0</v>
      </c>
      <c r="J79">
        <f>J73*68.552</f>
        <v>0</v>
      </c>
      <c r="K79">
        <f>K73*-51.413999999999994</f>
        <v>0</v>
      </c>
      <c r="L79">
        <f>L73*62.0955</f>
        <v>0</v>
      </c>
      <c r="M79">
        <f>M73*-285.3845</f>
        <v>0</v>
      </c>
      <c r="N79">
        <f>E79+F79+G79+H79+I79+J79+K79+L79</f>
        <v>0</v>
      </c>
      <c r="O79">
        <f>E79+F79+G79+H79+I79+J79+K79+M79</f>
        <v>0</v>
      </c>
    </row>
    <row r="80" spans="3:15">
      <c r="C80">
        <f>5.0</f>
        <v>0</v>
      </c>
      <c r="D80">
        <f>5.0</f>
        <v>0</v>
      </c>
      <c r="E80">
        <f>E73*-14.227999999999998</f>
        <v>0</v>
      </c>
      <c r="F80">
        <f>F73*-118.332</f>
        <v>0</v>
      </c>
      <c r="G80">
        <f>G73*-16.7125</f>
        <v>0</v>
      </c>
      <c r="H80">
        <f>H73*0.0</f>
        <v>0</v>
      </c>
      <c r="I80">
        <f>I73*0.017</f>
        <v>0</v>
      </c>
      <c r="J80">
        <f>J73*32.378</f>
        <v>0</v>
      </c>
      <c r="K80">
        <f>K73*-24.283</f>
        <v>0</v>
      </c>
      <c r="L80">
        <f>L73*64.943</f>
        <v>0</v>
      </c>
      <c r="M80">
        <f>M73*-257.14</f>
        <v>0</v>
      </c>
      <c r="N80">
        <f>E80+F80+G80+H80+I80+J80+K80+L80</f>
        <v>0</v>
      </c>
      <c r="O80">
        <f>E80+F80+G80+H80+I80+J80+K80+M80</f>
        <v>0</v>
      </c>
    </row>
    <row r="81" spans="3:15">
      <c r="C81">
        <f>6.0</f>
        <v>0</v>
      </c>
      <c r="D81">
        <f>6.0</f>
        <v>0</v>
      </c>
      <c r="E81">
        <f>E73*-12.853000000000002</f>
        <v>0</v>
      </c>
      <c r="F81">
        <f>F73*-89.32</f>
        <v>0</v>
      </c>
      <c r="G81">
        <f>G73*-12.8155</f>
        <v>0</v>
      </c>
      <c r="H81">
        <f>H73*0.0</f>
        <v>0</v>
      </c>
      <c r="I81">
        <f>I73*0.016</f>
        <v>0</v>
      </c>
      <c r="J81">
        <f>J73*-6.9735</f>
        <v>0</v>
      </c>
      <c r="K81">
        <f>K73*5.23</f>
        <v>0</v>
      </c>
      <c r="L81">
        <f>L73*72.844</f>
        <v>0</v>
      </c>
      <c r="M81">
        <f>M73*-226.8505</f>
        <v>0</v>
      </c>
      <c r="N81">
        <f>E81+F81+G81+H81+I81+J81+K81+L81</f>
        <v>0</v>
      </c>
      <c r="O81">
        <f>E81+F81+G81+H81+I81+J81+K81+M81</f>
        <v>0</v>
      </c>
    </row>
    <row r="82" spans="3:15">
      <c r="C82">
        <f>7.0</f>
        <v>0</v>
      </c>
      <c r="D82">
        <f>7.0</f>
        <v>0</v>
      </c>
      <c r="E82">
        <f>E73*-8.118500000000001</f>
        <v>0</v>
      </c>
      <c r="F82">
        <f>F73*-66.87049999999999</f>
        <v>0</v>
      </c>
      <c r="G82">
        <f>G73*-9.559999999999999</f>
        <v>0</v>
      </c>
      <c r="H82">
        <f>H73*0.0</f>
        <v>0</v>
      </c>
      <c r="I82">
        <f>I73*0.0155</f>
        <v>0</v>
      </c>
      <c r="J82">
        <f>J73*-2.9425000000000003</f>
        <v>0</v>
      </c>
      <c r="K82">
        <f>K73*2.2065</f>
        <v>0</v>
      </c>
      <c r="L82">
        <f>L73*86.869</f>
        <v>0</v>
      </c>
      <c r="M82">
        <f>M73*-206.66700000000003</f>
        <v>0</v>
      </c>
      <c r="N82">
        <f>E82+F82+G82+H82+I82+J82+K82+L82</f>
        <v>0</v>
      </c>
      <c r="O82">
        <f>E82+F82+G82+H82+I82+J82+K82+M82</f>
        <v>0</v>
      </c>
    </row>
    <row r="83" spans="3:15">
      <c r="C83">
        <f>8.0</f>
        <v>0</v>
      </c>
      <c r="D83">
        <f>8.0</f>
        <v>0</v>
      </c>
      <c r="E83">
        <f>E73*-3.2755</f>
        <v>0</v>
      </c>
      <c r="F83">
        <f>F73*-44.249500000000005</f>
        <v>0</v>
      </c>
      <c r="G83">
        <f>G73*-6.2825</f>
        <v>0</v>
      </c>
      <c r="H83">
        <f>H73*0.0</f>
        <v>0</v>
      </c>
      <c r="I83">
        <f>I73*0.014499999999999999</f>
        <v>0</v>
      </c>
      <c r="J83">
        <f>J73*4.1355</f>
        <v>0</v>
      </c>
      <c r="K83">
        <f>K73*-3.1015</f>
        <v>0</v>
      </c>
      <c r="L83">
        <f>L73*101.318</f>
        <v>0</v>
      </c>
      <c r="M83">
        <f>M73*-186.0875</f>
        <v>0</v>
      </c>
      <c r="N83">
        <f>E83+F83+G83+H83+I83+J83+K83+L83</f>
        <v>0</v>
      </c>
      <c r="O83">
        <f>E83+F83+G83+H83+I83+J83+K83+M83</f>
        <v>0</v>
      </c>
    </row>
    <row r="84" spans="3:15">
      <c r="C84">
        <f>9.0</f>
        <v>0</v>
      </c>
      <c r="D84">
        <f>9.0</f>
        <v>0</v>
      </c>
      <c r="E84">
        <f>E73*1.3135000000000001</f>
        <v>0</v>
      </c>
      <c r="F84">
        <f>F73*-21.5435</f>
        <v>0</v>
      </c>
      <c r="G84">
        <f>G73*-2.9699999999999998</f>
        <v>0</v>
      </c>
      <c r="H84">
        <f>H73*0.0</f>
        <v>0</v>
      </c>
      <c r="I84">
        <f>I73*0.0135</f>
        <v>0</v>
      </c>
      <c r="J84">
        <f>J73*10.623999999999999</f>
        <v>0</v>
      </c>
      <c r="K84">
        <f>K73*-7.968</f>
        <v>0</v>
      </c>
      <c r="L84">
        <f>L73*115.8275</f>
        <v>0</v>
      </c>
      <c r="M84">
        <f>M73*-164.969</f>
        <v>0</v>
      </c>
      <c r="N84">
        <f>E84+F84+G84+H84+I84+J84+K84+L84</f>
        <v>0</v>
      </c>
      <c r="O84">
        <f>E84+F84+G84+H84+I84+J84+K84+M84</f>
        <v>0</v>
      </c>
    </row>
    <row r="85" spans="3:15">
      <c r="C85">
        <f>10.0</f>
        <v>0</v>
      </c>
      <c r="D85">
        <f>10.0</f>
        <v>0</v>
      </c>
      <c r="E85">
        <f>E73*0.752</f>
        <v>0</v>
      </c>
      <c r="F85">
        <f>F73*9.1115</f>
        <v>0</v>
      </c>
      <c r="G85">
        <f>G73*1.2920000000000003</f>
        <v>0</v>
      </c>
      <c r="H85">
        <f>H73*0.0</f>
        <v>0</v>
      </c>
      <c r="I85">
        <f>I73*0.0125</f>
        <v>0</v>
      </c>
      <c r="J85">
        <f>J73*-0.6270000000000007</f>
        <v>0</v>
      </c>
      <c r="K85">
        <f>K73*0.47050000000000036</f>
        <v>0</v>
      </c>
      <c r="L85">
        <f>L73*134.9325</f>
        <v>0</v>
      </c>
      <c r="M85">
        <f>M73*-135.233</f>
        <v>0</v>
      </c>
      <c r="N85">
        <f>E85+F85+G85+H85+I85+J85+K85+L85</f>
        <v>0</v>
      </c>
      <c r="O85">
        <f>E85+F85+G85+H85+I85+J85+K85+M85</f>
        <v>0</v>
      </c>
    </row>
    <row r="86" spans="3:15">
      <c r="C86">
        <f>11.0</f>
        <v>0</v>
      </c>
      <c r="D86">
        <f>11.0</f>
        <v>0</v>
      </c>
      <c r="E86">
        <f>E73*0.17300000000000004</f>
        <v>0</v>
      </c>
      <c r="F86">
        <f>F73*39.79899999999999</f>
        <v>0</v>
      </c>
      <c r="G86">
        <f>G73*5.5600000000000005</f>
        <v>0</v>
      </c>
      <c r="H86">
        <f>H73*0.0</f>
        <v>0</v>
      </c>
      <c r="I86">
        <f>I73*0.013000000000000001</f>
        <v>0</v>
      </c>
      <c r="J86">
        <f>J73*-11.631</f>
        <v>0</v>
      </c>
      <c r="K86">
        <f>K73*8.7235</f>
        <v>0</v>
      </c>
      <c r="L86">
        <f>L73*158.26</f>
        <v>0</v>
      </c>
      <c r="M86">
        <f>M73*-109.209</f>
        <v>0</v>
      </c>
      <c r="N86">
        <f>E86+F86+G86+H86+I86+J86+K86+L86</f>
        <v>0</v>
      </c>
      <c r="O86">
        <f>E86+F86+G86+H86+I86+J86+K86+M86</f>
        <v>0</v>
      </c>
    </row>
    <row r="87" spans="3:15">
      <c r="C87">
        <f>12.0</f>
        <v>0</v>
      </c>
      <c r="D87">
        <f>12.0</f>
        <v>0</v>
      </c>
      <c r="E87">
        <f>E73*4.715</f>
        <v>0</v>
      </c>
      <c r="F87">
        <f>F73*62.6285</f>
        <v>0</v>
      </c>
      <c r="G87">
        <f>G73*8.8935</f>
        <v>0</v>
      </c>
      <c r="H87">
        <f>H73*0.0</f>
        <v>0</v>
      </c>
      <c r="I87">
        <f>I73*0.013000000000000001</f>
        <v>0</v>
      </c>
      <c r="J87">
        <f>J73*-4.4915</f>
        <v>0</v>
      </c>
      <c r="K87">
        <f>K73*3.3685</f>
        <v>0</v>
      </c>
      <c r="L87">
        <f>L73*179.16649999999998</f>
        <v>0</v>
      </c>
      <c r="M87">
        <f>M73*-94.6635</f>
        <v>0</v>
      </c>
      <c r="N87">
        <f>E87+F87+G87+H87+I87+J87+K87+L87</f>
        <v>0</v>
      </c>
      <c r="O87">
        <f>E87+F87+G87+H87+I87+J87+K87+M87</f>
        <v>0</v>
      </c>
    </row>
    <row r="88" spans="3:15">
      <c r="C88">
        <f>13.0</f>
        <v>0</v>
      </c>
      <c r="D88">
        <f>13.0</f>
        <v>0</v>
      </c>
      <c r="E88">
        <f>E73*9.468499999999999</f>
        <v>0</v>
      </c>
      <c r="F88">
        <f>F73*85.417</f>
        <v>0</v>
      </c>
      <c r="G88">
        <f>G73*12.2015</f>
        <v>0</v>
      </c>
      <c r="H88">
        <f>H73*0.0</f>
        <v>0</v>
      </c>
      <c r="I88">
        <f>I73*0.013000000000000001</f>
        <v>0</v>
      </c>
      <c r="J88">
        <f>J73*3.8235</f>
        <v>0</v>
      </c>
      <c r="K88">
        <f>K73*-2.8680000000000003</f>
        <v>0</v>
      </c>
      <c r="L88">
        <f>L73*199.819</f>
        <v>0</v>
      </c>
      <c r="M88">
        <f>M73*-80.89949999999999</f>
        <v>0</v>
      </c>
      <c r="N88">
        <f>E88+F88+G88+H88+I88+J88+K88+L88</f>
        <v>0</v>
      </c>
      <c r="O88">
        <f>E88+F88+G88+H88+I88+J88+K88+M88</f>
        <v>0</v>
      </c>
    </row>
    <row r="89" spans="3:15">
      <c r="C89">
        <f>14.0</f>
        <v>0</v>
      </c>
      <c r="D89">
        <f>14.0</f>
        <v>0</v>
      </c>
      <c r="E89">
        <f>E73*14.032</f>
        <v>0</v>
      </c>
      <c r="F89">
        <f>F73*107.9365</f>
        <v>0</v>
      </c>
      <c r="G89">
        <f>G73*15.479</f>
        <v>0</v>
      </c>
      <c r="H89">
        <f>H73*0.0</f>
        <v>0</v>
      </c>
      <c r="I89">
        <f>I73*0.013000000000000001</f>
        <v>0</v>
      </c>
      <c r="J89">
        <f>J73*10.145</f>
        <v>0</v>
      </c>
      <c r="K89">
        <f>K73*-7.609000000000001</f>
        <v>0</v>
      </c>
      <c r="L89">
        <f>L73*220.33800000000002</f>
        <v>0</v>
      </c>
      <c r="M89">
        <f>M73*-67.378</f>
        <v>0</v>
      </c>
      <c r="N89">
        <f>E89+F89+G89+H89+I89+J89+K89+L89</f>
        <v>0</v>
      </c>
      <c r="O89">
        <f>E89+F89+G89+H89+I89+J89+K89+M89</f>
        <v>0</v>
      </c>
    </row>
    <row r="90" spans="3:15">
      <c r="C90">
        <f>15.0</f>
        <v>0</v>
      </c>
      <c r="D90">
        <f>15.0</f>
        <v>0</v>
      </c>
      <c r="E90">
        <f>E73*13.786000000000001</f>
        <v>0</v>
      </c>
      <c r="F90">
        <f>F73*132.61950000000002</f>
        <v>0</v>
      </c>
      <c r="G90">
        <f>G73*18.847</f>
        <v>0</v>
      </c>
      <c r="H90">
        <f>H73*0.0</f>
        <v>0</v>
      </c>
      <c r="I90">
        <f>I73*0.013</f>
        <v>0</v>
      </c>
      <c r="J90">
        <f>J73*-10.165499999999998</f>
        <v>0</v>
      </c>
      <c r="K90">
        <f>K73*7.624000000000001</f>
        <v>0</v>
      </c>
      <c r="L90">
        <f>L73*249.084</f>
        <v>0</v>
      </c>
      <c r="M90">
        <f>M73*-58.564</f>
        <v>0</v>
      </c>
      <c r="N90">
        <f>E90+F90+G90+H90+I90+J90+K90+L90</f>
        <v>0</v>
      </c>
      <c r="O90">
        <f>E90+F90+G90+H90+I90+J90+K90+M90</f>
        <v>0</v>
      </c>
    </row>
    <row r="91" spans="3:15">
      <c r="C91">
        <f>15.91</f>
        <v>0</v>
      </c>
      <c r="D91">
        <f>15.91</f>
        <v>0</v>
      </c>
      <c r="E91">
        <f>E73*12.895</f>
        <v>0</v>
      </c>
      <c r="F91">
        <f>F73*151.731</f>
        <v>0</v>
      </c>
      <c r="G91">
        <f>G73*21.474</f>
        <v>0</v>
      </c>
      <c r="H91">
        <f>H73*0.0</f>
        <v>0</v>
      </c>
      <c r="I91">
        <f>I73*0.013999999999999999</f>
        <v>0</v>
      </c>
      <c r="J91">
        <f>J73*-26.3885</f>
        <v>0</v>
      </c>
      <c r="K91">
        <f>K73*19.7915</f>
        <v>0</v>
      </c>
      <c r="L91">
        <f>L73*274.0895</f>
        <v>0</v>
      </c>
      <c r="M91">
        <f>M73*-52.7255</f>
        <v>0</v>
      </c>
      <c r="N91">
        <f>E91+F91+G91+H91+I91+J91+K91+L91</f>
        <v>0</v>
      </c>
      <c r="O91">
        <f>E91+F91+G91+H91+I91+J91+K91+M91</f>
        <v>0</v>
      </c>
    </row>
    <row r="92" spans="3:15">
      <c r="C92">
        <f>16.82</f>
        <v>0</v>
      </c>
      <c r="D92">
        <f>16.82</f>
        <v>0</v>
      </c>
      <c r="E92">
        <f>E73*16.753500000000003</f>
        <v>0</v>
      </c>
      <c r="F92">
        <f>F73*167.894</f>
        <v>0</v>
      </c>
      <c r="G92">
        <f>G73*23.838</f>
        <v>0</v>
      </c>
      <c r="H92">
        <f>H73*0.0</f>
        <v>0</v>
      </c>
      <c r="I92">
        <f>I73*0.014499999999999999</f>
        <v>0</v>
      </c>
      <c r="J92">
        <f>J73*-17.918</f>
        <v>0</v>
      </c>
      <c r="K92">
        <f>K73*13.438500000000001</f>
        <v>0</v>
      </c>
      <c r="L92">
        <f>L73*291.41999999999996</f>
        <v>0</v>
      </c>
      <c r="M92">
        <f>M73*-41.412</f>
        <v>0</v>
      </c>
      <c r="N92">
        <f>E92+F92+G92+H92+I92+J92+K92+L92</f>
        <v>0</v>
      </c>
      <c r="O92">
        <f>E92+F92+G92+H92+I92+J92+K92+M92</f>
        <v>0</v>
      </c>
    </row>
    <row r="93" spans="3:15">
      <c r="C93">
        <f>17.73</f>
        <v>0</v>
      </c>
      <c r="D93">
        <f>17.73</f>
        <v>0</v>
      </c>
      <c r="E93">
        <f>E73*21.315</f>
        <v>0</v>
      </c>
      <c r="F93">
        <f>F73*187.03700000000003</f>
        <v>0</v>
      </c>
      <c r="G93">
        <f>G73*26.619999999999997</f>
        <v>0</v>
      </c>
      <c r="H93">
        <f>H73*0.0</f>
        <v>0</v>
      </c>
      <c r="I93">
        <f>I73*0.0135</f>
        <v>0</v>
      </c>
      <c r="J93">
        <f>J73*-15.923000000000002</f>
        <v>0</v>
      </c>
      <c r="K93">
        <f>K73*11.942</f>
        <v>0</v>
      </c>
      <c r="L93">
        <f>L73*314.12350000000004</f>
        <v>0</v>
      </c>
      <c r="M93">
        <f>M73*-29.8245</f>
        <v>0</v>
      </c>
      <c r="N93">
        <f>E93+F93+G93+H93+I93+J93+K93+L93</f>
        <v>0</v>
      </c>
      <c r="O93">
        <f>E93+F93+G93+H93+I93+J93+K93+M93</f>
        <v>0</v>
      </c>
    </row>
    <row r="94" spans="3:15">
      <c r="C94">
        <f>18.64</f>
        <v>0</v>
      </c>
      <c r="D94">
        <f>18.64</f>
        <v>0</v>
      </c>
      <c r="E94">
        <f>E73*25.986</f>
        <v>0</v>
      </c>
      <c r="F94">
        <f>F73*205.1925</f>
        <v>0</v>
      </c>
      <c r="G94">
        <f>G73*29.2575</f>
        <v>0</v>
      </c>
      <c r="H94">
        <f>H73*0.0</f>
        <v>0</v>
      </c>
      <c r="I94">
        <f>I73*0.011</f>
        <v>0</v>
      </c>
      <c r="J94">
        <f>J73*-19.951</f>
        <v>0</v>
      </c>
      <c r="K94">
        <f>K73*14.9635</f>
        <v>0</v>
      </c>
      <c r="L94">
        <f>L73*337.5405</f>
        <v>0</v>
      </c>
      <c r="M94">
        <f>M73*-22.919</f>
        <v>0</v>
      </c>
      <c r="N94">
        <f>E94+F94+G94+H94+I94+J94+K94+L94</f>
        <v>0</v>
      </c>
      <c r="O94">
        <f>E94+F94+G94+H94+I94+J94+K94+M94</f>
        <v>0</v>
      </c>
    </row>
    <row r="95" spans="3:15">
      <c r="C95">
        <f>19.55</f>
        <v>0</v>
      </c>
      <c r="D95">
        <f>19.55</f>
        <v>0</v>
      </c>
      <c r="E95">
        <f>E73*13.637</f>
        <v>0</v>
      </c>
      <c r="F95">
        <f>F73*110.785</f>
        <v>0</v>
      </c>
      <c r="G95">
        <f>G73*15.84</f>
        <v>0</v>
      </c>
      <c r="H95">
        <f>H73*0.0</f>
        <v>0</v>
      </c>
      <c r="I95">
        <f>I73*-0.004582000000000001</f>
        <v>0</v>
      </c>
      <c r="J95">
        <f>J73*6.458500000000003</f>
        <v>0</v>
      </c>
      <c r="K95">
        <f>K73*-4.844499999999998</f>
        <v>0</v>
      </c>
      <c r="L95">
        <f>L73*198.0165</f>
        <v>0</v>
      </c>
      <c r="M95">
        <f>M73*-81.877</f>
        <v>0</v>
      </c>
      <c r="N95">
        <f>E95+F95+G95+H95+I95+J95+K95+L95</f>
        <v>0</v>
      </c>
      <c r="O95">
        <f>E95+F95+G95+H95+I95+J95+K95+M95</f>
        <v>0</v>
      </c>
    </row>
    <row r="96" spans="3:15">
      <c r="C96">
        <f>20.0</f>
        <v>0</v>
      </c>
      <c r="D96">
        <f>20.0</f>
        <v>0</v>
      </c>
      <c r="E96">
        <f>E73*-2.08</f>
        <v>0</v>
      </c>
      <c r="F96">
        <f>F73*9.7</f>
        <v>0</v>
      </c>
      <c r="G96">
        <f>G73*0.774</f>
        <v>0</v>
      </c>
      <c r="H96">
        <f>H73*0.0</f>
        <v>0</v>
      </c>
      <c r="I96">
        <f>I73*-0.018000000000000002</f>
        <v>0</v>
      </c>
      <c r="J96">
        <f>J73*44.67100000000001</f>
        <v>0</v>
      </c>
      <c r="K96">
        <f>K73*-33.504</f>
        <v>0</v>
      </c>
      <c r="L96">
        <f>L73*41.763999999999996</f>
        <v>0</v>
      </c>
      <c r="M96">
        <f>M73*-145.671</f>
        <v>0</v>
      </c>
      <c r="N96">
        <f>E96+F96+G96+H96+I96+J96+K96+L96</f>
        <v>0</v>
      </c>
      <c r="O96">
        <f>E96+F96+G96+H96+I96+J96+K96+M96</f>
        <v>0</v>
      </c>
    </row>
    <row r="97" spans="3:15">
      <c r="C97">
        <f>20.0</f>
        <v>0</v>
      </c>
      <c r="D97">
        <f>0.0</f>
        <v>0</v>
      </c>
      <c r="E97">
        <f>E73*1.893</f>
        <v>0</v>
      </c>
      <c r="F97">
        <f>F73*-9.275</f>
        <v>0</v>
      </c>
      <c r="G97">
        <f>G73*-0.701</f>
        <v>0</v>
      </c>
      <c r="H97">
        <f>H73*0.0</f>
        <v>0</v>
      </c>
      <c r="I97">
        <f>I73*-0.55</f>
        <v>0</v>
      </c>
      <c r="J97">
        <f>J73*-42.135</f>
        <v>0</v>
      </c>
      <c r="K97">
        <f>K73*31.601</f>
        <v>0</v>
      </c>
      <c r="L97">
        <f>L73*32.303000000000004</f>
        <v>0</v>
      </c>
      <c r="M97">
        <f>M73*-45.256</f>
        <v>0</v>
      </c>
      <c r="N97">
        <f>E97+F97+G97+H97+I97+J97+K97+L97</f>
        <v>0</v>
      </c>
      <c r="O97">
        <f>E97+F97+G97+H97+I97+J97+K97+M97</f>
        <v>0</v>
      </c>
    </row>
    <row r="98" spans="3:15">
      <c r="C98">
        <f>20.45</f>
        <v>0</v>
      </c>
      <c r="D98">
        <f>0.45</f>
        <v>0</v>
      </c>
      <c r="E98">
        <f>E73*-13.649</f>
        <v>0</v>
      </c>
      <c r="F98">
        <f>F73*-104.67</f>
        <v>0</v>
      </c>
      <c r="G98">
        <f>G73*-14.944500000000001</f>
        <v>0</v>
      </c>
      <c r="H98">
        <f>H73*0.0</f>
        <v>0</v>
      </c>
      <c r="I98">
        <f>I73*0.17899999999999994</f>
        <v>0</v>
      </c>
      <c r="J98">
        <f>J73*-1.200999999999997</f>
        <v>0</v>
      </c>
      <c r="K98">
        <f>K73*0.9004999999999992</f>
        <v>0</v>
      </c>
      <c r="L98">
        <f>L73*26.746500000000005</f>
        <v>0</v>
      </c>
      <c r="M98">
        <f>M73*-195.65700000000004</f>
        <v>0</v>
      </c>
      <c r="N98">
        <f>E98+F98+G98+H98+I98+J98+K98+L98</f>
        <v>0</v>
      </c>
      <c r="O98">
        <f>E98+F98+G98+H98+I98+J98+K98+M98</f>
        <v>0</v>
      </c>
    </row>
    <row r="99" spans="3:15">
      <c r="C99">
        <f>21.36</f>
        <v>0</v>
      </c>
      <c r="D99">
        <f>1.36</f>
        <v>0</v>
      </c>
      <c r="E99">
        <f>E73*-25.7775</f>
        <v>0</v>
      </c>
      <c r="F99">
        <f>F73*-193.9565</f>
        <v>0</v>
      </c>
      <c r="G99">
        <f>G73*-27.624</f>
        <v>0</v>
      </c>
      <c r="H99">
        <f>H73*0.0</f>
        <v>0</v>
      </c>
      <c r="I99">
        <f>I73*0.9139999999999999</f>
        <v>0</v>
      </c>
      <c r="J99">
        <f>J73*27.046</f>
        <v>0</v>
      </c>
      <c r="K99">
        <f>K73*-20.2845</f>
        <v>0</v>
      </c>
      <c r="L99">
        <f>L73*26.7755</f>
        <v>0</v>
      </c>
      <c r="M99">
        <f>M73*-330.76800000000003</f>
        <v>0</v>
      </c>
      <c r="N99">
        <f>E99+F99+G99+H99+I99+J99+K99+L99</f>
        <v>0</v>
      </c>
      <c r="O99">
        <f>E99+F99+G99+H99+I99+J99+K99+M99</f>
        <v>0</v>
      </c>
    </row>
    <row r="100" spans="3:15">
      <c r="C100">
        <f>22.27</f>
        <v>0</v>
      </c>
      <c r="D100">
        <f>2.27</f>
        <v>0</v>
      </c>
      <c r="E100">
        <f>E73*-21.027500000000003</f>
        <v>0</v>
      </c>
      <c r="F100">
        <f>F73*-176.527</f>
        <v>0</v>
      </c>
      <c r="G100">
        <f>G73*-25.0965</f>
        <v>0</v>
      </c>
      <c r="H100">
        <f>H73*0.0</f>
        <v>0</v>
      </c>
      <c r="I100">
        <f>I73*0.9364999999999999</f>
        <v>0</v>
      </c>
      <c r="J100">
        <f>J73*21.621</f>
        <v>0</v>
      </c>
      <c r="K100">
        <f>K73*-16.216</f>
        <v>0</v>
      </c>
      <c r="L100">
        <f>L73*34.485</f>
        <v>0</v>
      </c>
      <c r="M100">
        <f>M73*-309.3375</f>
        <v>0</v>
      </c>
      <c r="N100">
        <f>E100+F100+G100+H100+I100+J100+K100+L100</f>
        <v>0</v>
      </c>
      <c r="O100">
        <f>E100+F100+G100+H100+I100+J100+K100+M100</f>
        <v>0</v>
      </c>
    </row>
    <row r="101" spans="3:15">
      <c r="C101">
        <f>23.18</f>
        <v>0</v>
      </c>
      <c r="D101">
        <f>3.18</f>
        <v>0</v>
      </c>
      <c r="E101">
        <f>E73*-16.3945</f>
        <v>0</v>
      </c>
      <c r="F101">
        <f>F73*-157.93200000000002</f>
        <v>0</v>
      </c>
      <c r="G101">
        <f>G73*-22.398</f>
        <v>0</v>
      </c>
      <c r="H101">
        <f>H73*0.0</f>
        <v>0</v>
      </c>
      <c r="I101">
        <f>I73*0.9450000000000001</f>
        <v>0</v>
      </c>
      <c r="J101">
        <f>J73*22.393</f>
        <v>0</v>
      </c>
      <c r="K101">
        <f>K73*-16.7945</f>
        <v>0</v>
      </c>
      <c r="L101">
        <f>L73*45.3775</f>
        <v>0</v>
      </c>
      <c r="M101">
        <f>M73*-288.27750000000003</f>
        <v>0</v>
      </c>
      <c r="N101">
        <f>E101+F101+G101+H101+I101+J101+K101+L101</f>
        <v>0</v>
      </c>
      <c r="O101">
        <f>E101+F101+G101+H101+I101+J101+K101+M101</f>
        <v>0</v>
      </c>
    </row>
    <row r="102" spans="3:15">
      <c r="C102">
        <f>24.09</f>
        <v>0</v>
      </c>
      <c r="D102">
        <f>4.09</f>
        <v>0</v>
      </c>
      <c r="E102">
        <f>E73*-12.455</f>
        <v>0</v>
      </c>
      <c r="F102">
        <f>F73*-142.06849999999997</f>
        <v>0</v>
      </c>
      <c r="G102">
        <f>G73*-20.0825</f>
        <v>0</v>
      </c>
      <c r="H102">
        <f>H73*0.0</f>
        <v>0</v>
      </c>
      <c r="I102">
        <f>I73*0.9325</f>
        <v>0</v>
      </c>
      <c r="J102">
        <f>J73*29.7365</f>
        <v>0</v>
      </c>
      <c r="K102">
        <f>K73*-22.3025</f>
        <v>0</v>
      </c>
      <c r="L102">
        <f>L73*56.087</f>
        <v>0</v>
      </c>
      <c r="M102">
        <f>M73*-272.069</f>
        <v>0</v>
      </c>
      <c r="N102">
        <f>E102+F102+G102+H102+I102+J102+K102+L102</f>
        <v>0</v>
      </c>
      <c r="O102">
        <f>E102+F102+G102+H102+I102+J102+K102+M102</f>
        <v>0</v>
      </c>
    </row>
    <row r="103" spans="3:15">
      <c r="C103">
        <f>25.0</f>
        <v>0</v>
      </c>
      <c r="D103">
        <f>5.0</f>
        <v>0</v>
      </c>
      <c r="E103">
        <f>E73*-13.185500000000001</f>
        <v>0</v>
      </c>
      <c r="F103">
        <f>F73*-123.56799999999998</f>
        <v>0</v>
      </c>
      <c r="G103">
        <f>G73*-17.5535</f>
        <v>0</v>
      </c>
      <c r="H103">
        <f>H73*0.0</f>
        <v>0</v>
      </c>
      <c r="I103">
        <f>I73*1.0554999999999999</f>
        <v>0</v>
      </c>
      <c r="J103">
        <f>J73*11.211000000000002</f>
        <v>0</v>
      </c>
      <c r="K103">
        <f>K73*-8.4085</f>
        <v>0</v>
      </c>
      <c r="L103">
        <f>L73*58.702999999999996</f>
        <v>0</v>
      </c>
      <c r="M103">
        <f>M73*-247.583</f>
        <v>0</v>
      </c>
      <c r="N103">
        <f>E103+F103+G103+H103+I103+J103+K103+L103</f>
        <v>0</v>
      </c>
      <c r="O103">
        <f>E103+F103+G103+H103+I103+J103+K103+M103</f>
        <v>0</v>
      </c>
    </row>
    <row r="104" spans="3:15">
      <c r="C104">
        <f>26.0</f>
        <v>0</v>
      </c>
      <c r="D104">
        <f>6.0</f>
        <v>0</v>
      </c>
      <c r="E104">
        <f>E73*-13.291</f>
        <v>0</v>
      </c>
      <c r="F104">
        <f>F73*-99.4555</f>
        <v>0</v>
      </c>
      <c r="G104">
        <f>G73*-14.2785</f>
        <v>0</v>
      </c>
      <c r="H104">
        <f>H73*0.0</f>
        <v>0</v>
      </c>
      <c r="I104">
        <f>I73*1.2335</f>
        <v>0</v>
      </c>
      <c r="J104">
        <f>J73*-11.2165</f>
        <v>0</v>
      </c>
      <c r="K104">
        <f>K73*8.4125</f>
        <v>0</v>
      </c>
      <c r="L104">
        <f>L73*64.715</f>
        <v>0</v>
      </c>
      <c r="M104">
        <f>M73*-218.82350000000002</f>
        <v>0</v>
      </c>
      <c r="N104">
        <f>E104+F104+G104+H104+I104+J104+K104+L104</f>
        <v>0</v>
      </c>
      <c r="O104">
        <f>E104+F104+G104+H104+I104+J104+K104+M104</f>
        <v>0</v>
      </c>
    </row>
    <row r="105" spans="3:15">
      <c r="C105">
        <f>27.0</f>
        <v>0</v>
      </c>
      <c r="D105">
        <f>7.0</f>
        <v>0</v>
      </c>
      <c r="E105">
        <f>E73*-8.679</f>
        <v>0</v>
      </c>
      <c r="F105">
        <f>F73*-76.954</f>
        <v>0</v>
      </c>
      <c r="G105">
        <f>G73*-11.006999999999998</f>
        <v>0</v>
      </c>
      <c r="H105">
        <f>H73*0.0</f>
        <v>0</v>
      </c>
      <c r="I105">
        <f>I73*1.3054999999999999</f>
        <v>0</v>
      </c>
      <c r="J105">
        <f>J73*-5.5865</f>
        <v>0</v>
      </c>
      <c r="K105">
        <f>K73*4.1899999999999995</f>
        <v>0</v>
      </c>
      <c r="L105">
        <f>L73*78.727</f>
        <v>0</v>
      </c>
      <c r="M105">
        <f>M73*-198.2425</f>
        <v>0</v>
      </c>
      <c r="N105">
        <f>E105+F105+G105+H105+I105+J105+K105+L105</f>
        <v>0</v>
      </c>
      <c r="O105">
        <f>E105+F105+G105+H105+I105+J105+K105+M105</f>
        <v>0</v>
      </c>
    </row>
    <row r="106" spans="3:15">
      <c r="C106">
        <f>28.0</f>
        <v>0</v>
      </c>
      <c r="D106">
        <f>8.0</f>
        <v>0</v>
      </c>
      <c r="E106">
        <f>E73*-3.8859999999999992</f>
        <v>0</v>
      </c>
      <c r="F106">
        <f>F73*-54.0935</f>
        <v>0</v>
      </c>
      <c r="G106">
        <f>G73*-7.692500000000001</f>
        <v>0</v>
      </c>
      <c r="H106">
        <f>H73*0.0</f>
        <v>0</v>
      </c>
      <c r="I106">
        <f>I73*1.371</f>
        <v>0</v>
      </c>
      <c r="J106">
        <f>J73*2.1694999999999998</f>
        <v>0</v>
      </c>
      <c r="K106">
        <f>K73*-1.6268240000000003</f>
        <v>0</v>
      </c>
      <c r="L106">
        <f>L73*92.989</f>
        <v>0</v>
      </c>
      <c r="M106">
        <f>M73*-178.00150000000002</f>
        <v>0</v>
      </c>
      <c r="N106">
        <f>E106+F106+G106+H106+I106+J106+K106+L106</f>
        <v>0</v>
      </c>
      <c r="O106">
        <f>E106+F106+G106+H106+I106+J106+K106+M106</f>
        <v>0</v>
      </c>
    </row>
    <row r="107" spans="3:15">
      <c r="C107">
        <f>29.0</f>
        <v>0</v>
      </c>
      <c r="D107">
        <f>9.0</f>
        <v>0</v>
      </c>
      <c r="E107">
        <f>E73*0.684</f>
        <v>0</v>
      </c>
      <c r="F107">
        <f>F73*-31.11</f>
        <v>0</v>
      </c>
      <c r="G107">
        <f>G73*-4.3405</f>
        <v>0</v>
      </c>
      <c r="H107">
        <f>H73*0.0</f>
        <v>0</v>
      </c>
      <c r="I107">
        <f>I73*1.427</f>
        <v>0</v>
      </c>
      <c r="J107">
        <f>J73*8.937999999999999</f>
        <v>0</v>
      </c>
      <c r="K107">
        <f>K73*-6.7035</f>
        <v>0</v>
      </c>
      <c r="L107">
        <f>L73*107.3565</f>
        <v>0</v>
      </c>
      <c r="M107">
        <f>M73*-157.6825</f>
        <v>0</v>
      </c>
      <c r="N107">
        <f>E107+F107+G107+H107+I107+J107+K107+L107</f>
        <v>0</v>
      </c>
      <c r="O107">
        <f>E107+F107+G107+H107+I107+J107+K107+M107</f>
        <v>0</v>
      </c>
    </row>
    <row r="108" spans="3:15">
      <c r="C108">
        <f>30.0</f>
        <v>0</v>
      </c>
      <c r="D108">
        <f>10.0</f>
        <v>0</v>
      </c>
      <c r="E108">
        <f>E73*-0.09349999999999992</f>
        <v>0</v>
      </c>
      <c r="F108">
        <f>F73*-0.28049999999999997</f>
        <v>0</v>
      </c>
      <c r="G108">
        <f>G73*-0.03749999999999998</f>
        <v>0</v>
      </c>
      <c r="H108">
        <f>H73*0.0</f>
        <v>0</v>
      </c>
      <c r="I108">
        <f>I73*1.3245</f>
        <v>0</v>
      </c>
      <c r="J108">
        <f>J73*0.6019999999999994</f>
        <v>0</v>
      </c>
      <c r="K108">
        <f>K73*-0.45150000000000023</f>
        <v>0</v>
      </c>
      <c r="L108">
        <f>L73*129.77949999999998</f>
        <v>0</v>
      </c>
      <c r="M108">
        <f>M73*-130.8465</f>
        <v>0</v>
      </c>
      <c r="N108">
        <f>E108+F108+G108+H108+I108+J108+K108+L108</f>
        <v>0</v>
      </c>
      <c r="O108">
        <f>E108+F108+G108+H108+I108+J108+K108+M108</f>
        <v>0</v>
      </c>
    </row>
    <row r="109" spans="3:15">
      <c r="C109">
        <f>31.0</f>
        <v>0</v>
      </c>
      <c r="D109">
        <f>11.0</f>
        <v>0</v>
      </c>
      <c r="E109">
        <f>E73*-0.8739999999999999</f>
        <v>0</v>
      </c>
      <c r="F109">
        <f>F73*30.5685</f>
        <v>0</v>
      </c>
      <c r="G109">
        <f>G73*4.2685</f>
        <v>0</v>
      </c>
      <c r="H109">
        <f>H73*0.0</f>
        <v>0</v>
      </c>
      <c r="I109">
        <f>I73*1.2385</f>
        <v>0</v>
      </c>
      <c r="J109">
        <f>J73*-7.6875</f>
        <v>0</v>
      </c>
      <c r="K109">
        <f>K73*5.766</f>
        <v>0</v>
      </c>
      <c r="L109">
        <f>L73*155.677</f>
        <v>0</v>
      </c>
      <c r="M109">
        <f>M73*-107.555</f>
        <v>0</v>
      </c>
      <c r="N109">
        <f>E109+F109+G109+H109+I109+J109+K109+L109</f>
        <v>0</v>
      </c>
      <c r="O109">
        <f>E109+F109+G109+H109+I109+J109+K109+M109</f>
        <v>0</v>
      </c>
    </row>
    <row r="110" spans="3:15">
      <c r="C110">
        <f>32.0</f>
        <v>0</v>
      </c>
      <c r="D110">
        <f>12.0</f>
        <v>0</v>
      </c>
      <c r="E110">
        <f>E73*3.6864999999999997</f>
        <v>0</v>
      </c>
      <c r="F110">
        <f>F73*53.596500000000006</f>
        <v>0</v>
      </c>
      <c r="G110">
        <f>G73*7.6274999999999995</f>
        <v>0</v>
      </c>
      <c r="H110">
        <f>H73*0.0</f>
        <v>0</v>
      </c>
      <c r="I110">
        <f>I73*1.303</f>
        <v>0</v>
      </c>
      <c r="J110">
        <f>J73*-0.7885000000000002</f>
        <v>0</v>
      </c>
      <c r="K110">
        <f>K73*0.5910000000000001</f>
        <v>0</v>
      </c>
      <c r="L110">
        <f>L73*176.408</f>
        <v>0</v>
      </c>
      <c r="M110">
        <f>M73*-93.127</f>
        <v>0</v>
      </c>
      <c r="N110">
        <f>E110+F110+G110+H110+I110+J110+K110+L110</f>
        <v>0</v>
      </c>
      <c r="O110">
        <f>E110+F110+G110+H110+I110+J110+K110+M110</f>
        <v>0</v>
      </c>
    </row>
    <row r="111" spans="3:15">
      <c r="C111">
        <f>33.0</f>
        <v>0</v>
      </c>
      <c r="D111">
        <f>13.0</f>
        <v>0</v>
      </c>
      <c r="E111">
        <f>E73*8.4635</f>
        <v>0</v>
      </c>
      <c r="F111">
        <f>F73*76.5495</f>
        <v>0</v>
      </c>
      <c r="G111">
        <f>G73*10.956</f>
        <v>0</v>
      </c>
      <c r="H111">
        <f>H73*0.0</f>
        <v>0</v>
      </c>
      <c r="I111">
        <f>I73*1.3155000000000001</f>
        <v>0</v>
      </c>
      <c r="J111">
        <f>J73*7.1985</f>
        <v>0</v>
      </c>
      <c r="K111">
        <f>K73*-5.3985</f>
        <v>0</v>
      </c>
      <c r="L111">
        <f>L73*197.3495</f>
        <v>0</v>
      </c>
      <c r="M111">
        <f>M73*-78.8205</f>
        <v>0</v>
      </c>
      <c r="N111">
        <f>E111+F111+G111+H111+I111+J111+K111+L111</f>
        <v>0</v>
      </c>
      <c r="O111">
        <f>E111+F111+G111+H111+I111+J111+K111+M111</f>
        <v>0</v>
      </c>
    </row>
    <row r="112" spans="3:15">
      <c r="C112">
        <f>34.0</f>
        <v>0</v>
      </c>
      <c r="D112">
        <f>14.0</f>
        <v>0</v>
      </c>
      <c r="E112">
        <f>E73*13.0545</f>
        <v>0</v>
      </c>
      <c r="F112">
        <f>F73*99.24449999999999</f>
        <v>0</v>
      </c>
      <c r="G112">
        <f>G73*14.256499999999999</f>
        <v>0</v>
      </c>
      <c r="H112">
        <f>H73*0.0</f>
        <v>0</v>
      </c>
      <c r="I112">
        <f>I73*1.2175</f>
        <v>0</v>
      </c>
      <c r="J112">
        <f>J73*13.2025</f>
        <v>0</v>
      </c>
      <c r="K112">
        <f>K73*-9.901499999999999</f>
        <v>0</v>
      </c>
      <c r="L112">
        <f>L73*217.999</f>
        <v>0</v>
      </c>
      <c r="M112">
        <f>M73*-64.894</f>
        <v>0</v>
      </c>
      <c r="N112">
        <f>E112+F112+G112+H112+I112+J112+K112+L112</f>
        <v>0</v>
      </c>
      <c r="O112">
        <f>E112+F112+G112+H112+I112+J112+K112+M112</f>
        <v>0</v>
      </c>
    </row>
    <row r="113" spans="3:15">
      <c r="C113">
        <f>35.0</f>
        <v>0</v>
      </c>
      <c r="D113">
        <f>15.0</f>
        <v>0</v>
      </c>
      <c r="E113">
        <f>E73*12.942499999999999</f>
        <v>0</v>
      </c>
      <c r="F113">
        <f>F73*125.485</f>
        <v>0</v>
      </c>
      <c r="G113">
        <f>G73*17.844499999999996</f>
        <v>0</v>
      </c>
      <c r="H113">
        <f>H73*0.0</f>
        <v>0</v>
      </c>
      <c r="I113">
        <f>I73*-0.6315</f>
        <v>0</v>
      </c>
      <c r="J113">
        <f>J73*-7.214999999999999</f>
        <v>0</v>
      </c>
      <c r="K113">
        <f>K73*5.4110000000000005</f>
        <v>0</v>
      </c>
      <c r="L113">
        <f>L73*247.621</f>
        <v>0</v>
      </c>
      <c r="M113">
        <f>M73*-58.212500000000006</f>
        <v>0</v>
      </c>
      <c r="N113">
        <f>E113+F113+G113+H113+I113+J113+K113+L113</f>
        <v>0</v>
      </c>
      <c r="O113">
        <f>E113+F113+G113+H113+I113+J113+K113+M113</f>
        <v>0</v>
      </c>
    </row>
    <row r="114" spans="3:15">
      <c r="C114">
        <f>35.91</f>
        <v>0</v>
      </c>
      <c r="D114">
        <f>15.91</f>
        <v>0</v>
      </c>
      <c r="E114">
        <f>E73*12.198</f>
        <v>0</v>
      </c>
      <c r="F114">
        <f>F73*146.27499999999998</f>
        <v>0</v>
      </c>
      <c r="G114">
        <f>G73*20.7095</f>
        <v>0</v>
      </c>
      <c r="H114">
        <f>H73*0.0</f>
        <v>0</v>
      </c>
      <c r="I114">
        <f>I73*-2.4515000000000002</f>
        <v>0</v>
      </c>
      <c r="J114">
        <f>J73*-23.517</f>
        <v>0</v>
      </c>
      <c r="K114">
        <f>K73*17.637500000000003</f>
        <v>0</v>
      </c>
      <c r="L114">
        <f>L73*273.30100000000004</f>
        <v>0</v>
      </c>
      <c r="M114">
        <f>M73*-54.8935</f>
        <v>0</v>
      </c>
      <c r="N114">
        <f>E114+F114+G114+H114+I114+J114+K114+L114</f>
        <v>0</v>
      </c>
      <c r="O114">
        <f>E114+F114+G114+H114+I114+J114+K114+M114</f>
        <v>0</v>
      </c>
    </row>
    <row r="115" spans="3:15">
      <c r="C115">
        <f>36.82</f>
        <v>0</v>
      </c>
      <c r="D115">
        <f>16.82</f>
        <v>0</v>
      </c>
      <c r="E115">
        <f>E73*16.101</f>
        <v>0</v>
      </c>
      <c r="F115">
        <f>F73*162.805</f>
        <v>0</v>
      </c>
      <c r="G115">
        <f>G73*23.1245</f>
        <v>0</v>
      </c>
      <c r="H115">
        <f>H73*0.0</f>
        <v>0</v>
      </c>
      <c r="I115">
        <f>I73*-2.526</f>
        <v>0</v>
      </c>
      <c r="J115">
        <f>J73*-15.236</f>
        <v>0</v>
      </c>
      <c r="K115">
        <f>K73*11.427</f>
        <v>0</v>
      </c>
      <c r="L115">
        <f>L73*290.2215</f>
        <v>0</v>
      </c>
      <c r="M115">
        <f>M73*-44.08</f>
        <v>0</v>
      </c>
      <c r="N115">
        <f>E115+F115+G115+H115+I115+J115+K115+L115</f>
        <v>0</v>
      </c>
      <c r="O115">
        <f>E115+F115+G115+H115+I115+J115+K115+M115</f>
        <v>0</v>
      </c>
    </row>
    <row r="116" spans="3:15">
      <c r="C116">
        <f>37.73</f>
        <v>0</v>
      </c>
      <c r="D116">
        <f>17.73</f>
        <v>0</v>
      </c>
      <c r="E116">
        <f>E73*20.704</f>
        <v>0</v>
      </c>
      <c r="F116">
        <f>F73*182.325</f>
        <v>0</v>
      </c>
      <c r="G116">
        <f>G73*25.9595</f>
        <v>0</v>
      </c>
      <c r="H116">
        <f>H73*0.0</f>
        <v>0</v>
      </c>
      <c r="I116">
        <f>I73*-2.5205</f>
        <v>0</v>
      </c>
      <c r="J116">
        <f>J73*-13.356</f>
        <v>0</v>
      </c>
      <c r="K116">
        <f>K73*10.017</f>
        <v>0</v>
      </c>
      <c r="L116">
        <f>L73*312.3175</f>
        <v>0</v>
      </c>
      <c r="M116">
        <f>M73*-32.502</f>
        <v>0</v>
      </c>
      <c r="N116">
        <f>E116+F116+G116+H116+I116+J116+K116+L116</f>
        <v>0</v>
      </c>
      <c r="O116">
        <f>E116+F116+G116+H116+I116+J116+K116+M116</f>
        <v>0</v>
      </c>
    </row>
    <row r="117" spans="3:15">
      <c r="C117">
        <f>38.64</f>
        <v>0</v>
      </c>
      <c r="D117">
        <f>18.64</f>
        <v>0</v>
      </c>
      <c r="E117">
        <f>E73*25.4435</f>
        <v>0</v>
      </c>
      <c r="F117">
        <f>F73*201.161</f>
        <v>0</v>
      </c>
      <c r="G117">
        <f>G73*28.6935</f>
        <v>0</v>
      </c>
      <c r="H117">
        <f>H73*0.0</f>
        <v>0</v>
      </c>
      <c r="I117">
        <f>I73*-2.518</f>
        <v>0</v>
      </c>
      <c r="J117">
        <f>J73*-17.426000000000002</f>
        <v>0</v>
      </c>
      <c r="K117">
        <f>K73*13.0695</f>
        <v>0</v>
      </c>
      <c r="L117">
        <f>L73*335.0705</f>
        <v>0</v>
      </c>
      <c r="M117">
        <f>M73*-24.9065</f>
        <v>0</v>
      </c>
      <c r="N117">
        <f>E117+F117+G117+H117+I117+J117+K117+L117</f>
        <v>0</v>
      </c>
      <c r="O117">
        <f>E117+F117+G117+H117+I117+J117+K117+M117</f>
        <v>0</v>
      </c>
    </row>
    <row r="118" spans="3:15">
      <c r="C118">
        <f>39.55</f>
        <v>0</v>
      </c>
      <c r="D118">
        <f>19.55</f>
        <v>0</v>
      </c>
      <c r="E118">
        <f>E73*13.325999999999999</f>
        <v>0</v>
      </c>
      <c r="F118">
        <f>F73*108.2505</f>
        <v>0</v>
      </c>
      <c r="G118">
        <f>G73*15.482</f>
        <v>0</v>
      </c>
      <c r="H118">
        <f>H73*0.0</f>
        <v>0</v>
      </c>
      <c r="I118">
        <f>I73*-0.8425000000000001</f>
        <v>0</v>
      </c>
      <c r="J118">
        <f>J73*7.429499999999997</f>
        <v>0</v>
      </c>
      <c r="K118">
        <f>K73*-5.572000000000001</f>
        <v>0</v>
      </c>
      <c r="L118">
        <f>L73*198.76050000000004</f>
        <v>0</v>
      </c>
      <c r="M118">
        <f>M73*-84.16300000000001</f>
        <v>0</v>
      </c>
      <c r="N118">
        <f>E118+F118+G118+H118+I118+J118+K118+L118</f>
        <v>0</v>
      </c>
      <c r="O118">
        <f>E118+F118+G118+H118+I118+J118+K118+M118</f>
        <v>0</v>
      </c>
    </row>
    <row r="119" spans="3:15">
      <c r="C119">
        <f>40.0</f>
        <v>0</v>
      </c>
      <c r="D119">
        <f>20.0</f>
        <v>0</v>
      </c>
      <c r="E119">
        <f>E73*-2.248</f>
        <v>0</v>
      </c>
      <c r="F119">
        <f>F73*7.702999999999999</f>
        <v>0</v>
      </c>
      <c r="G119">
        <f>G73*0.484</f>
        <v>0</v>
      </c>
      <c r="H119">
        <f>H73*0.0</f>
        <v>0</v>
      </c>
      <c r="I119">
        <f>I73*1.0759999999999998</f>
        <v>0</v>
      </c>
      <c r="J119">
        <f>J73*43.998999999999995</f>
        <v>0</v>
      </c>
      <c r="K119">
        <f>K73*-32.999</f>
        <v>0</v>
      </c>
      <c r="L119">
        <f>L73*46.203</f>
        <v>0</v>
      </c>
      <c r="M119">
        <f>M73*-149.55</f>
        <v>0</v>
      </c>
      <c r="N119">
        <f>E119+F119+G119+H119+I119+J119+K119+L119</f>
        <v>0</v>
      </c>
      <c r="O119">
        <f>E119+F119+G119+H119+I119+J119+K119+M119</f>
        <v>0</v>
      </c>
    </row>
    <row r="120" spans="3:15">
      <c r="C120">
        <f>40.0</f>
        <v>0</v>
      </c>
      <c r="D120">
        <f>0.0</f>
        <v>0</v>
      </c>
      <c r="E120">
        <f>E73*1.7790000000000001</f>
        <v>0</v>
      </c>
      <c r="F120">
        <f>F73*-6.959</f>
        <v>0</v>
      </c>
      <c r="G120">
        <f>G73*-0.34600000000000003</f>
        <v>0</v>
      </c>
      <c r="H120">
        <f>H73*0.0</f>
        <v>0</v>
      </c>
      <c r="I120">
        <f>I73*-8.584</f>
        <v>0</v>
      </c>
      <c r="J120">
        <f>J73*-47.825</f>
        <v>0</v>
      </c>
      <c r="K120">
        <f>K73*35.868</f>
        <v>0</v>
      </c>
      <c r="L120">
        <f>L73*9.396</f>
        <v>0</v>
      </c>
      <c r="M120">
        <f>M73*-19.643</f>
        <v>0</v>
      </c>
      <c r="N120">
        <f>E120+F120+G120+H120+I120+J120+K120+L120</f>
        <v>0</v>
      </c>
      <c r="O120">
        <f>E120+F120+G120+H120+I120+J120+K120+M120</f>
        <v>0</v>
      </c>
    </row>
    <row r="121" spans="3:15">
      <c r="C121">
        <f>40.45</f>
        <v>0</v>
      </c>
      <c r="D121">
        <f>0.45</f>
        <v>0</v>
      </c>
      <c r="E121">
        <f>E73*-8.311</f>
        <v>0</v>
      </c>
      <c r="F121">
        <f>F73*-44.1115</f>
        <v>0</v>
      </c>
      <c r="G121">
        <f>G73*-6.265000000000001</f>
        <v>0</v>
      </c>
      <c r="H121">
        <f>H73*0.0</f>
        <v>0</v>
      </c>
      <c r="I121">
        <f>I73*3.077</f>
        <v>0</v>
      </c>
      <c r="J121">
        <f>J73*-2.547500000000003</f>
        <v>0</v>
      </c>
      <c r="K121">
        <f>K73*1.9100000000000001</f>
        <v>0</v>
      </c>
      <c r="L121">
        <f>L73*14.552</f>
        <v>0</v>
      </c>
      <c r="M121">
        <f>M73*-121.6845</f>
        <v>0</v>
      </c>
      <c r="N121">
        <f>E121+F121+G121+H121+I121+J121+K121+L121</f>
        <v>0</v>
      </c>
      <c r="O121">
        <f>E121+F121+G121+H121+I121+J121+K121+M121</f>
        <v>0</v>
      </c>
    </row>
    <row r="122" spans="3:15">
      <c r="C122">
        <f>41.36</f>
        <v>0</v>
      </c>
      <c r="D122">
        <f>1.36</f>
        <v>0</v>
      </c>
      <c r="E122">
        <f>E73*-15.035</f>
        <v>0</v>
      </c>
      <c r="F122">
        <f>F73*-75.35749999999999</f>
        <v>0</v>
      </c>
      <c r="G122">
        <f>G73*-10.646</f>
        <v>0</v>
      </c>
      <c r="H122">
        <f>H73*0.0</f>
        <v>0</v>
      </c>
      <c r="I122">
        <f>I73*14.876</f>
        <v>0</v>
      </c>
      <c r="J122">
        <f>J73*33.7745</f>
        <v>0</v>
      </c>
      <c r="K122">
        <f>K73*-25.331</f>
        <v>0</v>
      </c>
      <c r="L122">
        <f>L73*26.6725</f>
        <v>0</v>
      </c>
      <c r="M122">
        <f>M73*-202.60200000000003</f>
        <v>0</v>
      </c>
      <c r="N122">
        <f>E122+F122+G122+H122+I122+J122+K122+L122</f>
        <v>0</v>
      </c>
      <c r="O122">
        <f>E122+F122+G122+H122+I122+J122+K122+M122</f>
        <v>0</v>
      </c>
    </row>
    <row r="123" spans="3:15">
      <c r="C123">
        <f>42.27</f>
        <v>0</v>
      </c>
      <c r="D123">
        <f>2.27</f>
        <v>0</v>
      </c>
      <c r="E123">
        <f>E73*-10.6665</f>
        <v>0</v>
      </c>
      <c r="F123">
        <f>F73*-60.236999999999995</f>
        <v>0</v>
      </c>
      <c r="G123">
        <f>G73*-8.442</f>
        <v>0</v>
      </c>
      <c r="H123">
        <f>H73*0.0</f>
        <v>0</v>
      </c>
      <c r="I123">
        <f>I73*16.2735</f>
        <v>0</v>
      </c>
      <c r="J123">
        <f>J73*41.24849999999999</f>
        <v>0</v>
      </c>
      <c r="K123">
        <f>K73*-30.936500000000002</f>
        <v>0</v>
      </c>
      <c r="L123">
        <f>L73*37.583</f>
        <v>0</v>
      </c>
      <c r="M123">
        <f>M73*-178.4495</f>
        <v>0</v>
      </c>
      <c r="N123">
        <f>E123+F123+G123+H123+I123+J123+K123+L123</f>
        <v>0</v>
      </c>
      <c r="O123">
        <f>E123+F123+G123+H123+I123+J123+K123+M123</f>
        <v>0</v>
      </c>
    </row>
    <row r="124" spans="3:15">
      <c r="C124">
        <f>43.18</f>
        <v>0</v>
      </c>
      <c r="D124">
        <f>3.18</f>
        <v>0</v>
      </c>
      <c r="E124">
        <f>E73*-6.3774999999999995</f>
        <v>0</v>
      </c>
      <c r="F124">
        <f>F73*-43.6905</f>
        <v>0</v>
      </c>
      <c r="G124">
        <f>G73*-6.032</f>
        <v>0</v>
      </c>
      <c r="H124">
        <f>H73*0.0</f>
        <v>0</v>
      </c>
      <c r="I124">
        <f>I73*17.217</f>
        <v>0</v>
      </c>
      <c r="J124">
        <f>J73*50.488</f>
        <v>0</v>
      </c>
      <c r="K124">
        <f>K73*-37.8655</f>
        <v>0</v>
      </c>
      <c r="L124">
        <f>L73*52.852500000000006</f>
        <v>0</v>
      </c>
      <c r="M124">
        <f>M73*-157.0595</f>
        <v>0</v>
      </c>
      <c r="N124">
        <f>E124+F124+G124+H124+I124+J124+K124+L124</f>
        <v>0</v>
      </c>
      <c r="O124">
        <f>E124+F124+G124+H124+I124+J124+K124+M124</f>
        <v>0</v>
      </c>
    </row>
    <row r="125" spans="3:15">
      <c r="C125">
        <f>44.09</f>
        <v>0</v>
      </c>
      <c r="D125">
        <f>4.09</f>
        <v>0</v>
      </c>
      <c r="E125">
        <f>E73*-2.168</f>
        <v>0</v>
      </c>
      <c r="F125">
        <f>F73*-25.2435</f>
        <v>0</v>
      </c>
      <c r="G125">
        <f>G73*-3.341</f>
        <v>0</v>
      </c>
      <c r="H125">
        <f>H73*0.0</f>
        <v>0</v>
      </c>
      <c r="I125">
        <f>I73*16.969</f>
        <v>0</v>
      </c>
      <c r="J125">
        <f>J73*51.188</f>
        <v>0</v>
      </c>
      <c r="K125">
        <f>K73*-38.391</f>
        <v>0</v>
      </c>
      <c r="L125">
        <f>L73*71.5025</f>
        <v>0</v>
      </c>
      <c r="M125">
        <f>M73*-132.674</f>
        <v>0</v>
      </c>
      <c r="N125">
        <f>E125+F125+G125+H125+I125+J125+K125+L125</f>
        <v>0</v>
      </c>
      <c r="O125">
        <f>E125+F125+G125+H125+I125+J125+K125+M125</f>
        <v>0</v>
      </c>
    </row>
    <row r="126" spans="3:15">
      <c r="C126">
        <f>45.0</f>
        <v>0</v>
      </c>
      <c r="D126">
        <f>5.0</f>
        <v>0</v>
      </c>
      <c r="E126">
        <f>E73*-1.1955</f>
        <v>0</v>
      </c>
      <c r="F126">
        <f>F73*-3.7285000000000004</f>
        <v>0</v>
      </c>
      <c r="G126">
        <f>G73*-0.4615</f>
        <v>0</v>
      </c>
      <c r="H126">
        <f>H73*0.0</f>
        <v>0</v>
      </c>
      <c r="I126">
        <f>I73*0.5614999999999997</f>
        <v>0</v>
      </c>
      <c r="J126">
        <f>J73*6.989500000000003</f>
        <v>0</v>
      </c>
      <c r="K126">
        <f>K73*-5.241999999999999</f>
        <v>0</v>
      </c>
      <c r="L126">
        <f>L73*93.58850000000001</f>
        <v>0</v>
      </c>
      <c r="M126">
        <f>M73*-103.3985</f>
        <v>0</v>
      </c>
      <c r="N126">
        <f>E126+F126+G126+H126+I126+J126+K126+L126</f>
        <v>0</v>
      </c>
      <c r="O126">
        <f>E126+F126+G126+H126+I126+J126+K126+M126</f>
        <v>0</v>
      </c>
    </row>
    <row r="127" spans="3:15">
      <c r="C127">
        <f>46.0</f>
        <v>0</v>
      </c>
      <c r="D127">
        <f>6.0</f>
        <v>0</v>
      </c>
      <c r="E127">
        <f>E73*0.14200000000000002</f>
        <v>0</v>
      </c>
      <c r="F127">
        <f>F73*20.021</f>
        <v>0</v>
      </c>
      <c r="G127">
        <f>G73*2.6715</f>
        <v>0</v>
      </c>
      <c r="H127">
        <f>H73*0.0</f>
        <v>0</v>
      </c>
      <c r="I127">
        <f>I73*-15.9175</f>
        <v>0</v>
      </c>
      <c r="J127">
        <f>J73*-37.0935</f>
        <v>0</v>
      </c>
      <c r="K127">
        <f>K73*27.82</f>
        <v>0</v>
      </c>
      <c r="L127">
        <f>L73*123.20649999999999</f>
        <v>0</v>
      </c>
      <c r="M127">
        <f>M73*-77.112</f>
        <v>0</v>
      </c>
      <c r="N127">
        <f>E127+F127+G127+H127+I127+J127+K127+L127</f>
        <v>0</v>
      </c>
      <c r="O127">
        <f>E127+F127+G127+H127+I127+J127+K127+M127</f>
        <v>0</v>
      </c>
    </row>
    <row r="128" spans="3:15">
      <c r="C128">
        <f>47.0</f>
        <v>0</v>
      </c>
      <c r="D128">
        <f>7.0</f>
        <v>0</v>
      </c>
      <c r="E128">
        <f>E73*4.9110000000000005</f>
        <v>0</v>
      </c>
      <c r="F128">
        <f>F73*41.286</f>
        <v>0</v>
      </c>
      <c r="G128">
        <f>G73*5.7585</f>
        <v>0</v>
      </c>
      <c r="H128">
        <f>H73*0.0</f>
        <v>0</v>
      </c>
      <c r="I128">
        <f>I73*-16.4095</f>
        <v>0</v>
      </c>
      <c r="J128">
        <f>J73*-36.476</f>
        <v>0</v>
      </c>
      <c r="K128">
        <f>K73*27.356499999999997</f>
        <v>0</v>
      </c>
      <c r="L128">
        <f>L73*151.02949999999998</f>
        <v>0</v>
      </c>
      <c r="M128">
        <f>M73*-55.324</f>
        <v>0</v>
      </c>
      <c r="N128">
        <f>E128+F128+G128+H128+I128+J128+K128+L128</f>
        <v>0</v>
      </c>
      <c r="O128">
        <f>E128+F128+G128+H128+I128+J128+K128+M128</f>
        <v>0</v>
      </c>
    </row>
    <row r="129" spans="3:15">
      <c r="C129">
        <f>48.0</f>
        <v>0</v>
      </c>
      <c r="D129">
        <f>8.0</f>
        <v>0</v>
      </c>
      <c r="E129">
        <f>E73*9.7355</f>
        <v>0</v>
      </c>
      <c r="F129">
        <f>F73*60.662499999999994</f>
        <v>0</v>
      </c>
      <c r="G129">
        <f>G73*8.5535</f>
        <v>0</v>
      </c>
      <c r="H129">
        <f>H73*0.0</f>
        <v>0</v>
      </c>
      <c r="I129">
        <f>I73*-15.921</f>
        <v>0</v>
      </c>
      <c r="J129">
        <f>J73*-24.8655</f>
        <v>0</v>
      </c>
      <c r="K129">
        <f>K73*18.649</f>
        <v>0</v>
      </c>
      <c r="L129">
        <f>L73*175.226</f>
        <v>0</v>
      </c>
      <c r="M129">
        <f>M73*-35.171499999999995</f>
        <v>0</v>
      </c>
      <c r="N129">
        <f>E129+F129+G129+H129+I129+J129+K129+L129</f>
        <v>0</v>
      </c>
      <c r="O129">
        <f>E129+F129+G129+H129+I129+J129+K129+M129</f>
        <v>0</v>
      </c>
    </row>
    <row r="130" spans="3:15">
      <c r="C130">
        <f>49.0</f>
        <v>0</v>
      </c>
      <c r="D130">
        <f>9.0</f>
        <v>0</v>
      </c>
      <c r="E130">
        <f>E73*14.971499999999999</f>
        <v>0</v>
      </c>
      <c r="F130">
        <f>F73*80.52850000000001</f>
        <v>0</v>
      </c>
      <c r="G130">
        <f>G73*11.3965</f>
        <v>0</v>
      </c>
      <c r="H130">
        <f>H73*0.0</f>
        <v>0</v>
      </c>
      <c r="I130">
        <f>I73*-15.288</f>
        <v>0</v>
      </c>
      <c r="J130">
        <f>J73*-21.445</f>
        <v>0</v>
      </c>
      <c r="K130">
        <f>K73*16.084</f>
        <v>0</v>
      </c>
      <c r="L130">
        <f>L73*203.7515</f>
        <v>0</v>
      </c>
      <c r="M130">
        <f>M73*-19.912499999999998</f>
        <v>0</v>
      </c>
      <c r="N130">
        <f>E130+F130+G130+H130+I130+J130+K130+L130</f>
        <v>0</v>
      </c>
      <c r="O130">
        <f>E130+F130+G130+H130+I130+J130+K130+M130</f>
        <v>0</v>
      </c>
    </row>
    <row r="138" spans="3:15"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11</v>
      </c>
      <c r="O138" t="s">
        <v>12</v>
      </c>
    </row>
    <row r="139" spans="3:15">
      <c r="C139">
        <f>0.0</f>
        <v>0</v>
      </c>
      <c r="D139">
        <f>0.0</f>
        <v>0</v>
      </c>
      <c r="E139">
        <f>E137*-0.9678</f>
        <v>0</v>
      </c>
      <c r="F139">
        <f>F137*4.0209</f>
        <v>0</v>
      </c>
      <c r="G139">
        <f>G137*0.6475</f>
        <v>0</v>
      </c>
      <c r="H139">
        <f>H137*0.0</f>
        <v>0</v>
      </c>
      <c r="I139">
        <f>I137*0.0034</f>
        <v>0</v>
      </c>
      <c r="J139">
        <f>J137*-127.5106</f>
        <v>0</v>
      </c>
      <c r="K139">
        <f>K137*95.6329</f>
        <v>0</v>
      </c>
      <c r="L139">
        <f>L137*15.8828</f>
        <v>0</v>
      </c>
      <c r="M139">
        <f>M137*-5.45</f>
        <v>0</v>
      </c>
      <c r="N139">
        <f>E139+F139+G139+H139+I139+J139+K139+L139</f>
        <v>0</v>
      </c>
      <c r="O139">
        <f>E139+F139+G139+H139+I139+J139+K139+M139</f>
        <v>0</v>
      </c>
    </row>
    <row r="140" spans="3:15">
      <c r="C140">
        <f>1.0</f>
        <v>0</v>
      </c>
      <c r="D140">
        <f>1.0</f>
        <v>0</v>
      </c>
      <c r="E140">
        <f>E137*-4.23615</f>
        <v>0</v>
      </c>
      <c r="F140">
        <f>F137*-62.37945</f>
        <v>0</v>
      </c>
      <c r="G140">
        <f>G137*-8.968399999999999</f>
        <v>0</v>
      </c>
      <c r="H140">
        <f>H137*0.0</f>
        <v>0</v>
      </c>
      <c r="I140">
        <f>I137*-0.0018499999999999999</f>
        <v>0</v>
      </c>
      <c r="J140">
        <f>J137*215.02215</f>
        <v>0</v>
      </c>
      <c r="K140">
        <f>K137*-161.26665</f>
        <v>0</v>
      </c>
      <c r="L140">
        <f>L137*4.291399999999999</f>
        <v>0</v>
      </c>
      <c r="M140">
        <f>M137*-90.68655</f>
        <v>0</v>
      </c>
      <c r="N140">
        <f>E140+F140+G140+H140+I140+J140+K140+L140</f>
        <v>0</v>
      </c>
      <c r="O140">
        <f>E140+F140+G140+H140+I140+J140+K140+M140</f>
        <v>0</v>
      </c>
    </row>
    <row r="141" spans="3:15">
      <c r="C141">
        <f>2.0</f>
        <v>0</v>
      </c>
      <c r="D141">
        <f>2.0</f>
        <v>0</v>
      </c>
      <c r="E141">
        <f>E137*-11.22935</f>
        <v>0</v>
      </c>
      <c r="F141">
        <f>F137*-137.6166</f>
        <v>0</v>
      </c>
      <c r="G141">
        <f>G137*-19.8206</f>
        <v>0</v>
      </c>
      <c r="H141">
        <f>H137*0.0</f>
        <v>0</v>
      </c>
      <c r="I141">
        <f>I137*-0.00205</f>
        <v>0</v>
      </c>
      <c r="J141">
        <f>J137*168.53135</f>
        <v>0</v>
      </c>
      <c r="K141">
        <f>K137*-126.3985</f>
        <v>0</v>
      </c>
      <c r="L141">
        <f>L137*4.136</f>
        <v>0</v>
      </c>
      <c r="M141">
        <f>M137*-194.46339999999998</f>
        <v>0</v>
      </c>
      <c r="N141">
        <f>E141+F141+G141+H141+I141+J141+K141+L141</f>
        <v>0</v>
      </c>
      <c r="O141">
        <f>E141+F141+G141+H141+I141+J141+K141+M141</f>
        <v>0</v>
      </c>
    </row>
    <row r="142" spans="3:15">
      <c r="C142">
        <f>3.0</f>
        <v>0</v>
      </c>
      <c r="D142">
        <f>3.0</f>
        <v>0</v>
      </c>
      <c r="E142">
        <f>E137*-17.94725</f>
        <v>0</v>
      </c>
      <c r="F142">
        <f>F137*-205.03985</f>
        <v>0</v>
      </c>
      <c r="G142">
        <f>G137*-29.479300000000002</f>
        <v>0</v>
      </c>
      <c r="H142">
        <f>H137*0.0</f>
        <v>0</v>
      </c>
      <c r="I142">
        <f>I137*0.0004500000000000003</f>
        <v>0</v>
      </c>
      <c r="J142">
        <f>J137*114.63205</f>
        <v>0</v>
      </c>
      <c r="K142">
        <f>K137*-85.974</f>
        <v>0</v>
      </c>
      <c r="L142">
        <f>L137*4.0937</f>
        <v>0</v>
      </c>
      <c r="M142">
        <f>M137*-289.21265</f>
        <v>0</v>
      </c>
      <c r="N142">
        <f>E142+F142+G142+H142+I142+J142+K142+L142</f>
        <v>0</v>
      </c>
      <c r="O142">
        <f>E142+F142+G142+H142+I142+J142+K142+M142</f>
        <v>0</v>
      </c>
    </row>
    <row r="143" spans="3:15">
      <c r="C143">
        <f>4.0</f>
        <v>0</v>
      </c>
      <c r="D143">
        <f>4.0</f>
        <v>0</v>
      </c>
      <c r="E143">
        <f>E137*-25.08695</f>
        <v>0</v>
      </c>
      <c r="F143">
        <f>F137*-262.43775</f>
        <v>0</v>
      </c>
      <c r="G143">
        <f>G137*-37.568</f>
        <v>0</v>
      </c>
      <c r="H143">
        <f>H137*0.0</f>
        <v>0</v>
      </c>
      <c r="I143">
        <f>I137*0.0017499999999999998</f>
        <v>0</v>
      </c>
      <c r="J143">
        <f>J137*57.96975</f>
        <v>0</v>
      </c>
      <c r="K143">
        <f>K137*-43.4773</f>
        <v>0</v>
      </c>
      <c r="L143">
        <f>L137*5.4246</f>
        <v>0</v>
      </c>
      <c r="M143">
        <f>M137*-366.8627</f>
        <v>0</v>
      </c>
      <c r="N143">
        <f>E143+F143+G143+H143+I143+J143+K143+L143</f>
        <v>0</v>
      </c>
      <c r="O143">
        <f>E143+F143+G143+H143+I143+J143+K143+M143</f>
        <v>0</v>
      </c>
    </row>
    <row r="144" spans="3:15">
      <c r="C144">
        <f>5.0</f>
        <v>0</v>
      </c>
      <c r="D144">
        <f>5.0</f>
        <v>0</v>
      </c>
      <c r="E144">
        <f>E137*-40.243700000000004</f>
        <v>0</v>
      </c>
      <c r="F144">
        <f>F137*-303.31565</f>
        <v>0</v>
      </c>
      <c r="G144">
        <f>G137*-42.73025</f>
        <v>0</v>
      </c>
      <c r="H144">
        <f>H137*0.0</f>
        <v>0</v>
      </c>
      <c r="I144">
        <f>I137*0.0045000000000000005</f>
        <v>0</v>
      </c>
      <c r="J144">
        <f>J137*-140.96314999999998</f>
        <v>0</v>
      </c>
      <c r="K144">
        <f>K137*105.7224</f>
        <v>0</v>
      </c>
      <c r="L144">
        <f>L137*6.87435</f>
        <v>0</v>
      </c>
      <c r="M144">
        <f>M137*-408.0322</f>
        <v>0</v>
      </c>
      <c r="N144">
        <f>E144+F144+G144+H144+I144+J144+K144+L144</f>
        <v>0</v>
      </c>
      <c r="O144">
        <f>E144+F144+G144+H144+I144+J144+K144+M144</f>
        <v>0</v>
      </c>
    </row>
    <row r="145" spans="3:15">
      <c r="C145">
        <f>6.0</f>
        <v>0</v>
      </c>
      <c r="D145">
        <f>6.0</f>
        <v>0</v>
      </c>
      <c r="E145">
        <f>E137*-33.423</f>
        <v>0</v>
      </c>
      <c r="F145">
        <f>F137*-348.97</f>
        <v>0</v>
      </c>
      <c r="G145">
        <f>G137*-49.926500000000004</f>
        <v>0</v>
      </c>
      <c r="H145">
        <f>H137*0.0</f>
        <v>0</v>
      </c>
      <c r="I145">
        <f>I137*0.00611775</f>
        <v>0</v>
      </c>
      <c r="J145">
        <f>J137*36.79335</f>
        <v>0</v>
      </c>
      <c r="K145">
        <f>K137*-27.595</f>
        <v>0</v>
      </c>
      <c r="L145">
        <f>L137*8.21685</f>
        <v>0</v>
      </c>
      <c r="M145">
        <f>M137*-485.21934999999996</f>
        <v>0</v>
      </c>
      <c r="N145">
        <f>E145+F145+G145+H145+I145+J145+K145+L145</f>
        <v>0</v>
      </c>
      <c r="O145">
        <f>E145+F145+G145+H145+I145+J145+K145+M145</f>
        <v>0</v>
      </c>
    </row>
    <row r="146" spans="3:15">
      <c r="C146">
        <f>7.0</f>
        <v>0</v>
      </c>
      <c r="D146">
        <f>7.0</f>
        <v>0</v>
      </c>
      <c r="E146">
        <f>E137*-34.368300000000005</f>
        <v>0</v>
      </c>
      <c r="F146">
        <f>F137*-378.83595</f>
        <v>0</v>
      </c>
      <c r="G146">
        <f>G137*-54.33454999999999</f>
        <v>0</v>
      </c>
      <c r="H146">
        <f>H137*0.0</f>
        <v>0</v>
      </c>
      <c r="I146">
        <f>I137*0.0062</f>
        <v>0</v>
      </c>
      <c r="J146">
        <f>J137*56.83025</f>
        <v>0</v>
      </c>
      <c r="K146">
        <f>K137*-42.622699999999995</f>
        <v>0</v>
      </c>
      <c r="L146">
        <f>L137*9.5029</f>
        <v>0</v>
      </c>
      <c r="M146">
        <f>M137*-526.3938499999999</f>
        <v>0</v>
      </c>
      <c r="N146">
        <f>E146+F146+G146+H146+I146+J146+K146+L146</f>
        <v>0</v>
      </c>
      <c r="O146">
        <f>E146+F146+G146+H146+I146+J146+K146+M146</f>
        <v>0</v>
      </c>
    </row>
    <row r="147" spans="3:15">
      <c r="C147">
        <f>8.0</f>
        <v>0</v>
      </c>
      <c r="D147">
        <f>8.0</f>
        <v>0</v>
      </c>
      <c r="E147">
        <f>E137*-36.175700000000006</f>
        <v>0</v>
      </c>
      <c r="F147">
        <f>F137*-399.16319999999996</f>
        <v>0</v>
      </c>
      <c r="G147">
        <f>G137*-57.24365</f>
        <v>0</v>
      </c>
      <c r="H147">
        <f>H137*0.0</f>
        <v>0</v>
      </c>
      <c r="I147">
        <f>I137*0.0071</f>
        <v>0</v>
      </c>
      <c r="J147">
        <f>J137*53.46265</f>
        <v>0</v>
      </c>
      <c r="K147">
        <f>K137*-40.097</f>
        <v>0</v>
      </c>
      <c r="L147">
        <f>L137*10.778500000000001</f>
        <v>0</v>
      </c>
      <c r="M147">
        <f>M137*-553.13965</f>
        <v>0</v>
      </c>
      <c r="N147">
        <f>E147+F147+G147+H147+I147+J147+K147+L147</f>
        <v>0</v>
      </c>
      <c r="O147">
        <f>E147+F147+G147+H147+I147+J147+K147+M147</f>
        <v>0</v>
      </c>
    </row>
    <row r="148" spans="3:15">
      <c r="C148">
        <f>9.0</f>
        <v>0</v>
      </c>
      <c r="D148">
        <f>9.0</f>
        <v>0</v>
      </c>
      <c r="E148">
        <f>E137*-39.1363</f>
        <v>0</v>
      </c>
      <c r="F148">
        <f>F137*-410.07065</f>
        <v>0</v>
      </c>
      <c r="G148">
        <f>G137*-58.65265</f>
        <v>0</v>
      </c>
      <c r="H148">
        <f>H137*0.0</f>
        <v>0</v>
      </c>
      <c r="I148">
        <f>I137*0.00664425</f>
        <v>0</v>
      </c>
      <c r="J148">
        <f>J137*29.441499999999998</f>
        <v>0</v>
      </c>
      <c r="K148">
        <f>K137*-22.08115</f>
        <v>0</v>
      </c>
      <c r="L148">
        <f>L137*12.0318</f>
        <v>0</v>
      </c>
      <c r="M148">
        <f>M137*-564.7459</f>
        <v>0</v>
      </c>
      <c r="N148">
        <f>E148+F148+G148+H148+I148+J148+K148+L148</f>
        <v>0</v>
      </c>
      <c r="O148">
        <f>E148+F148+G148+H148+I148+J148+K148+M148</f>
        <v>0</v>
      </c>
    </row>
    <row r="149" spans="3:15">
      <c r="C149">
        <f>10.0</f>
        <v>0</v>
      </c>
      <c r="D149">
        <f>10.0</f>
        <v>0</v>
      </c>
      <c r="E149">
        <f>E137*-53.11995</f>
        <v>0</v>
      </c>
      <c r="F149">
        <f>F137*-404.44555</f>
        <v>0</v>
      </c>
      <c r="G149">
        <f>G137*-56.944649999999996</f>
        <v>0</v>
      </c>
      <c r="H149">
        <f>H137*0.0</f>
        <v>0</v>
      </c>
      <c r="I149">
        <f>I137*0.0087</f>
        <v>0</v>
      </c>
      <c r="J149">
        <f>J137*-110.8575</f>
        <v>0</v>
      </c>
      <c r="K149">
        <f>K137*83.14314999999999</f>
        <v>0</v>
      </c>
      <c r="L149">
        <f>L137*12.8708</f>
        <v>0</v>
      </c>
      <c r="M149">
        <f>M137*-536.1293499999999</f>
        <v>0</v>
      </c>
      <c r="N149">
        <f>E149+F149+G149+H149+I149+J149+K149+L149</f>
        <v>0</v>
      </c>
      <c r="O149">
        <f>E149+F149+G149+H149+I149+J149+K149+M149</f>
        <v>0</v>
      </c>
    </row>
    <row r="150" spans="3:15">
      <c r="C150">
        <f>11.0</f>
        <v>0</v>
      </c>
      <c r="D150">
        <f>11.0</f>
        <v>0</v>
      </c>
      <c r="E150">
        <f>E137*-38.57315</f>
        <v>0</v>
      </c>
      <c r="F150">
        <f>F137*-405.9439</f>
        <v>0</v>
      </c>
      <c r="G150">
        <f>G137*-58.0715</f>
        <v>0</v>
      </c>
      <c r="H150">
        <f>H137*0.0</f>
        <v>0</v>
      </c>
      <c r="I150">
        <f>I137*0.0087</f>
        <v>0</v>
      </c>
      <c r="J150">
        <f>J137*27.80325</f>
        <v>0</v>
      </c>
      <c r="K150">
        <f>K137*-20.8524</f>
        <v>0</v>
      </c>
      <c r="L150">
        <f>L137*14.92445</f>
        <v>0</v>
      </c>
      <c r="M150">
        <f>M137*-559.42275</f>
        <v>0</v>
      </c>
      <c r="N150">
        <f>E150+F150+G150+H150+I150+J150+K150+L150</f>
        <v>0</v>
      </c>
      <c r="O150">
        <f>E150+F150+G150+H150+I150+J150+K150+M150</f>
        <v>0</v>
      </c>
    </row>
    <row r="151" spans="3:15">
      <c r="C151">
        <f>12.0</f>
        <v>0</v>
      </c>
      <c r="D151">
        <f>12.0</f>
        <v>0</v>
      </c>
      <c r="E151">
        <f>E137*-34.974450000000004</f>
        <v>0</v>
      </c>
      <c r="F151">
        <f>F137*-390.61005</f>
        <v>0</v>
      </c>
      <c r="G151">
        <f>G137*-56.044650000000004</f>
        <v>0</v>
      </c>
      <c r="H151">
        <f>H137*0.0</f>
        <v>0</v>
      </c>
      <c r="I151">
        <f>I137*0.0073</f>
        <v>0</v>
      </c>
      <c r="J151">
        <f>J137*49.3921</f>
        <v>0</v>
      </c>
      <c r="K151">
        <f>K137*-37.04405</f>
        <v>0</v>
      </c>
      <c r="L151">
        <f>L137*16.39665</f>
        <v>0</v>
      </c>
      <c r="M151">
        <f>M137*-542.2802</f>
        <v>0</v>
      </c>
      <c r="N151">
        <f>E151+F151+G151+H151+I151+J151+K151+L151</f>
        <v>0</v>
      </c>
      <c r="O151">
        <f>E151+F151+G151+H151+I151+J151+K151+M151</f>
        <v>0</v>
      </c>
    </row>
    <row r="152" spans="3:15">
      <c r="C152">
        <f>13.0</f>
        <v>0</v>
      </c>
      <c r="D152">
        <f>13.0</f>
        <v>0</v>
      </c>
      <c r="E152">
        <f>E137*-32.564</f>
        <v>0</v>
      </c>
      <c r="F152">
        <f>F137*-365.9285</f>
        <v>0</v>
      </c>
      <c r="G152">
        <f>G137*-52.525999999999996</f>
        <v>0</v>
      </c>
      <c r="H152">
        <f>H137*0.0</f>
        <v>0</v>
      </c>
      <c r="I152">
        <f>I137*0.0072</f>
        <v>0</v>
      </c>
      <c r="J152">
        <f>J137*50.838499999999996</f>
        <v>0</v>
      </c>
      <c r="K152">
        <f>K137*-38.1289</f>
        <v>0</v>
      </c>
      <c r="L152">
        <f>L137*17.7416</f>
        <v>0</v>
      </c>
      <c r="M152">
        <f>M137*-510.1781</f>
        <v>0</v>
      </c>
      <c r="N152">
        <f>E152+F152+G152+H152+I152+J152+K152+L152</f>
        <v>0</v>
      </c>
      <c r="O152">
        <f>E152+F152+G152+H152+I152+J152+K152+M152</f>
        <v>0</v>
      </c>
    </row>
    <row r="153" spans="3:15">
      <c r="C153">
        <f>14.0</f>
        <v>0</v>
      </c>
      <c r="D153">
        <f>14.0</f>
        <v>0</v>
      </c>
      <c r="E153">
        <f>E137*-31.231</f>
        <v>0</v>
      </c>
      <c r="F153">
        <f>F137*-332.37545</f>
        <v>0</v>
      </c>
      <c r="G153">
        <f>G137*-47.589</f>
        <v>0</v>
      </c>
      <c r="H153">
        <f>H137*0.0</f>
        <v>0</v>
      </c>
      <c r="I153">
        <f>I137*0.0053</f>
        <v>0</v>
      </c>
      <c r="J153">
        <f>J137*31.759</f>
        <v>0</v>
      </c>
      <c r="K153">
        <f>K137*-23.8193</f>
        <v>0</v>
      </c>
      <c r="L153">
        <f>L137*18.811799999999998</f>
        <v>0</v>
      </c>
      <c r="M153">
        <f>M137*-463.87964999999997</f>
        <v>0</v>
      </c>
      <c r="N153">
        <f>E153+F153+G153+H153+I153+J153+K153+L153</f>
        <v>0</v>
      </c>
      <c r="O153">
        <f>E153+F153+G153+H153+I153+J153+K153+M153</f>
        <v>0</v>
      </c>
    </row>
    <row r="154" spans="3:15">
      <c r="C154">
        <f>15.0</f>
        <v>0</v>
      </c>
      <c r="D154">
        <f>15.0</f>
        <v>0</v>
      </c>
      <c r="E154">
        <f>E137*-39.88955</f>
        <v>0</v>
      </c>
      <c r="F154">
        <f>F137*-290.51355</f>
        <v>0</v>
      </c>
      <c r="G154">
        <f>G137*-40.759299999999996</f>
        <v>0</v>
      </c>
      <c r="H154">
        <f>H137*0.0</f>
        <v>0</v>
      </c>
      <c r="I154">
        <f>I137*0.006699999999999999</f>
        <v>0</v>
      </c>
      <c r="J154">
        <f>J137*-116.54585</f>
        <v>0</v>
      </c>
      <c r="K154">
        <f>K137*87.4094</f>
        <v>0</v>
      </c>
      <c r="L154">
        <f>L137*16.9362</f>
        <v>0</v>
      </c>
      <c r="M154">
        <f>M137*-384.4728</f>
        <v>0</v>
      </c>
      <c r="N154">
        <f>E154+F154+G154+H154+I154+J154+K154+L154</f>
        <v>0</v>
      </c>
      <c r="O154">
        <f>E154+F154+G154+H154+I154+J154+K154+M154</f>
        <v>0</v>
      </c>
    </row>
    <row r="155" spans="3:15">
      <c r="C155">
        <f>15.91</f>
        <v>0</v>
      </c>
      <c r="D155">
        <f>15.91</f>
        <v>0</v>
      </c>
      <c r="E155">
        <f>E137*-22.60905</f>
        <v>0</v>
      </c>
      <c r="F155">
        <f>F137*-241.94760000000002</f>
        <v>0</v>
      </c>
      <c r="G155">
        <f>G137*-34.68705</f>
        <v>0</v>
      </c>
      <c r="H155">
        <f>H137*0.0</f>
        <v>0</v>
      </c>
      <c r="I155">
        <f>I137*0.0088</f>
        <v>0</v>
      </c>
      <c r="J155">
        <f>J137*40.1062</f>
        <v>0</v>
      </c>
      <c r="K155">
        <f>K137*-30.07965</f>
        <v>0</v>
      </c>
      <c r="L155">
        <f>L137*20.95935</f>
        <v>0</v>
      </c>
      <c r="M155">
        <f>M137*-341.13365</f>
        <v>0</v>
      </c>
      <c r="N155">
        <f>E155+F155+G155+H155+I155+J155+K155+L155</f>
        <v>0</v>
      </c>
      <c r="O155">
        <f>E155+F155+G155+H155+I155+J155+K155+M155</f>
        <v>0</v>
      </c>
    </row>
    <row r="156" spans="3:15">
      <c r="C156">
        <f>16.82</f>
        <v>0</v>
      </c>
      <c r="D156">
        <f>16.82</f>
        <v>0</v>
      </c>
      <c r="E156">
        <f>E137*-14.79785</f>
        <v>0</v>
      </c>
      <c r="F156">
        <f>F137*-185.17775</f>
        <v>0</v>
      </c>
      <c r="G156">
        <f>G137*-26.781950000000002</f>
        <v>0</v>
      </c>
      <c r="H156">
        <f>H137*0.0</f>
        <v>0</v>
      </c>
      <c r="I156">
        <f>I137*0.01075</f>
        <v>0</v>
      </c>
      <c r="J156">
        <f>J137*83.18020000000001</f>
        <v>0</v>
      </c>
      <c r="K156">
        <f>K137*-62.3851</f>
        <v>0</v>
      </c>
      <c r="L156">
        <f>L137*22.9481</f>
        <v>0</v>
      </c>
      <c r="M156">
        <f>M137*-269.04705</f>
        <v>0</v>
      </c>
      <c r="N156">
        <f>E156+F156+G156+H156+I156+J156+K156+L156</f>
        <v>0</v>
      </c>
      <c r="O156">
        <f>E156+F156+G156+H156+I156+J156+K156+M156</f>
        <v>0</v>
      </c>
    </row>
    <row r="157" spans="3:15">
      <c r="C157">
        <f>17.73</f>
        <v>0</v>
      </c>
      <c r="D157">
        <f>17.73</f>
        <v>0</v>
      </c>
      <c r="E157">
        <f>E137*-8.30905</f>
        <v>0</v>
      </c>
      <c r="F157">
        <f>F137*-122.2525</f>
        <v>0</v>
      </c>
      <c r="G157">
        <f>G137*-17.8472</f>
        <v>0</v>
      </c>
      <c r="H157">
        <f>H137*0.0</f>
        <v>0</v>
      </c>
      <c r="I157">
        <f>I137*0.01465</f>
        <v>0</v>
      </c>
      <c r="J157">
        <f>J137*104.9879</f>
        <v>0</v>
      </c>
      <c r="K157">
        <f>K137*-78.74095</f>
        <v>0</v>
      </c>
      <c r="L157">
        <f>L137*22.07395</f>
        <v>0</v>
      </c>
      <c r="M157">
        <f>M137*-184.03635</f>
        <v>0</v>
      </c>
      <c r="N157">
        <f>E157+F157+G157+H157+I157+J157+K157+L157</f>
        <v>0</v>
      </c>
      <c r="O157">
        <f>E157+F157+G157+H157+I157+J157+K157+M157</f>
        <v>0</v>
      </c>
    </row>
    <row r="158" spans="3:15">
      <c r="C158">
        <f>18.64</f>
        <v>0</v>
      </c>
      <c r="D158">
        <f>18.64</f>
        <v>0</v>
      </c>
      <c r="E158">
        <f>E137*-2.89865</f>
        <v>0</v>
      </c>
      <c r="F158">
        <f>F137*-57.9356</f>
        <v>0</v>
      </c>
      <c r="G158">
        <f>G137*-8.5835</f>
        <v>0</v>
      </c>
      <c r="H158">
        <f>H137*0.0</f>
        <v>0</v>
      </c>
      <c r="I158">
        <f>I137*0.01125</f>
        <v>0</v>
      </c>
      <c r="J158">
        <f>J137*101.58735</f>
        <v>0</v>
      </c>
      <c r="K158">
        <f>K137*-76.1905</f>
        <v>0</v>
      </c>
      <c r="L158">
        <f>L137*18.819200000000002</f>
        <v>0</v>
      </c>
      <c r="M158">
        <f>M137*-94.3378</f>
        <v>0</v>
      </c>
      <c r="N158">
        <f>E158+F158+G158+H158+I158+J158+K158+L158</f>
        <v>0</v>
      </c>
      <c r="O158">
        <f>E158+F158+G158+H158+I158+J158+K158+M158</f>
        <v>0</v>
      </c>
    </row>
    <row r="159" spans="3:15">
      <c r="C159">
        <f>19.55</f>
        <v>0</v>
      </c>
      <c r="D159">
        <f>19.55</f>
        <v>0</v>
      </c>
      <c r="E159">
        <f>E137*-4.2874</f>
        <v>0</v>
      </c>
      <c r="F159">
        <f>F137*-21.627499999999998</f>
        <v>0</v>
      </c>
      <c r="G159">
        <f>G137*-2.86695</f>
        <v>0</v>
      </c>
      <c r="H159">
        <f>H137*0.0</f>
        <v>0</v>
      </c>
      <c r="I159">
        <f>I137*-0.0024177</f>
        <v>0</v>
      </c>
      <c r="J159">
        <f>J137*-84.48910000000001</f>
        <v>0</v>
      </c>
      <c r="K159">
        <f>K137*63.36685</f>
        <v>0</v>
      </c>
      <c r="L159">
        <f>L137*12.85885</f>
        <v>0</v>
      </c>
      <c r="M159">
        <f>M137*-31.63915</f>
        <v>0</v>
      </c>
      <c r="N159">
        <f>E159+F159+G159+H159+I159+J159+K159+L159</f>
        <v>0</v>
      </c>
      <c r="O159">
        <f>E159+F159+G159+H159+I159+J159+K159+M159</f>
        <v>0</v>
      </c>
    </row>
    <row r="160" spans="3:15">
      <c r="C160">
        <f>20.0</f>
        <v>0</v>
      </c>
      <c r="D160">
        <f>20.0</f>
        <v>0</v>
      </c>
      <c r="E160">
        <f>E137*-0.4799</f>
        <v>0</v>
      </c>
      <c r="F160">
        <f>F137*-3.8453</f>
        <v>0</v>
      </c>
      <c r="G160">
        <f>G137*-0.5073</f>
        <v>0</v>
      </c>
      <c r="H160">
        <f>H137*0.0</f>
        <v>0</v>
      </c>
      <c r="I160">
        <f>I137*0.0057</f>
        <v>0</v>
      </c>
      <c r="J160">
        <f>J137*-22.9796</f>
        <v>0</v>
      </c>
      <c r="K160">
        <f>K137*17.2347</f>
        <v>0</v>
      </c>
      <c r="L160">
        <f>L137*2.5684</f>
        <v>0</v>
      </c>
      <c r="M160">
        <f>M137*-5.1645</f>
        <v>0</v>
      </c>
      <c r="N160">
        <f>E160+F160+G160+H160+I160+J160+K160+L160</f>
        <v>0</v>
      </c>
      <c r="O160">
        <f>E160+F160+G160+H160+I160+J160+K160+M160</f>
        <v>0</v>
      </c>
    </row>
    <row r="161" spans="3:15">
      <c r="C161">
        <f>20.0</f>
        <v>0</v>
      </c>
      <c r="D161">
        <f>0.0</f>
        <v>0</v>
      </c>
      <c r="E161">
        <f>E137*-0.4559</f>
        <v>0</v>
      </c>
      <c r="F161">
        <f>F137*-4.5403</f>
        <v>0</v>
      </c>
      <c r="G161">
        <f>G137*-0.6084</f>
        <v>0</v>
      </c>
      <c r="H161">
        <f>H137*0.0</f>
        <v>0</v>
      </c>
      <c r="I161">
        <f>I137*-0.1569</f>
        <v>0</v>
      </c>
      <c r="J161">
        <f>J137*-23.6148</f>
        <v>0</v>
      </c>
      <c r="K161">
        <f>K137*17.7111</f>
        <v>0</v>
      </c>
      <c r="L161">
        <f>L137*4.1603</f>
        <v>0</v>
      </c>
      <c r="M161">
        <f>M137*-8.1196</f>
        <v>0</v>
      </c>
      <c r="N161">
        <f>E161+F161+G161+H161+I161+J161+K161+L161</f>
        <v>0</v>
      </c>
      <c r="O161">
        <f>E161+F161+G161+H161+I161+J161+K161+M161</f>
        <v>0</v>
      </c>
    </row>
    <row r="162" spans="3:15">
      <c r="C162">
        <f>20.45</f>
        <v>0</v>
      </c>
      <c r="D162">
        <f>0.45</f>
        <v>0</v>
      </c>
      <c r="E162">
        <f>E137*-4.1751000000000005</f>
        <v>0</v>
      </c>
      <c r="F162">
        <f>F137*-22.6993</f>
        <v>0</v>
      </c>
      <c r="G162">
        <f>G137*-3.02575</f>
        <v>0</v>
      </c>
      <c r="H162">
        <f>H137*0.0</f>
        <v>0</v>
      </c>
      <c r="I162">
        <f>I137*0.00845</f>
        <v>0</v>
      </c>
      <c r="J162">
        <f>J137*-86.18765</f>
        <v>0</v>
      </c>
      <c r="K162">
        <f>K137*64.6407</f>
        <v>0</v>
      </c>
      <c r="L162">
        <f>L137*7.54485</f>
        <v>0</v>
      </c>
      <c r="M162">
        <f>M137*-29.201050000000002</f>
        <v>0</v>
      </c>
      <c r="N162">
        <f>E162+F162+G162+H162+I162+J162+K162+L162</f>
        <v>0</v>
      </c>
      <c r="O162">
        <f>E162+F162+G162+H162+I162+J162+K162+M162</f>
        <v>0</v>
      </c>
    </row>
    <row r="163" spans="3:15">
      <c r="C163">
        <f>21.36</f>
        <v>0</v>
      </c>
      <c r="D163">
        <f>1.36</f>
        <v>0</v>
      </c>
      <c r="E163">
        <f>E137*-2.72485</f>
        <v>0</v>
      </c>
      <c r="F163">
        <f>F137*-56.4938</f>
        <v>0</v>
      </c>
      <c r="G163">
        <f>G137*-8.3751</f>
        <v>0</v>
      </c>
      <c r="H163">
        <f>H137*0.0</f>
        <v>0</v>
      </c>
      <c r="I163">
        <f>I137*-0.33009999999999995</f>
        <v>0</v>
      </c>
      <c r="J163">
        <f>J137*101.55369999999999</f>
        <v>0</v>
      </c>
      <c r="K163">
        <f>K137*-76.16525</f>
        <v>0</v>
      </c>
      <c r="L163">
        <f>L137*10.5196</f>
        <v>0</v>
      </c>
      <c r="M163">
        <f>M137*-92.2518</f>
        <v>0</v>
      </c>
      <c r="N163">
        <f>E163+F163+G163+H163+I163+J163+K163+L163</f>
        <v>0</v>
      </c>
      <c r="O163">
        <f>E163+F163+G163+H163+I163+J163+K163+M163</f>
        <v>0</v>
      </c>
    </row>
    <row r="164" spans="3:15">
      <c r="C164">
        <f>22.27</f>
        <v>0</v>
      </c>
      <c r="D164">
        <f>2.27</f>
        <v>0</v>
      </c>
      <c r="E164">
        <f>E137*-8.07745</f>
        <v>0</v>
      </c>
      <c r="F164">
        <f>F137*-118.50555</f>
        <v>0</v>
      </c>
      <c r="G164">
        <f>G137*-17.29985</f>
        <v>0</v>
      </c>
      <c r="H164">
        <f>H137*0.0</f>
        <v>0</v>
      </c>
      <c r="I164">
        <f>I137*-0.37945</f>
        <v>0</v>
      </c>
      <c r="J164">
        <f>J137*106.7294</f>
        <v>0</v>
      </c>
      <c r="K164">
        <f>K137*-80.04705</f>
        <v>0</v>
      </c>
      <c r="L164">
        <f>L137*9.4287</f>
        <v>0</v>
      </c>
      <c r="M164">
        <f>M137*-179.07375000000002</f>
        <v>0</v>
      </c>
      <c r="N164">
        <f>E164+F164+G164+H164+I164+J164+K164+L164</f>
        <v>0</v>
      </c>
      <c r="O164">
        <f>E164+F164+G164+H164+I164+J164+K164+M164</f>
        <v>0</v>
      </c>
    </row>
    <row r="165" spans="3:15">
      <c r="C165">
        <f>23.18</f>
        <v>0</v>
      </c>
      <c r="D165">
        <f>3.18</f>
        <v>0</v>
      </c>
      <c r="E165">
        <f>E137*-14.4052</f>
        <v>0</v>
      </c>
      <c r="F165">
        <f>F137*-179.54285</f>
        <v>0</v>
      </c>
      <c r="G165">
        <f>G137*-25.9619</f>
        <v>0</v>
      </c>
      <c r="H165">
        <f>H137*0.0</f>
        <v>0</v>
      </c>
      <c r="I165">
        <f>I137*-0.28715</f>
        <v>0</v>
      </c>
      <c r="J165">
        <f>J137*85.23935</f>
        <v>0</v>
      </c>
      <c r="K165">
        <f>K137*-63.92955</f>
        <v>0</v>
      </c>
      <c r="L165">
        <f>L137*6.30245</f>
        <v>0</v>
      </c>
      <c r="M165">
        <f>M137*-262.31335</f>
        <v>0</v>
      </c>
      <c r="N165">
        <f>E165+F165+G165+H165+I165+J165+K165+L165</f>
        <v>0</v>
      </c>
      <c r="O165">
        <f>E165+F165+G165+H165+I165+J165+K165+M165</f>
        <v>0</v>
      </c>
    </row>
    <row r="166" spans="3:15">
      <c r="C166">
        <f>24.09</f>
        <v>0</v>
      </c>
      <c r="D166">
        <f>4.09</f>
        <v>0</v>
      </c>
      <c r="E166">
        <f>E137*-22.0039</f>
        <v>0</v>
      </c>
      <c r="F166">
        <f>F137*-234.6809</f>
        <v>0</v>
      </c>
      <c r="G166">
        <f>G137*-33.634299999999996</f>
        <v>0</v>
      </c>
      <c r="H166">
        <f>H137*0.0</f>
        <v>0</v>
      </c>
      <c r="I166">
        <f>I137*-0.22855000000000003</f>
        <v>0</v>
      </c>
      <c r="J166">
        <f>J137*41.73155</f>
        <v>0</v>
      </c>
      <c r="K166">
        <f>K137*-31.29865</f>
        <v>0</v>
      </c>
      <c r="L166">
        <f>L137*5.11585</f>
        <v>0</v>
      </c>
      <c r="M166">
        <f>M137*-332.79065</f>
        <v>0</v>
      </c>
      <c r="N166">
        <f>E166+F166+G166+H166+I166+J166+K166+L166</f>
        <v>0</v>
      </c>
      <c r="O166">
        <f>E166+F166+G166+H166+I166+J166+K166+M166</f>
        <v>0</v>
      </c>
    </row>
    <row r="167" spans="3:15">
      <c r="C167">
        <f>25.0</f>
        <v>0</v>
      </c>
      <c r="D167">
        <f>5.0</f>
        <v>0</v>
      </c>
      <c r="E167">
        <f>E137*-38.93605</f>
        <v>0</v>
      </c>
      <c r="F167">
        <f>F137*-282.40285</f>
        <v>0</v>
      </c>
      <c r="G167">
        <f>G137*-39.5961</f>
        <v>0</v>
      </c>
      <c r="H167">
        <f>H137*0.0</f>
        <v>0</v>
      </c>
      <c r="I167">
        <f>I137*0.05815000000000001</f>
        <v>0</v>
      </c>
      <c r="J167">
        <f>J137*-117.44695</f>
        <v>0</v>
      </c>
      <c r="K167">
        <f>K137*88.0852</f>
        <v>0</v>
      </c>
      <c r="L167">
        <f>L137*6.0192</f>
        <v>0</v>
      </c>
      <c r="M167">
        <f>M137*-374.66769999999997</f>
        <v>0</v>
      </c>
      <c r="N167">
        <f>E167+F167+G167+H167+I167+J167+K167+L167</f>
        <v>0</v>
      </c>
      <c r="O167">
        <f>E167+F167+G167+H167+I167+J167+K167+M167</f>
        <v>0</v>
      </c>
    </row>
    <row r="168" spans="3:15">
      <c r="C168">
        <f>26.0</f>
        <v>0</v>
      </c>
      <c r="D168">
        <f>6.0</f>
        <v>0</v>
      </c>
      <c r="E168">
        <f>E137*-30.20985</f>
        <v>0</v>
      </c>
      <c r="F168">
        <f>F137*-321.47735</f>
        <v>0</v>
      </c>
      <c r="G168">
        <f>G137*-46.0166</f>
        <v>0</v>
      </c>
      <c r="H168">
        <f>H137*0.0</f>
        <v>0</v>
      </c>
      <c r="I168">
        <f>I137*-0.08345</f>
        <v>0</v>
      </c>
      <c r="J168">
        <f>J137*32.910650000000004</f>
        <v>0</v>
      </c>
      <c r="K168">
        <f>K137*-24.683</f>
        <v>0</v>
      </c>
      <c r="L168">
        <f>L137*7.338900000000001</f>
        <v>0</v>
      </c>
      <c r="M168">
        <f>M137*-450.78009999999995</f>
        <v>0</v>
      </c>
      <c r="N168">
        <f>E168+F168+G168+H168+I168+J168+K168+L168</f>
        <v>0</v>
      </c>
      <c r="O168">
        <f>E168+F168+G168+H168+I168+J168+K168+M168</f>
        <v>0</v>
      </c>
    </row>
    <row r="169" spans="3:15">
      <c r="C169">
        <f>27.0</f>
        <v>0</v>
      </c>
      <c r="D169">
        <f>7.0</f>
        <v>0</v>
      </c>
      <c r="E169">
        <f>E137*-31.31835</f>
        <v>0</v>
      </c>
      <c r="F169">
        <f>F137*-353.12275</f>
        <v>0</v>
      </c>
      <c r="G169">
        <f>G137*-50.68155</f>
        <v>0</v>
      </c>
      <c r="H169">
        <f>H137*0.0</f>
        <v>0</v>
      </c>
      <c r="I169">
        <f>I137*-0.11235000000000003</f>
        <v>0</v>
      </c>
      <c r="J169">
        <f>J137*51.6346</f>
        <v>0</v>
      </c>
      <c r="K169">
        <f>K137*-38.72595</f>
        <v>0</v>
      </c>
      <c r="L169">
        <f>L137*8.5824</f>
        <v>0</v>
      </c>
      <c r="M169">
        <f>M137*-494.15290000000005</f>
        <v>0</v>
      </c>
      <c r="N169">
        <f>E169+F169+G169+H169+I169+J169+K169+L169</f>
        <v>0</v>
      </c>
      <c r="O169">
        <f>E169+F169+G169+H169+I169+J169+K169+M169</f>
        <v>0</v>
      </c>
    </row>
    <row r="170" spans="3:15">
      <c r="C170">
        <f>28.0</f>
        <v>0</v>
      </c>
      <c r="D170">
        <f>8.0</f>
        <v>0</v>
      </c>
      <c r="E170">
        <f>E137*-33.4744</f>
        <v>0</v>
      </c>
      <c r="F170">
        <f>F137*-375.92095</f>
        <v>0</v>
      </c>
      <c r="G170">
        <f>G137*-53.9336</f>
        <v>0</v>
      </c>
      <c r="H170">
        <f>H137*0.0</f>
        <v>0</v>
      </c>
      <c r="I170">
        <f>I137*-0.08054999999999995</f>
        <v>0</v>
      </c>
      <c r="J170">
        <f>J137*49.47955</f>
        <v>0</v>
      </c>
      <c r="K170">
        <f>K137*-37.10965</f>
        <v>0</v>
      </c>
      <c r="L170">
        <f>L137*9.84465</f>
        <v>0</v>
      </c>
      <c r="M170">
        <f>M137*-523.48235</f>
        <v>0</v>
      </c>
      <c r="N170">
        <f>E170+F170+G170+H170+I170+J170+K170+L170</f>
        <v>0</v>
      </c>
      <c r="O170">
        <f>E170+F170+G170+H170+I170+J170+K170+M170</f>
        <v>0</v>
      </c>
    </row>
    <row r="171" spans="3:15">
      <c r="C171">
        <f>29.0</f>
        <v>0</v>
      </c>
      <c r="D171">
        <f>9.0</f>
        <v>0</v>
      </c>
      <c r="E171">
        <f>E137*-36.83225</f>
        <v>0</v>
      </c>
      <c r="F171">
        <f>F137*-389.31765</f>
        <v>0</v>
      </c>
      <c r="G171">
        <f>G137*-55.68455</f>
        <v>0</v>
      </c>
      <c r="H171">
        <f>H137*0.0</f>
        <v>0</v>
      </c>
      <c r="I171">
        <f>I137*-0.13445000000000001</f>
        <v>0</v>
      </c>
      <c r="J171">
        <f>J137*27.4797</f>
        <v>0</v>
      </c>
      <c r="K171">
        <f>K137*-20.60975</f>
        <v>0</v>
      </c>
      <c r="L171">
        <f>L137*11.16695</f>
        <v>0</v>
      </c>
      <c r="M171">
        <f>M137*-537.8426</f>
        <v>0</v>
      </c>
      <c r="N171">
        <f>E171+F171+G171+H171+I171+J171+K171+L171</f>
        <v>0</v>
      </c>
      <c r="O171">
        <f>E171+F171+G171+H171+I171+J171+K171+M171</f>
        <v>0</v>
      </c>
    </row>
    <row r="172" spans="3:15">
      <c r="C172">
        <f>30.0</f>
        <v>0</v>
      </c>
      <c r="D172">
        <f>10.0</f>
        <v>0</v>
      </c>
      <c r="E172">
        <f>E137*-51.54305</f>
        <v>0</v>
      </c>
      <c r="F172">
        <f>F137*-386.07910000000004</f>
        <v>0</v>
      </c>
      <c r="G172">
        <f>G137*-54.276799999999994</f>
        <v>0</v>
      </c>
      <c r="H172">
        <f>H137*0.0</f>
        <v>0</v>
      </c>
      <c r="I172">
        <f>I137*-0.5051</f>
        <v>0</v>
      </c>
      <c r="J172">
        <f>J137*-106.039</f>
        <v>0</v>
      </c>
      <c r="K172">
        <f>K137*79.5293</f>
        <v>0</v>
      </c>
      <c r="L172">
        <f>L137*12.299050000000001</f>
        <v>0</v>
      </c>
      <c r="M172">
        <f>M137*-511.1142</f>
        <v>0</v>
      </c>
      <c r="N172">
        <f>E172+F172+G172+H172+I172+J172+K172+L172</f>
        <v>0</v>
      </c>
      <c r="O172">
        <f>E172+F172+G172+H172+I172+J172+K172+M172</f>
        <v>0</v>
      </c>
    </row>
    <row r="173" spans="3:15">
      <c r="C173">
        <f>31.0</f>
        <v>0</v>
      </c>
      <c r="D173">
        <f>11.0</f>
        <v>0</v>
      </c>
      <c r="E173">
        <f>E137*-36.8211</f>
        <v>0</v>
      </c>
      <c r="F173">
        <f>F137*-389.4687</f>
        <v>0</v>
      </c>
      <c r="G173">
        <f>G137*-55.70715</f>
        <v>0</v>
      </c>
      <c r="H173">
        <f>H137*0.0</f>
        <v>0</v>
      </c>
      <c r="I173">
        <f>I137*0.03650000000000003</f>
        <v>0</v>
      </c>
      <c r="J173">
        <f>J137*27.2369</f>
        <v>0</v>
      </c>
      <c r="K173">
        <f>K137*-20.4277</f>
        <v>0</v>
      </c>
      <c r="L173">
        <f>L137*13.91015</f>
        <v>0</v>
      </c>
      <c r="M173">
        <f>M137*-537.90365</f>
        <v>0</v>
      </c>
      <c r="N173">
        <f>E173+F173+G173+H173+I173+J173+K173+L173</f>
        <v>0</v>
      </c>
      <c r="O173">
        <f>E173+F173+G173+H173+I173+J173+K173+M173</f>
        <v>0</v>
      </c>
    </row>
    <row r="174" spans="3:15">
      <c r="C174">
        <f>32.0</f>
        <v>0</v>
      </c>
      <c r="D174">
        <f>12.0</f>
        <v>0</v>
      </c>
      <c r="E174">
        <f>E137*-33.4565</f>
        <v>0</v>
      </c>
      <c r="F174">
        <f>F137*-376.3411</f>
        <v>0</v>
      </c>
      <c r="G174">
        <f>G137*-53.99595</f>
        <v>0</v>
      </c>
      <c r="H174">
        <f>H137*0.0</f>
        <v>0</v>
      </c>
      <c r="I174">
        <f>I137*0.24739999999999998</f>
        <v>0</v>
      </c>
      <c r="J174">
        <f>J137*48.92745</f>
        <v>0</v>
      </c>
      <c r="K174">
        <f>K137*-36.6956</f>
        <v>0</v>
      </c>
      <c r="L174">
        <f>L137*15.399650000000001</f>
        <v>0</v>
      </c>
      <c r="M174">
        <f>M137*-523.67935</f>
        <v>0</v>
      </c>
      <c r="N174">
        <f>E174+F174+G174+H174+I174+J174+K174+L174</f>
        <v>0</v>
      </c>
      <c r="O174">
        <f>E174+F174+G174+H174+I174+J174+K174+M174</f>
        <v>0</v>
      </c>
    </row>
    <row r="175" spans="3:15">
      <c r="C175">
        <f>33.0</f>
        <v>0</v>
      </c>
      <c r="D175">
        <f>13.0</f>
        <v>0</v>
      </c>
      <c r="E175">
        <f>E137*-31.29745</f>
        <v>0</v>
      </c>
      <c r="F175">
        <f>F137*-353.77855</f>
        <v>0</v>
      </c>
      <c r="G175">
        <f>G137*-50.7786</f>
        <v>0</v>
      </c>
      <c r="H175">
        <f>H137*0.0</f>
        <v>0</v>
      </c>
      <c r="I175">
        <f>I137*0.47985</f>
        <v>0</v>
      </c>
      <c r="J175">
        <f>J137*50.837450000000004</f>
        <v>0</v>
      </c>
      <c r="K175">
        <f>K137*-38.1281</f>
        <v>0</v>
      </c>
      <c r="L175">
        <f>L137*16.85175</f>
        <v>0</v>
      </c>
      <c r="M175">
        <f>M137*-494.44335</f>
        <v>0</v>
      </c>
      <c r="N175">
        <f>E175+F175+G175+H175+I175+J175+K175+L175</f>
        <v>0</v>
      </c>
      <c r="O175">
        <f>E175+F175+G175+H175+I175+J175+K175+M175</f>
        <v>0</v>
      </c>
    </row>
    <row r="176" spans="3:15">
      <c r="C176">
        <f>34.0</f>
        <v>0</v>
      </c>
      <c r="D176">
        <f>14.0</f>
        <v>0</v>
      </c>
      <c r="E176">
        <f>E137*-30.18915</f>
        <v>0</v>
      </c>
      <c r="F176">
        <f>F137*-322.0884</f>
        <v>0</v>
      </c>
      <c r="G176">
        <f>G137*-46.107150000000004</f>
        <v>0</v>
      </c>
      <c r="H176">
        <f>H137*0.0</f>
        <v>0</v>
      </c>
      <c r="I176">
        <f>I137*0.6465000000000001</f>
        <v>0</v>
      </c>
      <c r="J176">
        <f>J137*32.1501</f>
        <v>0</v>
      </c>
      <c r="K176">
        <f>K137*-24.11255</f>
        <v>0</v>
      </c>
      <c r="L176">
        <f>L137*18.0269</f>
        <v>0</v>
      </c>
      <c r="M176">
        <f>M137*-450.9368</f>
        <v>0</v>
      </c>
      <c r="N176">
        <f>E176+F176+G176+H176+I176+J176+K176+L176</f>
        <v>0</v>
      </c>
      <c r="O176">
        <f>E176+F176+G176+H176+I176+J176+K176+M176</f>
        <v>0</v>
      </c>
    </row>
    <row r="177" spans="3:15">
      <c r="C177">
        <f>35.0</f>
        <v>0</v>
      </c>
      <c r="D177">
        <f>15.0</f>
        <v>0</v>
      </c>
      <c r="E177">
        <f>E137*-38.87605</f>
        <v>0</v>
      </c>
      <c r="F177">
        <f>F137*-279.6369</f>
        <v>0</v>
      </c>
      <c r="G177">
        <f>G137*-39.192949999999996</f>
        <v>0</v>
      </c>
      <c r="H177">
        <f>H137*0.0</f>
        <v>0</v>
      </c>
      <c r="I177">
        <f>I137*-2.0227</f>
        <v>0</v>
      </c>
      <c r="J177">
        <f>J137*-115.49080000000001</f>
        <v>0</v>
      </c>
      <c r="K177">
        <f>K137*86.6181</f>
        <v>0</v>
      </c>
      <c r="L177">
        <f>L137*16.85145</f>
        <v>0</v>
      </c>
      <c r="M177">
        <f>M137*-372.78195</f>
        <v>0</v>
      </c>
      <c r="N177">
        <f>E177+F177+G177+H177+I177+J177+K177+L177</f>
        <v>0</v>
      </c>
      <c r="O177">
        <f>E177+F177+G177+H177+I177+J177+K177+M177</f>
        <v>0</v>
      </c>
    </row>
    <row r="178" spans="3:15">
      <c r="C178">
        <f>35.91</f>
        <v>0</v>
      </c>
      <c r="D178">
        <f>15.91</f>
        <v>0</v>
      </c>
      <c r="E178">
        <f>E137*-22.01455</f>
        <v>0</v>
      </c>
      <c r="F178">
        <f>F137*-235.82635</f>
        <v>0</v>
      </c>
      <c r="G178">
        <f>G137*-33.80185</f>
        <v>0</v>
      </c>
      <c r="H178">
        <f>H137*0.0</f>
        <v>0</v>
      </c>
      <c r="I178">
        <f>I137*0.61</f>
        <v>0</v>
      </c>
      <c r="J178">
        <f>J137*40.78435</f>
        <v>0</v>
      </c>
      <c r="K178">
        <f>K137*-30.58825</f>
        <v>0</v>
      </c>
      <c r="L178">
        <f>L137*19.9664</f>
        <v>0</v>
      </c>
      <c r="M178">
        <f>M137*-333.17155</f>
        <v>0</v>
      </c>
      <c r="N178">
        <f>E178+F178+G178+H178+I178+J178+K178+L178</f>
        <v>0</v>
      </c>
      <c r="O178">
        <f>E178+F178+G178+H178+I178+J178+K178+M178</f>
        <v>0</v>
      </c>
    </row>
    <row r="179" spans="3:15">
      <c r="C179">
        <f>36.82</f>
        <v>0</v>
      </c>
      <c r="D179">
        <f>16.82</f>
        <v>0</v>
      </c>
      <c r="E179">
        <f>E137*-14.489749999999999</f>
        <v>0</v>
      </c>
      <c r="F179">
        <f>F137*-181.9106</f>
        <v>0</v>
      </c>
      <c r="G179">
        <f>G137*-26.30555</f>
        <v>0</v>
      </c>
      <c r="H179">
        <f>H137*0.0</f>
        <v>0</v>
      </c>
      <c r="I179">
        <f>I137*0.3402</f>
        <v>0</v>
      </c>
      <c r="J179">
        <f>J137*83.88855000000001</f>
        <v>0</v>
      </c>
      <c r="K179">
        <f>K137*-62.91645</f>
        <v>0</v>
      </c>
      <c r="L179">
        <f>L137*20.8671</f>
        <v>0</v>
      </c>
      <c r="M179">
        <f>M137*-263.17825</f>
        <v>0</v>
      </c>
      <c r="N179">
        <f>E179+F179+G179+H179+I179+J179+K179+L179</f>
        <v>0</v>
      </c>
      <c r="O179">
        <f>E179+F179+G179+H179+I179+J179+K179+M179</f>
        <v>0</v>
      </c>
    </row>
    <row r="180" spans="3:15">
      <c r="C180">
        <f>37.73</f>
        <v>0</v>
      </c>
      <c r="D180">
        <f>17.73</f>
        <v>0</v>
      </c>
      <c r="E180">
        <f>E137*-8.269300000000001</f>
        <v>0</v>
      </c>
      <c r="F180">
        <f>F137*-121.6357</f>
        <v>0</v>
      </c>
      <c r="G180">
        <f>G137*-17.750799999999998</f>
        <v>0</v>
      </c>
      <c r="H180">
        <f>H137*0.0</f>
        <v>0</v>
      </c>
      <c r="I180">
        <f>I137*-0.30084999999999995</f>
        <v>0</v>
      </c>
      <c r="J180">
        <f>J137*105.70485</f>
        <v>0</v>
      </c>
      <c r="K180">
        <f>K137*-79.27865</f>
        <v>0</v>
      </c>
      <c r="L180">
        <f>L137*19.47515</f>
        <v>0</v>
      </c>
      <c r="M180">
        <f>M137*-180.0023</f>
        <v>0</v>
      </c>
      <c r="N180">
        <f>E180+F180+G180+H180+I180+J180+K180+L180</f>
        <v>0</v>
      </c>
      <c r="O180">
        <f>E180+F180+G180+H180+I180+J180+K180+M180</f>
        <v>0</v>
      </c>
    </row>
    <row r="181" spans="3:15">
      <c r="C181">
        <f>38.64</f>
        <v>0</v>
      </c>
      <c r="D181">
        <f>18.64</f>
        <v>0</v>
      </c>
      <c r="E181">
        <f>E137*-3.0492999999999997</f>
        <v>0</v>
      </c>
      <c r="F181">
        <f>F137*-59.316199999999995</f>
        <v>0</v>
      </c>
      <c r="G181">
        <f>G137*-8.7757</f>
        <v>0</v>
      </c>
      <c r="H181">
        <f>H137*0.0</f>
        <v>0</v>
      </c>
      <c r="I181">
        <f>I137*-0.01869999999999994</f>
        <v>0</v>
      </c>
      <c r="J181">
        <f>J137*102.0331</f>
        <v>0</v>
      </c>
      <c r="K181">
        <f>K137*-76.52485</f>
        <v>0</v>
      </c>
      <c r="L181">
        <f>L137*16.2655</f>
        <v>0</v>
      </c>
      <c r="M181">
        <f>M137*-92.39245</f>
        <v>0</v>
      </c>
      <c r="N181">
        <f>E181+F181+G181+H181+I181+J181+K181+L181</f>
        <v>0</v>
      </c>
      <c r="O181">
        <f>E181+F181+G181+H181+I181+J181+K181+M181</f>
        <v>0</v>
      </c>
    </row>
    <row r="182" spans="3:15">
      <c r="C182">
        <f>39.55</f>
        <v>0</v>
      </c>
      <c r="D182">
        <f>19.55</f>
        <v>0</v>
      </c>
      <c r="E182">
        <f>E137*-3.99475</f>
        <v>0</v>
      </c>
      <c r="F182">
        <f>F137*-18.287999999999997</f>
        <v>0</v>
      </c>
      <c r="G182">
        <f>G137*-2.3861499999999998</f>
        <v>0</v>
      </c>
      <c r="H182">
        <f>H137*0.0</f>
        <v>0</v>
      </c>
      <c r="I182">
        <f>I137*-3.3599</f>
        <v>0</v>
      </c>
      <c r="J182">
        <f>J137*-83.84694999999999</f>
        <v>0</v>
      </c>
      <c r="K182">
        <f>K137*62.88525</f>
        <v>0</v>
      </c>
      <c r="L182">
        <f>L137*9.8341</f>
        <v>0</v>
      </c>
      <c r="M182">
        <f>M137*-27.6383</f>
        <v>0</v>
      </c>
      <c r="N182">
        <f>E182+F182+G182+H182+I182+J182+K182+L182</f>
        <v>0</v>
      </c>
      <c r="O182">
        <f>E182+F182+G182+H182+I182+J182+K182+M182</f>
        <v>0</v>
      </c>
    </row>
    <row r="183" spans="3:15">
      <c r="C183">
        <f>40.0</f>
        <v>0</v>
      </c>
      <c r="D183">
        <f>20.0</f>
        <v>0</v>
      </c>
      <c r="E183">
        <f>E137*-0.4112</f>
        <v>0</v>
      </c>
      <c r="F183">
        <f>F137*-2.9203</f>
        <v>0</v>
      </c>
      <c r="G183">
        <f>G137*-0.3725</f>
        <v>0</v>
      </c>
      <c r="H183">
        <f>H137*0.0</f>
        <v>0</v>
      </c>
      <c r="I183">
        <f>I137*-1.9872</f>
        <v>0</v>
      </c>
      <c r="J183">
        <f>J137*-22.5408</f>
        <v>0</v>
      </c>
      <c r="K183">
        <f>K137*16.9056</f>
        <v>0</v>
      </c>
      <c r="L183">
        <f>L137*3.9306</f>
        <v>0</v>
      </c>
      <c r="M183">
        <f>M137*-6.8576</f>
        <v>0</v>
      </c>
      <c r="N183">
        <f>E183+F183+G183+H183+I183+J183+K183+L183</f>
        <v>0</v>
      </c>
      <c r="O183">
        <f>E183+F183+G183+H183+I183+J183+K183+M183</f>
        <v>0</v>
      </c>
    </row>
    <row r="184" spans="3:15">
      <c r="C184">
        <f>40.0</f>
        <v>0</v>
      </c>
      <c r="D184">
        <f>0.0</f>
        <v>0</v>
      </c>
      <c r="E184">
        <f>E137*-0.4168</f>
        <v>0</v>
      </c>
      <c r="F184">
        <f>F137*-3.7426</f>
        <v>0</v>
      </c>
      <c r="G184">
        <f>G137*-0.4945</f>
        <v>0</v>
      </c>
      <c r="H184">
        <f>H137*0.0</f>
        <v>0</v>
      </c>
      <c r="I184">
        <f>I137*-1.6476</f>
        <v>0</v>
      </c>
      <c r="J184">
        <f>J137*-23.8543</f>
        <v>0</v>
      </c>
      <c r="K184">
        <f>K137*17.8907</f>
        <v>0</v>
      </c>
      <c r="L184">
        <f>L137*1.6721</f>
        <v>0</v>
      </c>
      <c r="M184">
        <f>M137*-5.0787</f>
        <v>0</v>
      </c>
      <c r="N184">
        <f>E184+F184+G184+H184+I184+J184+K184+L184</f>
        <v>0</v>
      </c>
      <c r="O184">
        <f>E184+F184+G184+H184+I184+J184+K184+M184</f>
        <v>0</v>
      </c>
    </row>
    <row r="185" spans="3:15">
      <c r="C185">
        <f>40.45</f>
        <v>0</v>
      </c>
      <c r="D185">
        <f>0.45</f>
        <v>0</v>
      </c>
      <c r="E185">
        <f>E137*-3.16725</f>
        <v>0</v>
      </c>
      <c r="F185">
        <f>F137*-13.85325</f>
        <v>0</v>
      </c>
      <c r="G185">
        <f>G137*-1.7778</f>
        <v>0</v>
      </c>
      <c r="H185">
        <f>H137*0.0</f>
        <v>0</v>
      </c>
      <c r="I185">
        <f>I137*-0.7646999999999999</f>
        <v>0</v>
      </c>
      <c r="J185">
        <f>J137*-90.3506</f>
        <v>0</v>
      </c>
      <c r="K185">
        <f>K137*67.763</f>
        <v>0</v>
      </c>
      <c r="L185">
        <f>L137*3.87155</f>
        <v>0</v>
      </c>
      <c r="M185">
        <f>M137*-17.96925</f>
        <v>0</v>
      </c>
      <c r="N185">
        <f>E185+F185+G185+H185+I185+J185+K185+L185</f>
        <v>0</v>
      </c>
      <c r="O185">
        <f>E185+F185+G185+H185+I185+J185+K185+M185</f>
        <v>0</v>
      </c>
    </row>
    <row r="186" spans="3:15">
      <c r="C186">
        <f>41.36</f>
        <v>0</v>
      </c>
      <c r="D186">
        <f>1.36</f>
        <v>0</v>
      </c>
      <c r="E186">
        <f>E137*0.7596499999999999</f>
        <v>0</v>
      </c>
      <c r="F186">
        <f>F137*-20.91675</f>
        <v>0</v>
      </c>
      <c r="G186">
        <f>G137*-3.3114</f>
        <v>0</v>
      </c>
      <c r="H186">
        <f>H137*0.0</f>
        <v>0</v>
      </c>
      <c r="I186">
        <f>I137*3.0596</f>
        <v>0</v>
      </c>
      <c r="J186">
        <f>J137*97.21305</f>
        <v>0</v>
      </c>
      <c r="K186">
        <f>K137*-72.90975</f>
        <v>0</v>
      </c>
      <c r="L186">
        <f>L137*11.09395</f>
        <v>0</v>
      </c>
      <c r="M186">
        <f>M137*-57.5544</f>
        <v>0</v>
      </c>
      <c r="N186">
        <f>E186+F186+G186+H186+I186+J186+K186+L186</f>
        <v>0</v>
      </c>
      <c r="O186">
        <f>E186+F186+G186+H186+I186+J186+K186+M186</f>
        <v>0</v>
      </c>
    </row>
    <row r="187" spans="3:15">
      <c r="C187">
        <f>42.27</f>
        <v>0</v>
      </c>
      <c r="D187">
        <f>2.27</f>
        <v>0</v>
      </c>
      <c r="E187">
        <f>E137*-0.98565</f>
        <v>0</v>
      </c>
      <c r="F187">
        <f>F137*-45.10575</f>
        <v>0</v>
      </c>
      <c r="G187">
        <f>G137*-6.84215</f>
        <v>0</v>
      </c>
      <c r="H187">
        <f>H137*0.0</f>
        <v>0</v>
      </c>
      <c r="I187">
        <f>I137*3.64885</f>
        <v>0</v>
      </c>
      <c r="J187">
        <f>J137*102.9947</f>
        <v>0</v>
      </c>
      <c r="K187">
        <f>K137*-77.24605</f>
        <v>0</v>
      </c>
      <c r="L187">
        <f>L137*10.568349999999999</f>
        <v>0</v>
      </c>
      <c r="M187">
        <f>M137*-105.30175</f>
        <v>0</v>
      </c>
      <c r="N187">
        <f>E187+F187+G187+H187+I187+J187+K187+L187</f>
        <v>0</v>
      </c>
      <c r="O187">
        <f>E187+F187+G187+H187+I187+J187+K187+M187</f>
        <v>0</v>
      </c>
    </row>
    <row r="188" spans="3:15">
      <c r="C188">
        <f>43.18</f>
        <v>0</v>
      </c>
      <c r="D188">
        <f>3.18</f>
        <v>0</v>
      </c>
      <c r="E188">
        <f>E137*-3.5312</f>
        <v>0</v>
      </c>
      <c r="F188">
        <f>F137*-66.29910000000001</f>
        <v>0</v>
      </c>
      <c r="G188">
        <f>G137*-9.819099999999999</f>
        <v>0</v>
      </c>
      <c r="H188">
        <f>H137*0.0</f>
        <v>0</v>
      </c>
      <c r="I188">
        <f>I137*6.45995</f>
        <v>0</v>
      </c>
      <c r="J188">
        <f>J137*84.64775</f>
        <v>0</v>
      </c>
      <c r="K188">
        <f>K137*-63.4858</f>
        <v>0</v>
      </c>
      <c r="L188">
        <f>L137*7.6897</f>
        <v>0</v>
      </c>
      <c r="M188">
        <f>M137*-143.5455</f>
        <v>0</v>
      </c>
      <c r="N188">
        <f>E188+F188+G188+H188+I188+J188+K188+L188</f>
        <v>0</v>
      </c>
      <c r="O188">
        <f>E188+F188+G188+H188+I188+J188+K188+M188</f>
        <v>0</v>
      </c>
    </row>
    <row r="189" spans="3:15">
      <c r="C189">
        <f>44.09</f>
        <v>0</v>
      </c>
      <c r="D189">
        <f>4.09</f>
        <v>0</v>
      </c>
      <c r="E189">
        <f>E137*-7.038</f>
        <v>0</v>
      </c>
      <c r="F189">
        <f>F137*-80.9426</f>
        <v>0</v>
      </c>
      <c r="G189">
        <f>G137*-11.726849999999999</f>
        <v>0</v>
      </c>
      <c r="H189">
        <f>H137*0.0</f>
        <v>0</v>
      </c>
      <c r="I189">
        <f>I137*6.0555</f>
        <v>0</v>
      </c>
      <c r="J189">
        <f>J137*42.88865</f>
        <v>0</v>
      </c>
      <c r="K189">
        <f>K137*-32.16645</f>
        <v>0</v>
      </c>
      <c r="L189">
        <f>L137*4.2534</f>
        <v>0</v>
      </c>
      <c r="M189">
        <f>M137*-166.23055</f>
        <v>0</v>
      </c>
      <c r="N189">
        <f>E189+F189+G189+H189+I189+J189+K189+L189</f>
        <v>0</v>
      </c>
      <c r="O189">
        <f>E189+F189+G189+H189+I189+J189+K189+M189</f>
        <v>0</v>
      </c>
    </row>
    <row r="190" spans="3:15">
      <c r="C190">
        <f>45.0</f>
        <v>0</v>
      </c>
      <c r="D190">
        <f>5.0</f>
        <v>0</v>
      </c>
      <c r="E190">
        <f>E137*-17.338099999999997</f>
        <v>0</v>
      </c>
      <c r="F190">
        <f>F137*-87.81165</f>
        <v>0</v>
      </c>
      <c r="G190">
        <f>G137*-12.02305</f>
        <v>0</v>
      </c>
      <c r="H190">
        <f>H137*0.0</f>
        <v>0</v>
      </c>
      <c r="I190">
        <f>I137*-21.9618</f>
        <v>0</v>
      </c>
      <c r="J190">
        <f>J137*-147.58165</f>
        <v>0</v>
      </c>
      <c r="K190">
        <f>K137*110.68625</f>
        <v>0</v>
      </c>
      <c r="L190">
        <f>L137*1.4731</f>
        <v>0</v>
      </c>
      <c r="M190">
        <f>M137*-156.5327</f>
        <v>0</v>
      </c>
      <c r="N190">
        <f>E190+F190+G190+H190+I190+J190+K190+L190</f>
        <v>0</v>
      </c>
      <c r="O190">
        <f>E190+F190+G190+H190+I190+J190+K190+M190</f>
        <v>0</v>
      </c>
    </row>
    <row r="191" spans="3:15">
      <c r="C191">
        <f>46.0</f>
        <v>0</v>
      </c>
      <c r="D191">
        <f>6.0</f>
        <v>0</v>
      </c>
      <c r="E191">
        <f>E137*-7.32955</f>
        <v>0</v>
      </c>
      <c r="F191">
        <f>F137*-85.28405000000001</f>
        <v>0</v>
      </c>
      <c r="G191">
        <f>G137*-12.33485</f>
        <v>0</v>
      </c>
      <c r="H191">
        <f>H137*0.0</f>
        <v>0</v>
      </c>
      <c r="I191">
        <f>I137*6.9803999999999995</f>
        <v>0</v>
      </c>
      <c r="J191">
        <f>J137*55.06555</f>
        <v>0</v>
      </c>
      <c r="K191">
        <f>K137*-41.2992</f>
        <v>0</v>
      </c>
      <c r="L191">
        <f>L137*3.4461000000000004</f>
        <v>0</v>
      </c>
      <c r="M191">
        <f>M137*-172.5412</f>
        <v>0</v>
      </c>
      <c r="N191">
        <f>E191+F191+G191+H191+I191+J191+K191+L191</f>
        <v>0</v>
      </c>
      <c r="O191">
        <f>E191+F191+G191+H191+I191+J191+K191+M191</f>
        <v>0</v>
      </c>
    </row>
    <row r="192" spans="3:15">
      <c r="C192">
        <f>47.0</f>
        <v>0</v>
      </c>
      <c r="D192">
        <f>7.0</f>
        <v>0</v>
      </c>
      <c r="E192">
        <f>E137*-4.71655</f>
        <v>0</v>
      </c>
      <c r="F192">
        <f>F137*-74.21100000000001</f>
        <v>0</v>
      </c>
      <c r="G192">
        <f>G137*-10.8569</f>
        <v>0</v>
      </c>
      <c r="H192">
        <f>H137*0.0</f>
        <v>0</v>
      </c>
      <c r="I192">
        <f>I137*7.13525</f>
        <v>0</v>
      </c>
      <c r="J192">
        <f>J137*106.95580000000001</f>
        <v>0</v>
      </c>
      <c r="K192">
        <f>K137*-80.21685</f>
        <v>0</v>
      </c>
      <c r="L192">
        <f>L137*4.0245999999999995</f>
        <v>0</v>
      </c>
      <c r="M192">
        <f>M137*-151.6025</f>
        <v>0</v>
      </c>
      <c r="N192">
        <f>E192+F192+G192+H192+I192+J192+K192+L192</f>
        <v>0</v>
      </c>
      <c r="O192">
        <f>E192+F192+G192+H192+I192+J192+K192+M192</f>
        <v>0</v>
      </c>
    </row>
    <row r="193" spans="3:15">
      <c r="C193">
        <f>48.0</f>
        <v>0</v>
      </c>
      <c r="D193">
        <f>8.0</f>
        <v>0</v>
      </c>
      <c r="E193">
        <f>E137*-2.7365</f>
        <v>0</v>
      </c>
      <c r="F193">
        <f>F137*-54.03365</f>
        <v>0</v>
      </c>
      <c r="G193">
        <f>G137*-7.926200000000001</f>
        <v>0</v>
      </c>
      <c r="H193">
        <f>H137*0.0</f>
        <v>0</v>
      </c>
      <c r="I193">
        <f>I137*4.656149999999999</f>
        <v>0</v>
      </c>
      <c r="J193">
        <f>J137*160.63799999999998</f>
        <v>0</v>
      </c>
      <c r="K193">
        <f>K137*-120.4785</f>
        <v>0</v>
      </c>
      <c r="L193">
        <f>L137*4.6291</f>
        <v>0</v>
      </c>
      <c r="M193">
        <f>M137*-110.69624999999999</f>
        <v>0</v>
      </c>
      <c r="N193">
        <f>E193+F193+G193+H193+I193+J193+K193+L193</f>
        <v>0</v>
      </c>
      <c r="O193">
        <f>E193+F193+G193+H193+I193+J193+K193+M193</f>
        <v>0</v>
      </c>
    </row>
    <row r="194" spans="3:15">
      <c r="C194">
        <f>49.0</f>
        <v>0</v>
      </c>
      <c r="D194">
        <f>9.0</f>
        <v>0</v>
      </c>
      <c r="E194">
        <f>E137*-1.15615</f>
        <v>0</v>
      </c>
      <c r="F194">
        <f>F137*-25.54285</f>
        <v>0</v>
      </c>
      <c r="G194">
        <f>G137*-3.68275</f>
        <v>0</v>
      </c>
      <c r="H194">
        <f>H137*0.0</f>
        <v>0</v>
      </c>
      <c r="I194">
        <f>I137*3.6419499999999996</f>
        <v>0</v>
      </c>
      <c r="J194">
        <f>J137*218.54805</f>
        <v>0</v>
      </c>
      <c r="K194">
        <f>K137*-163.91105</f>
        <v>0</v>
      </c>
      <c r="L194">
        <f>L137*4.478949999999999</f>
        <v>0</v>
      </c>
      <c r="M194">
        <f>M137*-53.18825</f>
        <v>0</v>
      </c>
      <c r="N194">
        <f>E194+F194+G194+H194+I194+J194+K194+L194</f>
        <v>0</v>
      </c>
      <c r="O194">
        <f>E194+F194+G194+H194+I194+J194+K194+M194</f>
        <v>0</v>
      </c>
    </row>
    <row r="202" spans="3:15"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 t="s">
        <v>8</v>
      </c>
      <c r="L202" t="s">
        <v>9</v>
      </c>
      <c r="M202" t="s">
        <v>10</v>
      </c>
      <c r="N202" t="s">
        <v>11</v>
      </c>
      <c r="O202" t="s">
        <v>12</v>
      </c>
    </row>
    <row r="203" spans="3:15">
      <c r="C203">
        <f>0.0</f>
        <v>0</v>
      </c>
      <c r="D203">
        <f>0.0</f>
        <v>0</v>
      </c>
      <c r="E203">
        <f>E201*3.5269999999999997</f>
        <v>0</v>
      </c>
      <c r="F203">
        <f>F201*55.077</f>
        <v>0</v>
      </c>
      <c r="G203">
        <f>G201*7.792999999999999</f>
        <v>0</v>
      </c>
      <c r="H203">
        <f>H201*0.0</f>
        <v>0</v>
      </c>
      <c r="I203">
        <f>I201*-0.008272</f>
        <v>0</v>
      </c>
      <c r="J203">
        <f>J201*-634.798</f>
        <v>0</v>
      </c>
      <c r="K203">
        <f>K201*476.098</f>
        <v>0</v>
      </c>
      <c r="L203">
        <f>L201*87.428</f>
        <v>0</v>
      </c>
      <c r="M203">
        <f>M201*-14.382</f>
        <v>0</v>
      </c>
      <c r="N203">
        <f>E203+F203+G203+H203+I203+J203+K203+L203</f>
        <v>0</v>
      </c>
      <c r="O203">
        <f>E203+F203+G203+H203+I203+J203+K203+M203</f>
        <v>0</v>
      </c>
    </row>
    <row r="204" spans="3:15">
      <c r="C204">
        <f>1.0</f>
        <v>0</v>
      </c>
      <c r="D204">
        <f>1.0</f>
        <v>0</v>
      </c>
      <c r="E204">
        <f>E201*12.836</f>
        <v>0</v>
      </c>
      <c r="F204">
        <f>F201*92.88399999999999</f>
        <v>0</v>
      </c>
      <c r="G204">
        <f>G201*13.0105</f>
        <v>0</v>
      </c>
      <c r="H204">
        <f>H201*0.0</f>
        <v>0</v>
      </c>
      <c r="I204">
        <f>I201*-0.011962</f>
        <v>0</v>
      </c>
      <c r="J204">
        <f>J201*-363.905</f>
        <v>0</v>
      </c>
      <c r="K204">
        <f>K201*272.929</f>
        <v>0</v>
      </c>
      <c r="L204">
        <f>L201*133.474</f>
        <v>0</v>
      </c>
      <c r="M204">
        <f>M201*-9.9565</f>
        <v>0</v>
      </c>
      <c r="N204">
        <f>E204+F204+G204+H204+I204+J204+K204+L204</f>
        <v>0</v>
      </c>
      <c r="O204">
        <f>E204+F204+G204+H204+I204+J204+K204+M204</f>
        <v>0</v>
      </c>
    </row>
    <row r="205" spans="3:15">
      <c r="C205">
        <f>2.0</f>
        <v>0</v>
      </c>
      <c r="D205">
        <f>2.0</f>
        <v>0</v>
      </c>
      <c r="E205">
        <f>E201*17.810000000000002</f>
        <v>0</v>
      </c>
      <c r="F205">
        <f>F201*95.5445</f>
        <v>0</v>
      </c>
      <c r="G205">
        <f>G201*13.1375</f>
        <v>0</v>
      </c>
      <c r="H205">
        <f>H201*0.0</f>
        <v>0</v>
      </c>
      <c r="I205">
        <f>I201*-0.0175</f>
        <v>0</v>
      </c>
      <c r="J205">
        <f>J201*-137.6085</f>
        <v>0</v>
      </c>
      <c r="K205">
        <f>K201*103.2065</f>
        <v>0</v>
      </c>
      <c r="L205">
        <f>L201*148.21800000000002</f>
        <v>0</v>
      </c>
      <c r="M205">
        <f>M201*-21.4005</f>
        <v>0</v>
      </c>
      <c r="N205">
        <f>E205+F205+G205+H205+I205+J205+K205+L205</f>
        <v>0</v>
      </c>
      <c r="O205">
        <f>E205+F205+G205+H205+I205+J205+K205+M205</f>
        <v>0</v>
      </c>
    </row>
    <row r="206" spans="3:15">
      <c r="C206">
        <f>3.0</f>
        <v>0</v>
      </c>
      <c r="D206">
        <f>3.0</f>
        <v>0</v>
      </c>
      <c r="E206">
        <f>E201*20.5465</f>
        <v>0</v>
      </c>
      <c r="F206">
        <f>F201*88.1995</f>
        <v>0</v>
      </c>
      <c r="G206">
        <f>G201*11.833499999999999</f>
        <v>0</v>
      </c>
      <c r="H206">
        <f>H201*0.0</f>
        <v>0</v>
      </c>
      <c r="I206">
        <f>I201*-0.018000000000000002</f>
        <v>0</v>
      </c>
      <c r="J206">
        <f>J201*-3.384999999999998</f>
        <v>0</v>
      </c>
      <c r="K206">
        <f>K201*2.5389999999999997</f>
        <v>0</v>
      </c>
      <c r="L206">
        <f>L201*144.20100000000002</f>
        <v>0</v>
      </c>
      <c r="M206">
        <f>M201*-30.551000000000002</f>
        <v>0</v>
      </c>
      <c r="N206">
        <f>E206+F206+G206+H206+I206+J206+K206+L206</f>
        <v>0</v>
      </c>
      <c r="O206">
        <f>E206+F206+G206+H206+I206+J206+K206+M206</f>
        <v>0</v>
      </c>
    </row>
    <row r="207" spans="3:15">
      <c r="C207">
        <f>4.0</f>
        <v>0</v>
      </c>
      <c r="D207">
        <f>4.0</f>
        <v>0</v>
      </c>
      <c r="E207">
        <f>E201*24.116</f>
        <v>0</v>
      </c>
      <c r="F207">
        <f>F201*74.081</f>
        <v>0</v>
      </c>
      <c r="G207">
        <f>G201*9.5105</f>
        <v>0</v>
      </c>
      <c r="H207">
        <f>H201*0.0</f>
        <v>0</v>
      </c>
      <c r="I207">
        <f>I201*-0.018000000000000002</f>
        <v>0</v>
      </c>
      <c r="J207">
        <f>J201*127.8305</f>
        <v>0</v>
      </c>
      <c r="K207">
        <f>K201*-95.8725</f>
        <v>0</v>
      </c>
      <c r="L207">
        <f>L201*131.92149999999998</f>
        <v>0</v>
      </c>
      <c r="M207">
        <f>M201*-39.8095</f>
        <v>0</v>
      </c>
      <c r="N207">
        <f>E207+F207+G207+H207+I207+J207+K207+L207</f>
        <v>0</v>
      </c>
      <c r="O207">
        <f>E207+F207+G207+H207+I207+J207+K207+M207</f>
        <v>0</v>
      </c>
    </row>
    <row r="208" spans="3:15">
      <c r="C208">
        <f>5.0</f>
        <v>0</v>
      </c>
      <c r="D208">
        <f>5.0</f>
        <v>0</v>
      </c>
      <c r="E208">
        <f>E201*12.35</f>
        <v>0</v>
      </c>
      <c r="F208">
        <f>F201*67.40950000000001</f>
        <v>0</v>
      </c>
      <c r="G208">
        <f>G201*9.2805</f>
        <v>0</v>
      </c>
      <c r="H208">
        <f>H201*0.0</f>
        <v>0</v>
      </c>
      <c r="I208">
        <f>I201*-0.0165</f>
        <v>0</v>
      </c>
      <c r="J208">
        <f>J201*-15.06049999999999</f>
        <v>0</v>
      </c>
      <c r="K208">
        <f>K201*11.295500000000018</f>
        <v>0</v>
      </c>
      <c r="L208">
        <f>L201*138.707</f>
        <v>0</v>
      </c>
      <c r="M208">
        <f>M201*-45.227500000000006</f>
        <v>0</v>
      </c>
      <c r="N208">
        <f>E208+F208+G208+H208+I208+J208+K208+L208</f>
        <v>0</v>
      </c>
      <c r="O208">
        <f>E208+F208+G208+H208+I208+J208+K208+M208</f>
        <v>0</v>
      </c>
    </row>
    <row r="209" spans="3:15">
      <c r="C209">
        <f>6.0</f>
        <v>0</v>
      </c>
      <c r="D209">
        <f>6.0</f>
        <v>0</v>
      </c>
      <c r="E209">
        <f>E201*0.753</f>
        <v>0</v>
      </c>
      <c r="F209">
        <f>F201*58.807</f>
        <v>0</v>
      </c>
      <c r="G209">
        <f>G201*8.753499999999999</f>
        <v>0</v>
      </c>
      <c r="H209">
        <f>H201*0.0</f>
        <v>0</v>
      </c>
      <c r="I209">
        <f>I201*-0.0165</f>
        <v>0</v>
      </c>
      <c r="J209">
        <f>J201*-164.5625</f>
        <v>0</v>
      </c>
      <c r="K209">
        <f>K201*123.422</f>
        <v>0</v>
      </c>
      <c r="L209">
        <f>L201*124.78399999999999</f>
        <v>0</v>
      </c>
      <c r="M209">
        <f>M201*-33.143</f>
        <v>0</v>
      </c>
      <c r="N209">
        <f>E209+F209+G209+H209+I209+J209+K209+L209</f>
        <v>0</v>
      </c>
      <c r="O209">
        <f>E209+F209+G209+H209+I209+J209+K209+M209</f>
        <v>0</v>
      </c>
    </row>
    <row r="210" spans="3:15">
      <c r="C210">
        <f>7.0</f>
        <v>0</v>
      </c>
      <c r="D210">
        <f>7.0</f>
        <v>0</v>
      </c>
      <c r="E210">
        <f>E201*4.8305</f>
        <v>0</v>
      </c>
      <c r="F210">
        <f>F201*38.4915</f>
        <v>0</v>
      </c>
      <c r="G210">
        <f>G201*5.4805</f>
        <v>0</v>
      </c>
      <c r="H210">
        <f>H201*0.0</f>
        <v>0</v>
      </c>
      <c r="I210">
        <f>I201*-0.0165</f>
        <v>0</v>
      </c>
      <c r="J210">
        <f>J201*-57.5865</f>
        <v>0</v>
      </c>
      <c r="K210">
        <f>K201*43.1895</f>
        <v>0</v>
      </c>
      <c r="L210">
        <f>L201*93.2055</f>
        <v>0</v>
      </c>
      <c r="M210">
        <f>M201*-30.9035</f>
        <v>0</v>
      </c>
      <c r="N210">
        <f>E210+F210+G210+H210+I210+J210+K210+L210</f>
        <v>0</v>
      </c>
      <c r="O210">
        <f>E210+F210+G210+H210+I210+J210+K210+M210</f>
        <v>0</v>
      </c>
    </row>
    <row r="211" spans="3:15">
      <c r="C211">
        <f>8.0</f>
        <v>0</v>
      </c>
      <c r="D211">
        <f>8.0</f>
        <v>0</v>
      </c>
      <c r="E211">
        <f>E201*8.365</f>
        <v>0</v>
      </c>
      <c r="F211">
        <f>F201*18.5295</f>
        <v>0</v>
      </c>
      <c r="G211">
        <f>G201*2.2455000000000003</f>
        <v>0</v>
      </c>
      <c r="H211">
        <f>H201*0.0</f>
        <v>0</v>
      </c>
      <c r="I211">
        <f>I201*-0.016</f>
        <v>0</v>
      </c>
      <c r="J211">
        <f>J201*17.342</f>
        <v>0</v>
      </c>
      <c r="K211">
        <f>K201*-13.006499999999999</f>
        <v>0</v>
      </c>
      <c r="L211">
        <f>L201*70.73599999999999</f>
        <v>0</v>
      </c>
      <c r="M211">
        <f>M201*-37.83</f>
        <v>0</v>
      </c>
      <c r="N211">
        <f>E211+F211+G211+H211+I211+J211+K211+L211</f>
        <v>0</v>
      </c>
      <c r="O211">
        <f>E211+F211+G211+H211+I211+J211+K211+M211</f>
        <v>0</v>
      </c>
    </row>
    <row r="212" spans="3:15">
      <c r="C212">
        <f>9.0</f>
        <v>0</v>
      </c>
      <c r="D212">
        <f>9.0</f>
        <v>0</v>
      </c>
      <c r="E212">
        <f>E201*14.032</f>
        <v>0</v>
      </c>
      <c r="F212">
        <f>F201*-2.6595000000000004</f>
        <v>0</v>
      </c>
      <c r="G212">
        <f>G201*-1.2645000000000002</f>
        <v>0</v>
      </c>
      <c r="H212">
        <f>H201*0.0</f>
        <v>0</v>
      </c>
      <c r="I212">
        <f>I201*-0.016</f>
        <v>0</v>
      </c>
      <c r="J212">
        <f>J201*104.52699999999999</f>
        <v>0</v>
      </c>
      <c r="K212">
        <f>K201*-78.395</f>
        <v>0</v>
      </c>
      <c r="L212">
        <f>L201*59.462</f>
        <v>0</v>
      </c>
      <c r="M212">
        <f>M201*-62.1725</f>
        <v>0</v>
      </c>
      <c r="N212">
        <f>E212+F212+G212+H212+I212+J212+K212+L212</f>
        <v>0</v>
      </c>
      <c r="O212">
        <f>E212+F212+G212+H212+I212+J212+K212+M212</f>
        <v>0</v>
      </c>
    </row>
    <row r="213" spans="3:15">
      <c r="C213">
        <f>10.0</f>
        <v>0</v>
      </c>
      <c r="D213">
        <f>10.0</f>
        <v>0</v>
      </c>
      <c r="E213">
        <f>E201*-0.3464999999999989</f>
        <v>0</v>
      </c>
      <c r="F213">
        <f>F201*-11.5155</f>
        <v>0</v>
      </c>
      <c r="G213">
        <f>G201*-1.639</f>
        <v>0</v>
      </c>
      <c r="H213">
        <f>H201*0.0</f>
        <v>0</v>
      </c>
      <c r="I213">
        <f>I201*-0.0155</f>
        <v>0</v>
      </c>
      <c r="J213">
        <f>J201*-4.1640000000000015</f>
        <v>0</v>
      </c>
      <c r="K213">
        <f>K201*3.123500000000007</f>
        <v>0</v>
      </c>
      <c r="L213">
        <f>L201*79.393</f>
        <v>0</v>
      </c>
      <c r="M213">
        <f>M201*-88.37</f>
        <v>0</v>
      </c>
      <c r="N213">
        <f>E213+F213+G213+H213+I213+J213+K213+L213</f>
        <v>0</v>
      </c>
      <c r="O213">
        <f>E213+F213+G213+H213+I213+J213+K213+M213</f>
        <v>0</v>
      </c>
    </row>
    <row r="214" spans="3:15">
      <c r="C214">
        <f>11.0</f>
        <v>0</v>
      </c>
      <c r="D214">
        <f>11.0</f>
        <v>0</v>
      </c>
      <c r="E214">
        <f>E201*-14.4955</f>
        <v>0</v>
      </c>
      <c r="F214">
        <f>F201*-19.9455</f>
        <v>0</v>
      </c>
      <c r="G214">
        <f>G201*-1.9685000000000001</f>
        <v>0</v>
      </c>
      <c r="H214">
        <f>H201*0.0</f>
        <v>0</v>
      </c>
      <c r="I214">
        <f>I201*-0.0155</f>
        <v>0</v>
      </c>
      <c r="J214">
        <f>J201*-115.3335</f>
        <v>0</v>
      </c>
      <c r="K214">
        <f>K201*86.5</f>
        <v>0</v>
      </c>
      <c r="L214">
        <f>L201*59.65</f>
        <v>0</v>
      </c>
      <c r="M214">
        <f>M201*-62.269999999999996</f>
        <v>0</v>
      </c>
      <c r="N214">
        <f>E214+F214+G214+H214+I214+J214+K214+L214</f>
        <v>0</v>
      </c>
      <c r="O214">
        <f>E214+F214+G214+H214+I214+J214+K214+M214</f>
        <v>0</v>
      </c>
    </row>
    <row r="215" spans="3:15">
      <c r="C215">
        <f>12.0</f>
        <v>0</v>
      </c>
      <c r="D215">
        <f>12.0</f>
        <v>0</v>
      </c>
      <c r="E215">
        <f>E201*-8.103</f>
        <v>0</v>
      </c>
      <c r="F215">
        <f>F201*-39.659</f>
        <v>0</v>
      </c>
      <c r="G215">
        <f>G201*-5.321</f>
        <v>0</v>
      </c>
      <c r="H215">
        <f>H201*0.0</f>
        <v>0</v>
      </c>
      <c r="I215">
        <f>I201*-0.0165</f>
        <v>0</v>
      </c>
      <c r="J215">
        <f>J201*-35.9235</f>
        <v>0</v>
      </c>
      <c r="K215">
        <f>K201*26.943</f>
        <v>0</v>
      </c>
      <c r="L215">
        <f>L201*30.748999999999995</f>
        <v>0</v>
      </c>
      <c r="M215">
        <f>M201*-65.5715</f>
        <v>0</v>
      </c>
      <c r="N215">
        <f>E215+F215+G215+H215+I215+J215+K215+L215</f>
        <v>0</v>
      </c>
      <c r="O215">
        <f>E215+F215+G215+H215+I215+J215+K215+M215</f>
        <v>0</v>
      </c>
    </row>
    <row r="216" spans="3:15">
      <c r="C216">
        <f>13.0</f>
        <v>0</v>
      </c>
      <c r="D216">
        <f>13.0</f>
        <v>0</v>
      </c>
      <c r="E216">
        <f>E201*-3.226</f>
        <v>0</v>
      </c>
      <c r="F216">
        <f>F201*-56.517</f>
        <v>0</v>
      </c>
      <c r="G216">
        <f>G201*-8.2095</f>
        <v>0</v>
      </c>
      <c r="H216">
        <f>H201*0.0</f>
        <v>0</v>
      </c>
      <c r="I216">
        <f>I201*-0.0175</f>
        <v>0</v>
      </c>
      <c r="J216">
        <f>J201*24.875</f>
        <v>0</v>
      </c>
      <c r="K216">
        <f>K201*-18.656</f>
        <v>0</v>
      </c>
      <c r="L216">
        <f>L201*22.604</f>
        <v>0</v>
      </c>
      <c r="M216">
        <f>M201*-88.2475</f>
        <v>0</v>
      </c>
      <c r="N216">
        <f>E216+F216+G216+H216+I216+J216+K216+L216</f>
        <v>0</v>
      </c>
      <c r="O216">
        <f>E216+F216+G216+H216+I216+J216+K216+M216</f>
        <v>0</v>
      </c>
    </row>
    <row r="217" spans="3:15">
      <c r="C217">
        <f>14.0</f>
        <v>0</v>
      </c>
      <c r="D217">
        <f>14.0</f>
        <v>0</v>
      </c>
      <c r="E217">
        <f>E201*2.982</f>
        <v>0</v>
      </c>
      <c r="F217">
        <f>F201*-71.1725</f>
        <v>0</v>
      </c>
      <c r="G217">
        <f>G201*-10.8305</f>
        <v>0</v>
      </c>
      <c r="H217">
        <f>H201*0.0</f>
        <v>0</v>
      </c>
      <c r="I217">
        <f>I201*-0.018000000000000002</f>
        <v>0</v>
      </c>
      <c r="J217">
        <f>J201*109.86399999999999</f>
        <v>0</v>
      </c>
      <c r="K217">
        <f>K201*-82.3985</f>
        <v>0</v>
      </c>
      <c r="L217">
        <f>L201*25.092</f>
        <v>0</v>
      </c>
      <c r="M217">
        <f>M201*-119.3025</f>
        <v>0</v>
      </c>
      <c r="N217">
        <f>E217+F217+G217+H217+I217+J217+K217+L217</f>
        <v>0</v>
      </c>
      <c r="O217">
        <f>E217+F217+G217+H217+I217+J217+K217+M217</f>
        <v>0</v>
      </c>
    </row>
    <row r="218" spans="3:15">
      <c r="C218">
        <f>15.0</f>
        <v>0</v>
      </c>
      <c r="D218">
        <f>15.0</f>
        <v>0</v>
      </c>
      <c r="E218">
        <f>E201*-10.146999999999998</f>
        <v>0</v>
      </c>
      <c r="F218">
        <f>F201*-85.858</f>
        <v>0</v>
      </c>
      <c r="G218">
        <f>G201*-12.093499999999999</f>
        <v>0</v>
      </c>
      <c r="H218">
        <f>H201*0.0</f>
        <v>0</v>
      </c>
      <c r="I218">
        <f>I201*-0.0165</f>
        <v>0</v>
      </c>
      <c r="J218">
        <f>J201*-17.316000000000003</f>
        <v>0</v>
      </c>
      <c r="K218">
        <f>K201*12.98699999999998</f>
        <v>0</v>
      </c>
      <c r="L218">
        <f>L201*37.214</f>
        <v>0</v>
      </c>
      <c r="M218">
        <f>M201*-141.539</f>
        <v>0</v>
      </c>
      <c r="N218">
        <f>E218+F218+G218+H218+I218+J218+K218+L218</f>
        <v>0</v>
      </c>
      <c r="O218">
        <f>E218+F218+G218+H218+I218+J218+K218+M218</f>
        <v>0</v>
      </c>
    </row>
    <row r="219" spans="3:15">
      <c r="C219">
        <f>15.91</f>
        <v>0</v>
      </c>
      <c r="D219">
        <f>15.91</f>
        <v>0</v>
      </c>
      <c r="E219">
        <f>E201*-23.497500000000002</f>
        <v>0</v>
      </c>
      <c r="F219">
        <f>F201*-95.684</f>
        <v>0</v>
      </c>
      <c r="G219">
        <f>G201*-12.636</f>
        <v>0</v>
      </c>
      <c r="H219">
        <f>H201*0.0</f>
        <v>0</v>
      </c>
      <c r="I219">
        <f>I201*-0.017</f>
        <v>0</v>
      </c>
      <c r="J219">
        <f>J201*-144.2605</f>
        <v>0</v>
      </c>
      <c r="K219">
        <f>K201*108.196</f>
        <v>0</v>
      </c>
      <c r="L219">
        <f>L201*18.9875</f>
        <v>0</v>
      </c>
      <c r="M219">
        <f>M201*-128.832</f>
        <v>0</v>
      </c>
      <c r="N219">
        <f>E219+F219+G219+H219+I219+J219+K219+L219</f>
        <v>0</v>
      </c>
      <c r="O219">
        <f>E219+F219+G219+H219+I219+J219+K219+M219</f>
        <v>0</v>
      </c>
    </row>
    <row r="220" spans="3:15">
      <c r="C220">
        <f>16.82</f>
        <v>0</v>
      </c>
      <c r="D220">
        <f>16.82</f>
        <v>0</v>
      </c>
      <c r="E220">
        <f>E201*-16.887</f>
        <v>0</v>
      </c>
      <c r="F220">
        <f>F201*-96.2175</f>
        <v>0</v>
      </c>
      <c r="G220">
        <f>G201*-13.220500000000001</f>
        <v>0</v>
      </c>
      <c r="H220">
        <f>H201*0.0</f>
        <v>0</v>
      </c>
      <c r="I220">
        <f>I201*-0.0195</f>
        <v>0</v>
      </c>
      <c r="J220">
        <f>J201*-39.7185</f>
        <v>0</v>
      </c>
      <c r="K220">
        <f>K201*29.788999999999998</f>
        <v>0</v>
      </c>
      <c r="L220">
        <f>L201*7.466</f>
        <v>0</v>
      </c>
      <c r="M220">
        <f>M201*-127.045</f>
        <v>0</v>
      </c>
      <c r="N220">
        <f>E220+F220+G220+H220+I220+J220+K220+L220</f>
        <v>0</v>
      </c>
      <c r="O220">
        <f>E220+F220+G220+H220+I220+J220+K220+M220</f>
        <v>0</v>
      </c>
    </row>
    <row r="221" spans="3:15">
      <c r="C221">
        <f>17.73</f>
        <v>0</v>
      </c>
      <c r="D221">
        <f>17.73</f>
        <v>0</v>
      </c>
      <c r="E221">
        <f>E201*-10.8505</f>
        <v>0</v>
      </c>
      <c r="F221">
        <f>F201*-85.71549999999999</f>
        <v>0</v>
      </c>
      <c r="G221">
        <f>G201*-12.206</f>
        <v>0</v>
      </c>
      <c r="H221">
        <f>H201*0.0</f>
        <v>0</v>
      </c>
      <c r="I221">
        <f>I201*-0.0205</f>
        <v>0</v>
      </c>
      <c r="J221">
        <f>J201*64.8505</f>
        <v>0</v>
      </c>
      <c r="K221">
        <f>K201*-48.638000000000005</f>
        <v>0</v>
      </c>
      <c r="L221">
        <f>L201*15.6935</f>
        <v>0</v>
      </c>
      <c r="M221">
        <f>M201*-121.62049999999999</f>
        <v>0</v>
      </c>
      <c r="N221">
        <f>E221+F221+G221+H221+I221+J221+K221+L221</f>
        <v>0</v>
      </c>
      <c r="O221">
        <f>E221+F221+G221+H221+I221+J221+K221+M221</f>
        <v>0</v>
      </c>
    </row>
    <row r="222" spans="3:15">
      <c r="C222">
        <f>18.64</f>
        <v>0</v>
      </c>
      <c r="D222">
        <f>18.64</f>
        <v>0</v>
      </c>
      <c r="E222">
        <f>E201*-2.346</f>
        <v>0</v>
      </c>
      <c r="F222">
        <f>F201*-55.902</f>
        <v>0</v>
      </c>
      <c r="G222">
        <f>G201*-8.5075</f>
        <v>0</v>
      </c>
      <c r="H222">
        <f>H201*0.0</f>
        <v>0</v>
      </c>
      <c r="I222">
        <f>I201*-0.010846999999999999</f>
        <v>0</v>
      </c>
      <c r="J222">
        <f>J201*222.2935</f>
        <v>0</v>
      </c>
      <c r="K222">
        <f>K201*-166.72</f>
        <v>0</v>
      </c>
      <c r="L222">
        <f>L201*32.528999999999996</f>
        <v>0</v>
      </c>
      <c r="M222">
        <f>M201*-102.3935</f>
        <v>0</v>
      </c>
      <c r="N222">
        <f>E222+F222+G222+H222+I222+J222+K222+L222</f>
        <v>0</v>
      </c>
      <c r="O222">
        <f>E222+F222+G222+H222+I222+J222+K222+M222</f>
        <v>0</v>
      </c>
    </row>
    <row r="223" spans="3:15">
      <c r="C223">
        <f>19.55</f>
        <v>0</v>
      </c>
      <c r="D223">
        <f>19.55</f>
        <v>0</v>
      </c>
      <c r="E223">
        <f>E201*0.44650000000000034</f>
        <v>0</v>
      </c>
      <c r="F223">
        <f>F201*-26.662</f>
        <v>0</v>
      </c>
      <c r="G223">
        <f>G201*-4.2325</f>
        <v>0</v>
      </c>
      <c r="H223">
        <f>H201*0.0</f>
        <v>0</v>
      </c>
      <c r="I223">
        <f>I201*-0.0019960000000000004</f>
        <v>0</v>
      </c>
      <c r="J223">
        <f>J201*157.48600000000002</f>
        <v>0</v>
      </c>
      <c r="K223">
        <f>K201*-118.1145</f>
        <v>0</v>
      </c>
      <c r="L223">
        <f>L201*31.737499999999997</f>
        <v>0</v>
      </c>
      <c r="M223">
        <f>M201*-64.279</f>
        <v>0</v>
      </c>
      <c r="N223">
        <f>E223+F223+G223+H223+I223+J223+K223+L223</f>
        <v>0</v>
      </c>
      <c r="O223">
        <f>E223+F223+G223+H223+I223+J223+K223+M223</f>
        <v>0</v>
      </c>
    </row>
    <row r="224" spans="3:15">
      <c r="C224">
        <f>20.0</f>
        <v>0</v>
      </c>
      <c r="D224">
        <f>20.0</f>
        <v>0</v>
      </c>
      <c r="E224">
        <f>E201*-6.234</f>
        <v>0</v>
      </c>
      <c r="F224">
        <f>F201*-36.411</f>
        <v>0</v>
      </c>
      <c r="G224">
        <f>G201*-4.999</f>
        <v>0</v>
      </c>
      <c r="H224">
        <f>H201*0.0</f>
        <v>0</v>
      </c>
      <c r="I224">
        <f>I201*-0.012</f>
        <v>0</v>
      </c>
      <c r="J224">
        <f>J201*-82.823</f>
        <v>0</v>
      </c>
      <c r="K224">
        <f>K201*62.117</f>
        <v>0</v>
      </c>
      <c r="L224">
        <f>L201*10.718</f>
        <v>0</v>
      </c>
      <c r="M224">
        <f>M201*-43.568999999999996</f>
        <v>0</v>
      </c>
      <c r="N224">
        <f>E224+F224+G224+H224+I224+J224+K224+L224</f>
        <v>0</v>
      </c>
      <c r="O224">
        <f>E224+F224+G224+H224+I224+J224+K224+M224</f>
        <v>0</v>
      </c>
    </row>
    <row r="225" spans="3:15">
      <c r="C225">
        <f>20.0</f>
        <v>0</v>
      </c>
      <c r="D225">
        <f>0.0</f>
        <v>0</v>
      </c>
      <c r="E225">
        <f>E201*6.135</f>
        <v>0</v>
      </c>
      <c r="F225">
        <f>F201*35.28</f>
        <v>0</v>
      </c>
      <c r="G225">
        <f>G201*4.8389999999999995</f>
        <v>0</v>
      </c>
      <c r="H225">
        <f>H201*0.0</f>
        <v>0</v>
      </c>
      <c r="I225">
        <f>I201*-0.204</f>
        <v>0</v>
      </c>
      <c r="J225">
        <f>J201*83.01299999999999</f>
        <v>0</v>
      </c>
      <c r="K225">
        <f>K201*-62.26</f>
        <v>0</v>
      </c>
      <c r="L225">
        <f>L201*43.695</f>
        <v>0</v>
      </c>
      <c r="M225">
        <f>M201*-6.218</f>
        <v>0</v>
      </c>
      <c r="N225">
        <f>E225+F225+G225+H225+I225+J225+K225+L225</f>
        <v>0</v>
      </c>
      <c r="O225">
        <f>E225+F225+G225+H225+I225+J225+K225+M225</f>
        <v>0</v>
      </c>
    </row>
    <row r="226" spans="3:15">
      <c r="C226">
        <f>20.45</f>
        <v>0</v>
      </c>
      <c r="D226">
        <f>0.45</f>
        <v>0</v>
      </c>
      <c r="E226">
        <f>E201*-0.5230000000000001</f>
        <v>0</v>
      </c>
      <c r="F226">
        <f>F201*22.626</f>
        <v>0</v>
      </c>
      <c r="G226">
        <f>G201*3.6519999999999997</f>
        <v>0</v>
      </c>
      <c r="H226">
        <f>H201*0.0</f>
        <v>0</v>
      </c>
      <c r="I226">
        <f>I201*-0.08499999999999999</f>
        <v>0</v>
      </c>
      <c r="J226">
        <f>J201*-159.37550000000002</f>
        <v>0</v>
      </c>
      <c r="K226">
        <f>K201*119.5315</f>
        <v>0</v>
      </c>
      <c r="L226">
        <f>L201*55.384</f>
        <v>0</v>
      </c>
      <c r="M226">
        <f>M201*-27.186</f>
        <v>0</v>
      </c>
      <c r="N226">
        <f>E226+F226+G226+H226+I226+J226+K226+L226</f>
        <v>0</v>
      </c>
      <c r="O226">
        <f>E226+F226+G226+H226+I226+J226+K226+M226</f>
        <v>0</v>
      </c>
    </row>
    <row r="227" spans="3:15">
      <c r="C227">
        <f>21.36</f>
        <v>0</v>
      </c>
      <c r="D227">
        <f>1.36</f>
        <v>0</v>
      </c>
      <c r="E227">
        <f>E201*2.1504999999999996</f>
        <v>0</v>
      </c>
      <c r="F227">
        <f>F201*47.582</f>
        <v>0</v>
      </c>
      <c r="G227">
        <f>G201*7.316000000000001</f>
        <v>0</v>
      </c>
      <c r="H227">
        <f>H201*0.0</f>
        <v>0</v>
      </c>
      <c r="I227">
        <f>I201*-0.6174999999999999</f>
        <v>0</v>
      </c>
      <c r="J227">
        <f>J201*-225.5025</f>
        <v>0</v>
      </c>
      <c r="K227">
        <f>K201*169.127</f>
        <v>0</v>
      </c>
      <c r="L227">
        <f>L201*93.257</f>
        <v>0</v>
      </c>
      <c r="M227">
        <f>M201*-29.647</f>
        <v>0</v>
      </c>
      <c r="N227">
        <f>E227+F227+G227+H227+I227+J227+K227+L227</f>
        <v>0</v>
      </c>
      <c r="O227">
        <f>E227+F227+G227+H227+I227+J227+K227+M227</f>
        <v>0</v>
      </c>
    </row>
    <row r="228" spans="3:15">
      <c r="C228">
        <f>22.27</f>
        <v>0</v>
      </c>
      <c r="D228">
        <f>2.27</f>
        <v>0</v>
      </c>
      <c r="E228">
        <f>E201*10.4955</f>
        <v>0</v>
      </c>
      <c r="F228">
        <f>F201*76.37100000000001</f>
        <v>0</v>
      </c>
      <c r="G228">
        <f>G201*10.876999999999999</f>
        <v>0</v>
      </c>
      <c r="H228">
        <f>H201*0.0</f>
        <v>0</v>
      </c>
      <c r="I228">
        <f>I201*-1.2165</f>
        <v>0</v>
      </c>
      <c r="J228">
        <f>J201*-66.826</f>
        <v>0</v>
      </c>
      <c r="K228">
        <f>K201*50.1195</f>
        <v>0</v>
      </c>
      <c r="L228">
        <f>L201*117.9805</f>
        <v>0</v>
      </c>
      <c r="M228">
        <f>M201*-14.0495</f>
        <v>0</v>
      </c>
      <c r="N228">
        <f>E228+F228+G228+H228+I228+J228+K228+L228</f>
        <v>0</v>
      </c>
      <c r="O228">
        <f>E228+F228+G228+H228+I228+J228+K228+M228</f>
        <v>0</v>
      </c>
    </row>
    <row r="229" spans="3:15">
      <c r="C229">
        <f>23.18</f>
        <v>0</v>
      </c>
      <c r="D229">
        <f>3.18</f>
        <v>0</v>
      </c>
      <c r="E229">
        <f>E201*16.394</f>
        <v>0</v>
      </c>
      <c r="F229">
        <f>F201*86.55</f>
        <v>0</v>
      </c>
      <c r="G229">
        <f>G201*11.854500000000002</f>
        <v>0</v>
      </c>
      <c r="H229">
        <f>H201*0.0</f>
        <v>0</v>
      </c>
      <c r="I229">
        <f>I201*-1.577</f>
        <v>0</v>
      </c>
      <c r="J229">
        <f>J201*39.212</f>
        <v>0</v>
      </c>
      <c r="K229">
        <f>K201*-29.409000000000002</f>
        <v>0</v>
      </c>
      <c r="L229">
        <f>L201*124.3355</f>
        <v>0</v>
      </c>
      <c r="M229">
        <f>M201*-8.6795</f>
        <v>0</v>
      </c>
      <c r="N229">
        <f>E229+F229+G229+H229+I229+J229+K229+L229</f>
        <v>0</v>
      </c>
      <c r="O229">
        <f>E229+F229+G229+H229+I229+J229+K229+M229</f>
        <v>0</v>
      </c>
    </row>
    <row r="230" spans="3:15">
      <c r="C230">
        <f>24.09</f>
        <v>0</v>
      </c>
      <c r="D230">
        <f>4.09</f>
        <v>0</v>
      </c>
      <c r="E230">
        <f>E201*22.857</f>
        <v>0</v>
      </c>
      <c r="F230">
        <f>F201*86.1575</f>
        <v>0</v>
      </c>
      <c r="G230">
        <f>G201*11.3015</f>
        <v>0</v>
      </c>
      <c r="H230">
        <f>H201*0.0</f>
        <v>0</v>
      </c>
      <c r="I230">
        <f>I201*-1.9005</f>
        <v>0</v>
      </c>
      <c r="J230">
        <f>J201*145.6275</f>
        <v>0</v>
      </c>
      <c r="K230">
        <f>K201*-109.2205</f>
        <v>0</v>
      </c>
      <c r="L230">
        <f>L201*124.203</f>
        <v>0</v>
      </c>
      <c r="M230">
        <f>M201*-21.165</f>
        <v>0</v>
      </c>
      <c r="N230">
        <f>E230+F230+G230+H230+I230+J230+K230+L230</f>
        <v>0</v>
      </c>
      <c r="O230">
        <f>E230+F230+G230+H230+I230+J230+K230+M230</f>
        <v>0</v>
      </c>
    </row>
    <row r="231" spans="3:15">
      <c r="C231">
        <f>25.0</f>
        <v>0</v>
      </c>
      <c r="D231">
        <f>5.0</f>
        <v>0</v>
      </c>
      <c r="E231">
        <f>E201*9.6265</f>
        <v>0</v>
      </c>
      <c r="F231">
        <f>F201*75.394</f>
        <v>0</v>
      </c>
      <c r="G231">
        <f>G201*10.618</f>
        <v>0</v>
      </c>
      <c r="H231">
        <f>H201*0.0</f>
        <v>0</v>
      </c>
      <c r="I231">
        <f>I201*-1.8575</f>
        <v>0</v>
      </c>
      <c r="J231">
        <f>J201*16.726000000000013</f>
        <v>0</v>
      </c>
      <c r="K231">
        <f>K201*-12.543999999999997</f>
        <v>0</v>
      </c>
      <c r="L231">
        <f>L201*133.91899999999998</f>
        <v>0</v>
      </c>
      <c r="M231">
        <f>M201*-35.418</f>
        <v>0</v>
      </c>
      <c r="N231">
        <f>E231+F231+G231+H231+I231+J231+K231+L231</f>
        <v>0</v>
      </c>
      <c r="O231">
        <f>E231+F231+G231+H231+I231+J231+K231+M231</f>
        <v>0</v>
      </c>
    </row>
    <row r="232" spans="3:15">
      <c r="C232">
        <f>26.0</f>
        <v>0</v>
      </c>
      <c r="D232">
        <f>6.0</f>
        <v>0</v>
      </c>
      <c r="E232">
        <f>E201*-3.356</f>
        <v>0</v>
      </c>
      <c r="F232">
        <f>F201*59.8755</f>
        <v>0</v>
      </c>
      <c r="G232">
        <f>G201*9.226500000000001</f>
        <v>0</v>
      </c>
      <c r="H232">
        <f>H201*0.0</f>
        <v>0</v>
      </c>
      <c r="I232">
        <f>I201*-1.8565</f>
        <v>0</v>
      </c>
      <c r="J232">
        <f>J201*-112.691</f>
        <v>0</v>
      </c>
      <c r="K232">
        <f>K201*84.518</f>
        <v>0</v>
      </c>
      <c r="L232">
        <f>L201*111.9505</f>
        <v>0</v>
      </c>
      <c r="M232">
        <f>M201*-22.642500000000002</f>
        <v>0</v>
      </c>
      <c r="N232">
        <f>E232+F232+G232+H232+I232+J232+K232+L232</f>
        <v>0</v>
      </c>
      <c r="O232">
        <f>E232+F232+G232+H232+I232+J232+K232+M232</f>
        <v>0</v>
      </c>
    </row>
    <row r="233" spans="3:15">
      <c r="C233">
        <f>27.0</f>
        <v>0</v>
      </c>
      <c r="D233">
        <f>7.0</f>
        <v>0</v>
      </c>
      <c r="E233">
        <f>E201*2.8249999999999997</f>
        <v>0</v>
      </c>
      <c r="F233">
        <f>F201*45.618</f>
        <v>0</v>
      </c>
      <c r="G233">
        <f>G201*6.666</f>
        <v>0</v>
      </c>
      <c r="H233">
        <f>H201*0.0</f>
        <v>0</v>
      </c>
      <c r="I233">
        <f>I201*-2.1775</f>
        <v>0</v>
      </c>
      <c r="J233">
        <f>J201*-27.209</f>
        <v>0</v>
      </c>
      <c r="K233">
        <f>K201*20.406499999999998</f>
        <v>0</v>
      </c>
      <c r="L233">
        <f>L201*80.1195</f>
        <v>0</v>
      </c>
      <c r="M233">
        <f>M201*-16.1205</f>
        <v>0</v>
      </c>
      <c r="N233">
        <f>E233+F233+G233+H233+I233+J233+K233+L233</f>
        <v>0</v>
      </c>
      <c r="O233">
        <f>E233+F233+G233+H233+I233+J233+K233+M233</f>
        <v>0</v>
      </c>
    </row>
    <row r="234" spans="3:15">
      <c r="C234">
        <f>28.0</f>
        <v>0</v>
      </c>
      <c r="D234">
        <f>8.0</f>
        <v>0</v>
      </c>
      <c r="E234">
        <f>E201*7.8325</f>
        <v>0</v>
      </c>
      <c r="F234">
        <f>F201*28.932499999999997</f>
        <v>0</v>
      </c>
      <c r="G234">
        <f>G201*3.7935</f>
        <v>0</v>
      </c>
      <c r="H234">
        <f>H201*0.0</f>
        <v>0</v>
      </c>
      <c r="I234">
        <f>I201*-2.376</f>
        <v>0</v>
      </c>
      <c r="J234">
        <f>J201*31.930500000000002</f>
        <v>0</v>
      </c>
      <c r="K234">
        <f>K201*-23.9485</f>
        <v>0</v>
      </c>
      <c r="L234">
        <f>L201*59.873</f>
        <v>0</v>
      </c>
      <c r="M234">
        <f>M201*-19.113999999999997</f>
        <v>0</v>
      </c>
      <c r="N234">
        <f>E234+F234+G234+H234+I234+J234+K234+L234</f>
        <v>0</v>
      </c>
      <c r="O234">
        <f>E234+F234+G234+H234+I234+J234+K234+M234</f>
        <v>0</v>
      </c>
    </row>
    <row r="235" spans="3:15">
      <c r="C235">
        <f>29.0</f>
        <v>0</v>
      </c>
      <c r="D235">
        <f>9.0</f>
        <v>0</v>
      </c>
      <c r="E235">
        <f>E201*14.572500000000002</f>
        <v>0</v>
      </c>
      <c r="F235">
        <f>F201*9.2565</f>
        <v>0</v>
      </c>
      <c r="G235">
        <f>G201*0.42250000000000004</f>
        <v>0</v>
      </c>
      <c r="H235">
        <f>H201*0.0</f>
        <v>0</v>
      </c>
      <c r="I235">
        <f>I201*-2.3645</f>
        <v>0</v>
      </c>
      <c r="J235">
        <f>J201*106.7815</f>
        <v>0</v>
      </c>
      <c r="K235">
        <f>K201*-80.0865</f>
        <v>0</v>
      </c>
      <c r="L235">
        <f>L201*56.6085</f>
        <v>0</v>
      </c>
      <c r="M235">
        <f>M201*-48.9025</f>
        <v>0</v>
      </c>
      <c r="N235">
        <f>E235+F235+G235+H235+I235+J235+K235+L235</f>
        <v>0</v>
      </c>
      <c r="O235">
        <f>E235+F235+G235+H235+I235+J235+K235+M235</f>
        <v>0</v>
      </c>
    </row>
    <row r="236" spans="3:15">
      <c r="C236">
        <f>30.0</f>
        <v>0</v>
      </c>
      <c r="D236">
        <f>10.0</f>
        <v>0</v>
      </c>
      <c r="E236">
        <f>E201*0.2829999999999995</f>
        <v>0</v>
      </c>
      <c r="F236">
        <f>F201*0.52</f>
        <v>0</v>
      </c>
      <c r="G236">
        <f>G201*0.06499999999999995</f>
        <v>0</v>
      </c>
      <c r="H236">
        <f>H201*0.0</f>
        <v>0</v>
      </c>
      <c r="I236">
        <f>I201*-2.7805</f>
        <v>0</v>
      </c>
      <c r="J236">
        <f>J201*-2.129499999999993</f>
        <v>0</v>
      </c>
      <c r="K236">
        <f>K201*1.5969999999999942</f>
        <v>0</v>
      </c>
      <c r="L236">
        <f>L201*76.233</f>
        <v>0</v>
      </c>
      <c r="M236">
        <f>M201*-75.8995</f>
        <v>0</v>
      </c>
      <c r="N236">
        <f>E236+F236+G236+H236+I236+J236+K236+L236</f>
        <v>0</v>
      </c>
      <c r="O236">
        <f>E236+F236+G236+H236+I236+J236+K236+M236</f>
        <v>0</v>
      </c>
    </row>
    <row r="237" spans="3:15">
      <c r="C237">
        <f>31.0</f>
        <v>0</v>
      </c>
      <c r="D237">
        <f>11.0</f>
        <v>0</v>
      </c>
      <c r="E237">
        <f>E201*-13.999500000000001</f>
        <v>0</v>
      </c>
      <c r="F237">
        <f>F201*-8.465499999999999</f>
        <v>0</v>
      </c>
      <c r="G237">
        <f>G201*-0.32900000000000007</f>
        <v>0</v>
      </c>
      <c r="H237">
        <f>H201*0.0</f>
        <v>0</v>
      </c>
      <c r="I237">
        <f>I201*-3.0045</f>
        <v>0</v>
      </c>
      <c r="J237">
        <f>J201*-111.33350000000002</f>
        <v>0</v>
      </c>
      <c r="K237">
        <f>K201*83.5</f>
        <v>0</v>
      </c>
      <c r="L237">
        <f>L201*49.9915</f>
        <v>0</v>
      </c>
      <c r="M237">
        <f>M201*-56.745999999999995</f>
        <v>0</v>
      </c>
      <c r="N237">
        <f>E237+F237+G237+H237+I237+J237+K237+L237</f>
        <v>0</v>
      </c>
      <c r="O237">
        <f>E237+F237+G237+H237+I237+J237+K237+M237</f>
        <v>0</v>
      </c>
    </row>
    <row r="238" spans="3:15">
      <c r="C238">
        <f>32.0</f>
        <v>0</v>
      </c>
      <c r="D238">
        <f>12.0</f>
        <v>0</v>
      </c>
      <c r="E238">
        <f>E201*-7.2415</f>
        <v>0</v>
      </c>
      <c r="F238">
        <f>F201*-28.942500000000003</f>
        <v>0</v>
      </c>
      <c r="G238">
        <f>G201*-3.8185000000000002</f>
        <v>0</v>
      </c>
      <c r="H238">
        <f>H201*0.0</f>
        <v>0</v>
      </c>
      <c r="I238">
        <f>I201*-2.3025</f>
        <v>0</v>
      </c>
      <c r="J238">
        <f>J201*-37.3855</f>
        <v>0</v>
      </c>
      <c r="K238">
        <f>K201*28.039</f>
        <v>0</v>
      </c>
      <c r="L238">
        <f>L201*20.714</f>
        <v>0</v>
      </c>
      <c r="M238">
        <f>M201*-60.045500000000004</f>
        <v>0</v>
      </c>
      <c r="N238">
        <f>E238+F238+G238+H238+I238+J238+K238+L238</f>
        <v>0</v>
      </c>
      <c r="O238">
        <f>E238+F238+G238+H238+I238+J238+K238+M238</f>
        <v>0</v>
      </c>
    </row>
    <row r="239" spans="3:15">
      <c r="C239">
        <f>33.0</f>
        <v>0</v>
      </c>
      <c r="D239">
        <f>13.0</f>
        <v>0</v>
      </c>
      <c r="E239">
        <f>E201*-2.213</f>
        <v>0</v>
      </c>
      <c r="F239">
        <f>F201*-47.1475</f>
        <v>0</v>
      </c>
      <c r="G239">
        <f>G201*-6.9145</f>
        <v>0</v>
      </c>
      <c r="H239">
        <f>H201*0.0</f>
        <v>0</v>
      </c>
      <c r="I239">
        <f>I201*-1.166</f>
        <v>0</v>
      </c>
      <c r="J239">
        <f>J201*20.17</f>
        <v>0</v>
      </c>
      <c r="K239">
        <f>K201*-15.1275</f>
        <v>0</v>
      </c>
      <c r="L239">
        <f>L201*18.990499999999997</f>
        <v>0</v>
      </c>
      <c r="M239">
        <f>M201*-80.8005</f>
        <v>0</v>
      </c>
      <c r="N239">
        <f>E239+F239+G239+H239+I239+J239+K239+L239</f>
        <v>0</v>
      </c>
      <c r="O239">
        <f>E239+F239+G239+H239+I239+J239+K239+M239</f>
        <v>0</v>
      </c>
    </row>
    <row r="240" spans="3:15">
      <c r="C240">
        <f>34.0</f>
        <v>0</v>
      </c>
      <c r="D240">
        <f>14.0</f>
        <v>0</v>
      </c>
      <c r="E240">
        <f>E201*3.974</f>
        <v>0</v>
      </c>
      <c r="F240">
        <f>F201*-63.915499999999994</f>
        <v>0</v>
      </c>
      <c r="G240">
        <f>G201*-9.843499999999999</f>
        <v>0</v>
      </c>
      <c r="H240">
        <f>H201*0.0</f>
        <v>0</v>
      </c>
      <c r="I240">
        <f>I201*0.5925</f>
        <v>0</v>
      </c>
      <c r="J240">
        <f>J201*103.308</f>
        <v>0</v>
      </c>
      <c r="K240">
        <f>K201*-77.481</f>
        <v>0</v>
      </c>
      <c r="L240">
        <f>L201*25.259</f>
        <v>0</v>
      </c>
      <c r="M240">
        <f>M201*-113.901</f>
        <v>0</v>
      </c>
      <c r="N240">
        <f>E240+F240+G240+H240+I240+J240+K240+L240</f>
        <v>0</v>
      </c>
      <c r="O240">
        <f>E240+F240+G240+H240+I240+J240+K240+M240</f>
        <v>0</v>
      </c>
    </row>
    <row r="241" spans="3:15">
      <c r="C241">
        <f>35.0</f>
        <v>0</v>
      </c>
      <c r="D241">
        <f>15.0</f>
        <v>0</v>
      </c>
      <c r="E241">
        <f>E201*-8.9475</f>
        <v>0</v>
      </c>
      <c r="F241">
        <f>F201*-76.724</f>
        <v>0</v>
      </c>
      <c r="G241">
        <f>G201*-10.839500000000001</f>
        <v>0</v>
      </c>
      <c r="H241">
        <f>H201*0.0</f>
        <v>0</v>
      </c>
      <c r="I241">
        <f>I201*-2.0055</f>
        <v>0</v>
      </c>
      <c r="J241">
        <f>J201*-24.192999999999998</f>
        <v>0</v>
      </c>
      <c r="K241">
        <f>K201*18.144999999999996</f>
        <v>0</v>
      </c>
      <c r="L241">
        <f>L201*36.864000000000004</f>
        <v>0</v>
      </c>
      <c r="M241">
        <f>M201*-134.577</f>
        <v>0</v>
      </c>
      <c r="N241">
        <f>E241+F241+G241+H241+I241+J241+K241+L241</f>
        <v>0</v>
      </c>
      <c r="O241">
        <f>E241+F241+G241+H241+I241+J241+K241+M241</f>
        <v>0</v>
      </c>
    </row>
    <row r="242" spans="3:15">
      <c r="C242">
        <f>35.91</f>
        <v>0</v>
      </c>
      <c r="D242">
        <f>15.91</f>
        <v>0</v>
      </c>
      <c r="E242">
        <f>E201*-22.1655</f>
        <v>0</v>
      </c>
      <c r="F242">
        <f>F201*-84.958</f>
        <v>0</v>
      </c>
      <c r="G242">
        <f>G201*-11.1525</f>
        <v>0</v>
      </c>
      <c r="H242">
        <f>H201*0.0</f>
        <v>0</v>
      </c>
      <c r="I242">
        <f>I201*-3.8185</f>
        <v>0</v>
      </c>
      <c r="J242">
        <f>J201*-150.899</f>
        <v>0</v>
      </c>
      <c r="K242">
        <f>K201*113.174</f>
        <v>0</v>
      </c>
      <c r="L242">
        <f>L201*17.186</f>
        <v>0</v>
      </c>
      <c r="M242">
        <f>M201*-122.15299999999999</f>
        <v>0</v>
      </c>
      <c r="N242">
        <f>E242+F242+G242+H242+I242+J242+K242+L242</f>
        <v>0</v>
      </c>
      <c r="O242">
        <f>E242+F242+G242+H242+I242+J242+K242+M242</f>
        <v>0</v>
      </c>
    </row>
    <row r="243" spans="3:15">
      <c r="C243">
        <f>36.82</f>
        <v>0</v>
      </c>
      <c r="D243">
        <f>16.82</f>
        <v>0</v>
      </c>
      <c r="E243">
        <f>E201*-15.86</f>
        <v>0</v>
      </c>
      <c r="F243">
        <f>F201*-89.011</f>
        <v>0</v>
      </c>
      <c r="G243">
        <f>G201*-12.2365</f>
        <v>0</v>
      </c>
      <c r="H243">
        <f>H201*0.0</f>
        <v>0</v>
      </c>
      <c r="I243">
        <f>I201*0.6355</f>
        <v>0</v>
      </c>
      <c r="J243">
        <f>J201*-46.3825</f>
        <v>0</v>
      </c>
      <c r="K243">
        <f>K201*34.787</f>
        <v>0</v>
      </c>
      <c r="L243">
        <f>L201*7.3805</f>
        <v>0</v>
      </c>
      <c r="M243">
        <f>M201*-123.5745</f>
        <v>0</v>
      </c>
      <c r="N243">
        <f>E243+F243+G243+H243+I243+J243+K243+L243</f>
        <v>0</v>
      </c>
      <c r="O243">
        <f>E243+F243+G243+H243+I243+J243+K243+M243</f>
        <v>0</v>
      </c>
    </row>
    <row r="244" spans="3:15">
      <c r="C244">
        <f>37.73</f>
        <v>0</v>
      </c>
      <c r="D244">
        <f>17.73</f>
        <v>0</v>
      </c>
      <c r="E244">
        <f>E201*-10.2625</f>
        <v>0</v>
      </c>
      <c r="F244">
        <f>F201*-83.017</f>
        <v>0</v>
      </c>
      <c r="G244">
        <f>G201*-11.8615</f>
        <v>0</v>
      </c>
      <c r="H244">
        <f>H201*0.0</f>
        <v>0</v>
      </c>
      <c r="I244">
        <f>I201*6.2509999999999994</f>
        <v>0</v>
      </c>
      <c r="J244">
        <f>J201*58.5895</f>
        <v>0</v>
      </c>
      <c r="K244">
        <f>K201*-43.942</f>
        <v>0</v>
      </c>
      <c r="L244">
        <f>L201*12.215500000000002</f>
        <v>0</v>
      </c>
      <c r="M244">
        <f>M201*-118.627</f>
        <v>0</v>
      </c>
      <c r="N244">
        <f>E244+F244+G244+H244+I244+J244+K244+L244</f>
        <v>0</v>
      </c>
      <c r="O244">
        <f>E244+F244+G244+H244+I244+J244+K244+M244</f>
        <v>0</v>
      </c>
    </row>
    <row r="245" spans="3:15">
      <c r="C245">
        <f>38.64</f>
        <v>0</v>
      </c>
      <c r="D245">
        <f>18.64</f>
        <v>0</v>
      </c>
      <c r="E245">
        <f>E201*-2.4735</f>
        <v>0</v>
      </c>
      <c r="F245">
        <f>F201*-60.0685</f>
        <v>0</v>
      </c>
      <c r="G245">
        <f>G201*-9.134</f>
        <v>0</v>
      </c>
      <c r="H245">
        <f>H201*0.0</f>
        <v>0</v>
      </c>
      <c r="I245">
        <f>I201*11.111</f>
        <v>0</v>
      </c>
      <c r="J245">
        <f>J201*217.11399999999998</f>
        <v>0</v>
      </c>
      <c r="K245">
        <f>K201*-162.8355</f>
        <v>0</v>
      </c>
      <c r="L245">
        <f>L201*25.029000000000003</f>
        <v>0</v>
      </c>
      <c r="M245">
        <f>M201*-96.032</f>
        <v>0</v>
      </c>
      <c r="N245">
        <f>E245+F245+G245+H245+I245+J245+K245+L245</f>
        <v>0</v>
      </c>
      <c r="O245">
        <f>E245+F245+G245+H245+I245+J245+K245+M245</f>
        <v>0</v>
      </c>
    </row>
    <row r="246" spans="3:15">
      <c r="C246">
        <f>39.55</f>
        <v>0</v>
      </c>
      <c r="D246">
        <f>19.55</f>
        <v>0</v>
      </c>
      <c r="E246">
        <f>E201*0.19650000000000034</f>
        <v>0</v>
      </c>
      <c r="F246">
        <f>F201*-30.488999999999997</f>
        <v>0</v>
      </c>
      <c r="G246">
        <f>G201*-4.792</f>
        <v>0</v>
      </c>
      <c r="H246">
        <f>H201*0.0</f>
        <v>0</v>
      </c>
      <c r="I246">
        <f>I201*6.8774999999999995</f>
        <v>0</v>
      </c>
      <c r="J246">
        <f>J201*155.2335</f>
        <v>0</v>
      </c>
      <c r="K246">
        <f>K201*-116.425</f>
        <v>0</v>
      </c>
      <c r="L246">
        <f>L201*25.228499999999997</f>
        <v>0</v>
      </c>
      <c r="M246">
        <f>M201*-57.248999999999995</f>
        <v>0</v>
      </c>
      <c r="N246">
        <f>E246+F246+G246+H246+I246+J246+K246+L246</f>
        <v>0</v>
      </c>
      <c r="O246">
        <f>E246+F246+G246+H246+I246+J246+K246+M246</f>
        <v>0</v>
      </c>
    </row>
    <row r="247" spans="3:15">
      <c r="C247">
        <f>40.0</f>
        <v>0</v>
      </c>
      <c r="D247">
        <f>20.0</f>
        <v>0</v>
      </c>
      <c r="E247">
        <f>E201*-5.819</f>
        <v>0</v>
      </c>
      <c r="F247">
        <f>F201*-32.556999999999995</f>
        <v>0</v>
      </c>
      <c r="G247">
        <f>G201*-4.453</f>
        <v>0</v>
      </c>
      <c r="H247">
        <f>H201*0.0</f>
        <v>0</v>
      </c>
      <c r="I247">
        <f>I201*0.604</f>
        <v>0</v>
      </c>
      <c r="J247">
        <f>J201*-83.514</f>
        <v>0</v>
      </c>
      <c r="K247">
        <f>K201*62.636</f>
        <v>0</v>
      </c>
      <c r="L247">
        <f>L201*10.712</f>
        <v>0</v>
      </c>
      <c r="M247">
        <f>M201*-42.968</f>
        <v>0</v>
      </c>
      <c r="N247">
        <f>E247+F247+G247+H247+I247+J247+K247+L247</f>
        <v>0</v>
      </c>
      <c r="O247">
        <f>E247+F247+G247+H247+I247+J247+K247+M247</f>
        <v>0</v>
      </c>
    </row>
    <row r="248" spans="3:15">
      <c r="C248">
        <f>40.0</f>
        <v>0</v>
      </c>
      <c r="D248">
        <f>0.0</f>
        <v>0</v>
      </c>
      <c r="E248">
        <f>E201*4.591</f>
        <v>0</v>
      </c>
      <c r="F248">
        <f>F201*16.857</f>
        <v>0</v>
      </c>
      <c r="G248">
        <f>G201*2.19</f>
        <v>0</v>
      </c>
      <c r="H248">
        <f>H201*0.0</f>
        <v>0</v>
      </c>
      <c r="I248">
        <f>I201*1.8459999999999999</f>
        <v>0</v>
      </c>
      <c r="J248">
        <f>J201*78.48899999999999</f>
        <v>0</v>
      </c>
      <c r="K248">
        <f>K201*-58.867</f>
        <v>0</v>
      </c>
      <c r="L248">
        <f>L201*24.879</f>
        <v>0</v>
      </c>
      <c r="M248">
        <f>M201*-6.7170000000000005</f>
        <v>0</v>
      </c>
      <c r="N248">
        <f>E248+F248+G248+H248+I248+J248+K248+L248</f>
        <v>0</v>
      </c>
      <c r="O248">
        <f>E248+F248+G248+H248+I248+J248+K248+M248</f>
        <v>0</v>
      </c>
    </row>
    <row r="249" spans="3:15">
      <c r="C249">
        <f>40.45</f>
        <v>0</v>
      </c>
      <c r="D249">
        <f>0.45</f>
        <v>0</v>
      </c>
      <c r="E249">
        <f>E201*-1.9869999999999997</f>
        <v>0</v>
      </c>
      <c r="F249">
        <f>F201*0.4295</f>
        <v>0</v>
      </c>
      <c r="G249">
        <f>G201*0.4275</f>
        <v>0</v>
      </c>
      <c r="H249">
        <f>H201*0.0</f>
        <v>0</v>
      </c>
      <c r="I249">
        <f>I201*-0.23299999999999998</f>
        <v>0</v>
      </c>
      <c r="J249">
        <f>J201*-173.6535</f>
        <v>0</v>
      </c>
      <c r="K249">
        <f>K201*130.23999999999998</f>
        <v>0</v>
      </c>
      <c r="L249">
        <f>L201*32.7725</f>
        <v>0</v>
      </c>
      <c r="M249">
        <f>M201*-27.3155</f>
        <v>0</v>
      </c>
      <c r="N249">
        <f>E249+F249+G249+H249+I249+J249+K249+L249</f>
        <v>0</v>
      </c>
      <c r="O249">
        <f>E249+F249+G249+H249+I249+J249+K249+M249</f>
        <v>0</v>
      </c>
    </row>
    <row r="250" spans="3:15">
      <c r="C250">
        <f>41.36</f>
        <v>0</v>
      </c>
      <c r="D250">
        <f>1.36</f>
        <v>0</v>
      </c>
      <c r="E250">
        <f>E201*-0.883</f>
        <v>0</v>
      </c>
      <c r="F250">
        <f>F201*2.58</f>
        <v>0</v>
      </c>
      <c r="G250">
        <f>G201*0.7719999999999999</f>
        <v>0</v>
      </c>
      <c r="H250">
        <f>H201*0.0</f>
        <v>0</v>
      </c>
      <c r="I250">
        <f>I201*6.25</f>
        <v>0</v>
      </c>
      <c r="J250">
        <f>J201*-260.27299999999997</f>
        <v>0</v>
      </c>
      <c r="K250">
        <f>K201*195.205</f>
        <v>0</v>
      </c>
      <c r="L250">
        <f>L201*44.3545</f>
        <v>0</v>
      </c>
      <c r="M250">
        <f>M201*-28.947499999999998</f>
        <v>0</v>
      </c>
      <c r="N250">
        <f>E250+F250+G250+H250+I250+J250+K250+L250</f>
        <v>0</v>
      </c>
      <c r="O250">
        <f>E250+F250+G250+H250+I250+J250+K250+M250</f>
        <v>0</v>
      </c>
    </row>
    <row r="251" spans="3:15">
      <c r="C251">
        <f>42.27</f>
        <v>0</v>
      </c>
      <c r="D251">
        <f>2.27</f>
        <v>0</v>
      </c>
      <c r="E251">
        <f>E201*5.5875</f>
        <v>0</v>
      </c>
      <c r="F251">
        <f>F201*15.766</f>
        <v>0</v>
      </c>
      <c r="G251">
        <f>G201*2.1109999999999998</f>
        <v>0</v>
      </c>
      <c r="H251">
        <f>H201*0.0</f>
        <v>0</v>
      </c>
      <c r="I251">
        <f>I201*19.48</f>
        <v>0</v>
      </c>
      <c r="J251">
        <f>J201*-107.3425</f>
        <v>0</v>
      </c>
      <c r="K251">
        <f>K201*80.5065</f>
        <v>0</v>
      </c>
      <c r="L251">
        <f>L201*48.383</f>
        <v>0</v>
      </c>
      <c r="M251">
        <f>M201*-13.3955</f>
        <v>0</v>
      </c>
      <c r="N251">
        <f>E251+F251+G251+H251+I251+J251+K251+L251</f>
        <v>0</v>
      </c>
      <c r="O251">
        <f>E251+F251+G251+H251+I251+J251+K251+M251</f>
        <v>0</v>
      </c>
    </row>
    <row r="252" spans="3:15">
      <c r="C252">
        <f>43.18</f>
        <v>0</v>
      </c>
      <c r="D252">
        <f>3.18</f>
        <v>0</v>
      </c>
      <c r="E252">
        <f>E201*9.608</f>
        <v>0</v>
      </c>
      <c r="F252">
        <f>F201*18.562</f>
        <v>0</v>
      </c>
      <c r="G252">
        <f>G201*2.0925000000000002</f>
        <v>0</v>
      </c>
      <c r="H252">
        <f>H201*0.0</f>
        <v>0</v>
      </c>
      <c r="I252">
        <f>I201*33.3705</f>
        <v>0</v>
      </c>
      <c r="J252">
        <f>J201*4.583500000000003</f>
        <v>0</v>
      </c>
      <c r="K252">
        <f>K201*-3.4375</f>
        <v>0</v>
      </c>
      <c r="L252">
        <f>L201*47.1395</f>
        <v>0</v>
      </c>
      <c r="M252">
        <f>M201*-16.555</f>
        <v>0</v>
      </c>
      <c r="N252">
        <f>E252+F252+G252+H252+I252+J252+K252+L252</f>
        <v>0</v>
      </c>
      <c r="O252">
        <f>E252+F252+G252+H252+I252+J252+K252+M252</f>
        <v>0</v>
      </c>
    </row>
    <row r="253" spans="3:15">
      <c r="C253">
        <f>44.09</f>
        <v>0</v>
      </c>
      <c r="D253">
        <f>4.09</f>
        <v>0</v>
      </c>
      <c r="E253">
        <f>E201*13.685</f>
        <v>0</v>
      </c>
      <c r="F253">
        <f>F201*14.868000000000002</f>
        <v>0</v>
      </c>
      <c r="G253">
        <f>G201*1.1824999999999999</f>
        <v>0</v>
      </c>
      <c r="H253">
        <f>H201*0.0</f>
        <v>0</v>
      </c>
      <c r="I253">
        <f>I201*46.2755</f>
        <v>0</v>
      </c>
      <c r="J253">
        <f>J201*129.936</f>
        <v>0</v>
      </c>
      <c r="K253">
        <f>K201*-97.4515</f>
        <v>0</v>
      </c>
      <c r="L253">
        <f>L201*48.002</f>
        <v>0</v>
      </c>
      <c r="M253">
        <f>M201*-35.87950000000001</f>
        <v>0</v>
      </c>
      <c r="N253">
        <f>E253+F253+G253+H253+I253+J253+K253+L253</f>
        <v>0</v>
      </c>
      <c r="O253">
        <f>E253+F253+G253+H253+I253+J253+K253+M253</f>
        <v>0</v>
      </c>
    </row>
    <row r="254" spans="3:15">
      <c r="C254">
        <f>45.0</f>
        <v>0</v>
      </c>
      <c r="D254">
        <f>5.0</f>
        <v>0</v>
      </c>
      <c r="E254">
        <f>E201*2.396000000000001</f>
        <v>0</v>
      </c>
      <c r="F254">
        <f>F201*6.2265</f>
        <v>0</v>
      </c>
      <c r="G254">
        <f>G201*0.688</f>
        <v>0</v>
      </c>
      <c r="H254">
        <f>H201*0.0</f>
        <v>0</v>
      </c>
      <c r="I254">
        <f>I201*6.691500000000001</f>
        <v>0</v>
      </c>
      <c r="J254">
        <f>J201*-33.0265</f>
        <v>0</v>
      </c>
      <c r="K254">
        <f>K201*24.769500000000008</f>
        <v>0</v>
      </c>
      <c r="L254">
        <f>L201*56.81700000000001</f>
        <v>0</v>
      </c>
      <c r="M254">
        <f>M201*-51.1045</f>
        <v>0</v>
      </c>
      <c r="N254">
        <f>E254+F254+G254+H254+I254+J254+K254+L254</f>
        <v>0</v>
      </c>
      <c r="O254">
        <f>E254+F254+G254+H254+I254+J254+K254+M254</f>
        <v>0</v>
      </c>
    </row>
    <row r="255" spans="3:15">
      <c r="C255">
        <f>46.0</f>
        <v>0</v>
      </c>
      <c r="D255">
        <f>6.0</f>
        <v>0</v>
      </c>
      <c r="E255">
        <f>E201*-9.132000000000001</f>
        <v>0</v>
      </c>
      <c r="F255">
        <f>F201*-4.605</f>
        <v>0</v>
      </c>
      <c r="G255">
        <f>G201*-0.10099999999999995</f>
        <v>0</v>
      </c>
      <c r="H255">
        <f>H201*0.0</f>
        <v>0</v>
      </c>
      <c r="I255">
        <f>I201*-33.6055</f>
        <v>0</v>
      </c>
      <c r="J255">
        <f>J201*-185.638</f>
        <v>0</v>
      </c>
      <c r="K255">
        <f>K201*139.2285</f>
        <v>0</v>
      </c>
      <c r="L255">
        <f>L201*32.5055</f>
        <v>0</v>
      </c>
      <c r="M255">
        <f>M201*-35.902</f>
        <v>0</v>
      </c>
      <c r="N255">
        <f>E255+F255+G255+H255+I255+J255+K255+L255</f>
        <v>0</v>
      </c>
      <c r="O255">
        <f>E255+F255+G255+H255+I255+J255+K255+M255</f>
        <v>0</v>
      </c>
    </row>
    <row r="256" spans="3:15">
      <c r="C256">
        <f>47.0</f>
        <v>0</v>
      </c>
      <c r="D256">
        <f>7.0</f>
        <v>0</v>
      </c>
      <c r="E256">
        <f>E201*-6.4399999999999995</f>
        <v>0</v>
      </c>
      <c r="F256">
        <f>F201*-14.075</f>
        <v>0</v>
      </c>
      <c r="G256">
        <f>G201*-1.7395</f>
        <v>0</v>
      </c>
      <c r="H256">
        <f>H201*0.0</f>
        <v>0</v>
      </c>
      <c r="I256">
        <f>I201*-24.313</f>
        <v>0</v>
      </c>
      <c r="J256">
        <f>J201*-48.084</f>
        <v>0</v>
      </c>
      <c r="K256">
        <f>K201*36.063</f>
        <v>0</v>
      </c>
      <c r="L256">
        <f>L201*14.313</f>
        <v>0</v>
      </c>
      <c r="M256">
        <f>M201*-40.707499999999996</f>
        <v>0</v>
      </c>
      <c r="N256">
        <f>E256+F256+G256+H256+I256+J256+K256+L256</f>
        <v>0</v>
      </c>
      <c r="O256">
        <f>E256+F256+G256+H256+I256+J256+K256+M256</f>
        <v>0</v>
      </c>
    </row>
    <row r="257" spans="3:15">
      <c r="C257">
        <f>48.0</f>
        <v>0</v>
      </c>
      <c r="D257">
        <f>8.0</f>
        <v>0</v>
      </c>
      <c r="E257">
        <f>E201*-5.0775</f>
        <v>0</v>
      </c>
      <c r="F257">
        <f>F201*-22.395</f>
        <v>0</v>
      </c>
      <c r="G257">
        <f>G201*-3.1295</f>
        <v>0</v>
      </c>
      <c r="H257">
        <f>H201*0.0</f>
        <v>0</v>
      </c>
      <c r="I257">
        <f>I201*-16.6805</f>
        <v>0</v>
      </c>
      <c r="J257">
        <f>J201*91.238</f>
        <v>0</v>
      </c>
      <c r="K257">
        <f>K201*-68.429</f>
        <v>0</v>
      </c>
      <c r="L257">
        <f>L201*8.2925</f>
        <v>0</v>
      </c>
      <c r="M257">
        <f>M201*-51.7785</f>
        <v>0</v>
      </c>
      <c r="N257">
        <f>E257+F257+G257+H257+I257+J257+K257+L257</f>
        <v>0</v>
      </c>
      <c r="O257">
        <f>E257+F257+G257+H257+I257+J257+K257+M257</f>
        <v>0</v>
      </c>
    </row>
    <row r="258" spans="3:15">
      <c r="C258">
        <f>49.0</f>
        <v>0</v>
      </c>
      <c r="D258">
        <f>9.0</f>
        <v>0</v>
      </c>
      <c r="E258">
        <f>E201*-2.513</f>
        <v>0</v>
      </c>
      <c r="F258">
        <f>F201*-29.151</f>
        <v>0</v>
      </c>
      <c r="G258">
        <f>G201*-4.25</f>
        <v>0</v>
      </c>
      <c r="H258">
        <f>H201*0.0</f>
        <v>0</v>
      </c>
      <c r="I258">
        <f>I201*-9.526</f>
        <v>0</v>
      </c>
      <c r="J258">
        <f>J201*324.84700000000004</f>
        <v>0</v>
      </c>
      <c r="K258">
        <f>K201*-243.63500000000002</f>
        <v>0</v>
      </c>
      <c r="L258">
        <f>L201*6.192</f>
        <v>0</v>
      </c>
      <c r="M258">
        <f>M201*-62.5545</f>
        <v>0</v>
      </c>
      <c r="N258">
        <f>E258+F258+G258+H258+I258+J258+K258+L258</f>
        <v>0</v>
      </c>
      <c r="O258">
        <f>E258+F258+G258+H258+I258+J258+K258+M258</f>
        <v>0</v>
      </c>
    </row>
    <row r="266" spans="3:15">
      <c r="C266" t="s">
        <v>0</v>
      </c>
      <c r="D266" t="s">
        <v>1</v>
      </c>
      <c r="E266" t="s">
        <v>2</v>
      </c>
      <c r="F266" t="s">
        <v>3</v>
      </c>
      <c r="G266" t="s">
        <v>4</v>
      </c>
      <c r="H266" t="s">
        <v>5</v>
      </c>
      <c r="I266" t="s">
        <v>6</v>
      </c>
      <c r="J266" t="s">
        <v>7</v>
      </c>
      <c r="K266" t="s">
        <v>8</v>
      </c>
      <c r="L266" t="s">
        <v>9</v>
      </c>
      <c r="M266" t="s">
        <v>10</v>
      </c>
      <c r="N266" t="s">
        <v>11</v>
      </c>
      <c r="O266" t="s">
        <v>12</v>
      </c>
    </row>
    <row r="267" spans="3:15">
      <c r="C267">
        <f>0.0</f>
        <v>0</v>
      </c>
      <c r="D267">
        <f>0.0</f>
        <v>0</v>
      </c>
      <c r="E267">
        <f>E265*-25.864</f>
        <v>0</v>
      </c>
      <c r="F267">
        <f>F265*0.095</f>
        <v>0</v>
      </c>
      <c r="G267">
        <f>G265*1.709</f>
        <v>0</v>
      </c>
      <c r="H267">
        <f>H265*0.0</f>
        <v>0</v>
      </c>
      <c r="I267">
        <f>I265*0.18</f>
        <v>0</v>
      </c>
      <c r="J267">
        <f>J265*469.337</f>
        <v>0</v>
      </c>
      <c r="K267">
        <f>K265*-352.00300000000004</f>
        <v>0</v>
      </c>
      <c r="L267">
        <f>L265*450.00800000000004</f>
        <v>0</v>
      </c>
      <c r="M267">
        <f>M265*-436.405</f>
        <v>0</v>
      </c>
      <c r="N267">
        <f>E267+F267+G267+H267+I267+J267+K267+L267</f>
        <v>0</v>
      </c>
      <c r="O267">
        <f>E267+F267+G267+H267+I267+J267+K267+M267</f>
        <v>0</v>
      </c>
    </row>
    <row r="268" spans="3:15">
      <c r="C268">
        <f>1.0</f>
        <v>0</v>
      </c>
      <c r="D268">
        <f>1.0</f>
        <v>0</v>
      </c>
      <c r="E268">
        <f>E265*-25.0935</f>
        <v>0</v>
      </c>
      <c r="F268">
        <f>F265*-8.5195</f>
        <v>0</v>
      </c>
      <c r="G268">
        <f>G265*0.3380000000000001</f>
        <v>0</v>
      </c>
      <c r="H268">
        <f>H265*0.0</f>
        <v>0</v>
      </c>
      <c r="I268">
        <f>I265*0.17099999999999999</f>
        <v>0</v>
      </c>
      <c r="J268">
        <f>J265*344.54650000000004</f>
        <v>0</v>
      </c>
      <c r="K268">
        <f>K265*-258.41</f>
        <v>0</v>
      </c>
      <c r="L268">
        <f>L265*425.662</f>
        <v>0</v>
      </c>
      <c r="M268">
        <f>M265*-426.00600000000003</f>
        <v>0</v>
      </c>
      <c r="N268">
        <f>E268+F268+G268+H268+I268+J268+K268+L268</f>
        <v>0</v>
      </c>
      <c r="O268">
        <f>E268+F268+G268+H268+I268+J268+K268+M268</f>
        <v>0</v>
      </c>
    </row>
    <row r="269" spans="3:15">
      <c r="C269">
        <f>2.0</f>
        <v>0</v>
      </c>
      <c r="D269">
        <f>2.0</f>
        <v>0</v>
      </c>
      <c r="E269">
        <f>E265*-23.007</f>
        <v>0</v>
      </c>
      <c r="F269">
        <f>F265*-21.912499999999998</f>
        <v>0</v>
      </c>
      <c r="G269">
        <f>G265*-1.8399999999999999</f>
        <v>0</v>
      </c>
      <c r="H269">
        <f>H265*0.0</f>
        <v>0</v>
      </c>
      <c r="I269">
        <f>I265*0.1605</f>
        <v>0</v>
      </c>
      <c r="J269">
        <f>J265*168.16649999999998</f>
        <v>0</v>
      </c>
      <c r="K269">
        <f>K265*-126.125</f>
        <v>0</v>
      </c>
      <c r="L269">
        <f>L265*392.8905</f>
        <v>0</v>
      </c>
      <c r="M269">
        <f>M265*-417.515</f>
        <v>0</v>
      </c>
      <c r="N269">
        <f>E269+F269+G269+H269+I269+J269+K269+L269</f>
        <v>0</v>
      </c>
      <c r="O269">
        <f>E269+F269+G269+H269+I269+J269+K269+M269</f>
        <v>0</v>
      </c>
    </row>
    <row r="270" spans="3:15">
      <c r="C270">
        <f>3.0</f>
        <v>0</v>
      </c>
      <c r="D270">
        <f>3.0</f>
        <v>0</v>
      </c>
      <c r="E270">
        <f>E265*-18.951500000000003</f>
        <v>0</v>
      </c>
      <c r="F270">
        <f>F265*-37.724999999999994</f>
        <v>0</v>
      </c>
      <c r="G270">
        <f>G265*-4.4655000000000005</f>
        <v>0</v>
      </c>
      <c r="H270">
        <f>H265*0.0</f>
        <v>0</v>
      </c>
      <c r="I270">
        <f>I265*0.152</f>
        <v>0</v>
      </c>
      <c r="J270">
        <f>J265*99.28649999999999</f>
        <v>0</v>
      </c>
      <c r="K270">
        <f>K265*-74.465</f>
        <v>0</v>
      </c>
      <c r="L270">
        <f>L265*366.995</f>
        <v>0</v>
      </c>
      <c r="M270">
        <f>M265*-419.40700000000004</f>
        <v>0</v>
      </c>
      <c r="N270">
        <f>E270+F270+G270+H270+I270+J270+K270+L270</f>
        <v>0</v>
      </c>
      <c r="O270">
        <f>E270+F270+G270+H270+I270+J270+K270+M270</f>
        <v>0</v>
      </c>
    </row>
    <row r="271" spans="3:15">
      <c r="C271">
        <f>4.0</f>
        <v>0</v>
      </c>
      <c r="D271">
        <f>4.0</f>
        <v>0</v>
      </c>
      <c r="E271">
        <f>E265*-13.3595</f>
        <v>0</v>
      </c>
      <c r="F271">
        <f>F265*-58.442499999999995</f>
        <v>0</v>
      </c>
      <c r="G271">
        <f>G265*-7.881</f>
        <v>0</v>
      </c>
      <c r="H271">
        <f>H265*0.0</f>
        <v>0</v>
      </c>
      <c r="I271">
        <f>I265*0.14300000000000002</f>
        <v>0</v>
      </c>
      <c r="J271">
        <f>J265*112.649</f>
        <v>0</v>
      </c>
      <c r="K271">
        <f>K265*-84.487</f>
        <v>0</v>
      </c>
      <c r="L271">
        <f>L265*345.857</f>
        <v>0</v>
      </c>
      <c r="M271">
        <f>M265*-429.57899999999995</f>
        <v>0</v>
      </c>
      <c r="N271">
        <f>E271+F271+G271+H271+I271+J271+K271+L271</f>
        <v>0</v>
      </c>
      <c r="O271">
        <f>E271+F271+G271+H271+I271+J271+K271+M271</f>
        <v>0</v>
      </c>
    </row>
    <row r="272" spans="3:15">
      <c r="C272">
        <f>5.0</f>
        <v>0</v>
      </c>
      <c r="D272">
        <f>5.0</f>
        <v>0</v>
      </c>
      <c r="E272">
        <f>E265*-8.6825</f>
        <v>0</v>
      </c>
      <c r="F272">
        <f>F265*-68.54599999999999</f>
        <v>0</v>
      </c>
      <c r="G272">
        <f>G265*-9.658999999999999</f>
        <v>0</v>
      </c>
      <c r="H272">
        <f>H265*0.0</f>
        <v>0</v>
      </c>
      <c r="I272">
        <f>I265*0.1345</f>
        <v>0</v>
      </c>
      <c r="J272">
        <f>J265*125.064</f>
        <v>0</v>
      </c>
      <c r="K272">
        <f>K265*-93.798</f>
        <v>0</v>
      </c>
      <c r="L272">
        <f>L265*330.33</f>
        <v>0</v>
      </c>
      <c r="M272">
        <f>M265*-429.328</f>
        <v>0</v>
      </c>
      <c r="N272">
        <f>E272+F272+G272+H272+I272+J272+K272+L272</f>
        <v>0</v>
      </c>
      <c r="O272">
        <f>E272+F272+G272+H272+I272+J272+K272+M272</f>
        <v>0</v>
      </c>
    </row>
    <row r="273" spans="3:15">
      <c r="C273">
        <f>6.0</f>
        <v>0</v>
      </c>
      <c r="D273">
        <f>6.0</f>
        <v>0</v>
      </c>
      <c r="E273">
        <f>E265*-7.434000000000001</f>
        <v>0</v>
      </c>
      <c r="F273">
        <f>F265*-68.5185</f>
        <v>0</v>
      </c>
      <c r="G273">
        <f>G265*-9.726500000000001</f>
        <v>0</v>
      </c>
      <c r="H273">
        <f>H265*0.0</f>
        <v>0</v>
      </c>
      <c r="I273">
        <f>I265*0.1265</f>
        <v>0</v>
      </c>
      <c r="J273">
        <f>J265*86.4545</f>
        <v>0</v>
      </c>
      <c r="K273">
        <f>K265*-64.84049999999999</f>
        <v>0</v>
      </c>
      <c r="L273">
        <f>L265*315.09749999999997</f>
        <v>0</v>
      </c>
      <c r="M273">
        <f>M265*-414.86650000000003</f>
        <v>0</v>
      </c>
      <c r="N273">
        <f>E273+F273+G273+H273+I273+J273+K273+L273</f>
        <v>0</v>
      </c>
      <c r="O273">
        <f>E273+F273+G273+H273+I273+J273+K273+M273</f>
        <v>0</v>
      </c>
    </row>
    <row r="274" spans="3:15">
      <c r="C274">
        <f>7.0</f>
        <v>0</v>
      </c>
      <c r="D274">
        <f>7.0</f>
        <v>0</v>
      </c>
      <c r="E274">
        <f>E265*-8.225999999999999</f>
        <v>0</v>
      </c>
      <c r="F274">
        <f>F265*-72.9045</f>
        <v>0</v>
      </c>
      <c r="G274">
        <f>G265*-10.328</f>
        <v>0</v>
      </c>
      <c r="H274">
        <f>H265*0.0</f>
        <v>0</v>
      </c>
      <c r="I274">
        <f>I265*0.11850000000000001</f>
        <v>0</v>
      </c>
      <c r="J274">
        <f>J265*30.4515</f>
        <v>0</v>
      </c>
      <c r="K274">
        <f>K265*-22.8385</f>
        <v>0</v>
      </c>
      <c r="L274">
        <f>L265*297.8895</f>
        <v>0</v>
      </c>
      <c r="M274">
        <f>M265*-400.15549999999996</f>
        <v>0</v>
      </c>
      <c r="N274">
        <f>E274+F274+G274+H274+I274+J274+K274+L274</f>
        <v>0</v>
      </c>
      <c r="O274">
        <f>E274+F274+G274+H274+I274+J274+K274+M274</f>
        <v>0</v>
      </c>
    </row>
    <row r="275" spans="3:15">
      <c r="C275">
        <f>8.0</f>
        <v>0</v>
      </c>
      <c r="D275">
        <f>8.0</f>
        <v>0</v>
      </c>
      <c r="E275">
        <f>E265*-6.3055</f>
        <v>0</v>
      </c>
      <c r="F275">
        <f>F265*-78.59049999999999</f>
        <v>0</v>
      </c>
      <c r="G275">
        <f>G265*-11.273</f>
        <v>0</v>
      </c>
      <c r="H275">
        <f>H265*0.0</f>
        <v>0</v>
      </c>
      <c r="I275">
        <f>I265*0.111</f>
        <v>0</v>
      </c>
      <c r="J275">
        <f>J265*15.957</f>
        <v>0</v>
      </c>
      <c r="K275">
        <f>K265*-11.967500000000001</f>
        <v>0</v>
      </c>
      <c r="L275">
        <f>L265*280.886</f>
        <v>0</v>
      </c>
      <c r="M275">
        <f>M265*-388.9</f>
        <v>0</v>
      </c>
      <c r="N275">
        <f>E275+F275+G275+H275+I275+J275+K275+L275</f>
        <v>0</v>
      </c>
      <c r="O275">
        <f>E275+F275+G275+H275+I275+J275+K275+M275</f>
        <v>0</v>
      </c>
    </row>
    <row r="276" spans="3:15">
      <c r="C276">
        <f>9.0</f>
        <v>0</v>
      </c>
      <c r="D276">
        <f>9.0</f>
        <v>0</v>
      </c>
      <c r="E276">
        <f>E265*-1.2495</f>
        <v>0</v>
      </c>
      <c r="F276">
        <f>F265*-84.9995</f>
        <v>0</v>
      </c>
      <c r="G276">
        <f>G265*-12.503</f>
        <v>0</v>
      </c>
      <c r="H276">
        <f>H265*0.0</f>
        <v>0</v>
      </c>
      <c r="I276">
        <f>I265*0.10250000000000001</f>
        <v>0</v>
      </c>
      <c r="J276">
        <f>J265*38.944500000000005</f>
        <v>0</v>
      </c>
      <c r="K276">
        <f>K265*-29.209000000000003</f>
        <v>0</v>
      </c>
      <c r="L276">
        <f>L265*261.9315</f>
        <v>0</v>
      </c>
      <c r="M276">
        <f>M265*-381.6835</f>
        <v>0</v>
      </c>
      <c r="N276">
        <f>E276+F276+G276+H276+I276+J276+K276+L276</f>
        <v>0</v>
      </c>
      <c r="O276">
        <f>E276+F276+G276+H276+I276+J276+K276+M276</f>
        <v>0</v>
      </c>
    </row>
    <row r="277" spans="3:15">
      <c r="C277">
        <f>10.0</f>
        <v>0</v>
      </c>
      <c r="D277">
        <f>10.0</f>
        <v>0</v>
      </c>
      <c r="E277">
        <f>E265*1.5179999999999998</f>
        <v>0</v>
      </c>
      <c r="F277">
        <f>F265*-91.2705</f>
        <v>0</v>
      </c>
      <c r="G277">
        <f>G265*-13.575499999999998</f>
        <v>0</v>
      </c>
      <c r="H277">
        <f>H265*0.0</f>
        <v>0</v>
      </c>
      <c r="I277">
        <f>I265*0.094</f>
        <v>0</v>
      </c>
      <c r="J277">
        <f>J265*53.2645</f>
        <v>0</v>
      </c>
      <c r="K277">
        <f>K265*-39.949</f>
        <v>0</v>
      </c>
      <c r="L277">
        <f>L265*242.47050000000002</f>
        <v>0</v>
      </c>
      <c r="M277">
        <f>M265*-370.315</f>
        <v>0</v>
      </c>
      <c r="N277">
        <f>E277+F277+G277+H277+I277+J277+K277+L277</f>
        <v>0</v>
      </c>
      <c r="O277">
        <f>E277+F277+G277+H277+I277+J277+K277+M277</f>
        <v>0</v>
      </c>
    </row>
    <row r="278" spans="3:15">
      <c r="C278">
        <f>11.0</f>
        <v>0</v>
      </c>
      <c r="D278">
        <f>11.0</f>
        <v>0</v>
      </c>
      <c r="E278">
        <f>E265*-0.932</f>
        <v>0</v>
      </c>
      <c r="F278">
        <f>F265*-93.2575</f>
        <v>0</v>
      </c>
      <c r="G278">
        <f>G265*-13.690000000000001</f>
        <v>0</v>
      </c>
      <c r="H278">
        <f>H265*0.0</f>
        <v>0</v>
      </c>
      <c r="I278">
        <f>I265*0.08499999999999999</f>
        <v>0</v>
      </c>
      <c r="J278">
        <f>J265*31.220000000000002</f>
        <v>0</v>
      </c>
      <c r="K278">
        <f>K265*-23.415</f>
        <v>0</v>
      </c>
      <c r="L278">
        <f>L265*219.23649999999998</f>
        <v>0</v>
      </c>
      <c r="M278">
        <f>M265*-343.56949999999995</f>
        <v>0</v>
      </c>
      <c r="N278">
        <f>E278+F278+G278+H278+I278+J278+K278+L278</f>
        <v>0</v>
      </c>
      <c r="O278">
        <f>E278+F278+G278+H278+I278+J278+K278+M278</f>
        <v>0</v>
      </c>
    </row>
    <row r="279" spans="3:15">
      <c r="C279">
        <f>12.0</f>
        <v>0</v>
      </c>
      <c r="D279">
        <f>12.0</f>
        <v>0</v>
      </c>
      <c r="E279">
        <f>E265*-5.481</f>
        <v>0</v>
      </c>
      <c r="F279">
        <f>F265*-95.846</f>
        <v>0</v>
      </c>
      <c r="G279">
        <f>G265*-13.774000000000001</f>
        <v>0</v>
      </c>
      <c r="H279">
        <f>H265*0.0</f>
        <v>0</v>
      </c>
      <c r="I279">
        <f>I265*0.07600000000000001</f>
        <v>0</v>
      </c>
      <c r="J279">
        <f>J265*-2.6045</f>
        <v>0</v>
      </c>
      <c r="K279">
        <f>K265*1.9535000000000002</f>
        <v>0</v>
      </c>
      <c r="L279">
        <f>L265*192.1685</f>
        <v>0</v>
      </c>
      <c r="M279">
        <f>M265*-314.879</f>
        <v>0</v>
      </c>
      <c r="N279">
        <f>E279+F279+G279+H279+I279+J279+K279+L279</f>
        <v>0</v>
      </c>
      <c r="O279">
        <f>E279+F279+G279+H279+I279+J279+K279+M279</f>
        <v>0</v>
      </c>
    </row>
    <row r="280" spans="3:15">
      <c r="C280">
        <f>13.0</f>
        <v>0</v>
      </c>
      <c r="D280">
        <f>13.0</f>
        <v>0</v>
      </c>
      <c r="E280">
        <f>E265*-6.172499999999999</f>
        <v>0</v>
      </c>
      <c r="F280">
        <f>F265*-96.5545</f>
        <v>0</v>
      </c>
      <c r="G280">
        <f>G265*-13.818</f>
        <v>0</v>
      </c>
      <c r="H280">
        <f>H265*0.0</f>
        <v>0</v>
      </c>
      <c r="I280">
        <f>I265*0.0675</f>
        <v>0</v>
      </c>
      <c r="J280">
        <f>J265*-5.535500000000001</f>
        <v>0</v>
      </c>
      <c r="K280">
        <f>K265*4.152</f>
        <v>0</v>
      </c>
      <c r="L280">
        <f>L265*167.33499999999998</f>
        <v>0</v>
      </c>
      <c r="M280">
        <f>M265*-290.44</f>
        <v>0</v>
      </c>
      <c r="N280">
        <f>E280+F280+G280+H280+I280+J280+K280+L280</f>
        <v>0</v>
      </c>
      <c r="O280">
        <f>E280+F280+G280+H280+I280+J280+K280+M280</f>
        <v>0</v>
      </c>
    </row>
    <row r="281" spans="3:15">
      <c r="C281">
        <f>14.0</f>
        <v>0</v>
      </c>
      <c r="D281">
        <f>14.0</f>
        <v>0</v>
      </c>
      <c r="E281">
        <f>E265*-3.2005</f>
        <v>0</v>
      </c>
      <c r="F281">
        <f>F265*-95.99449999999999</f>
        <v>0</v>
      </c>
      <c r="G281">
        <f>G265*-13.907499999999999</f>
        <v>0</v>
      </c>
      <c r="H281">
        <f>H265*0.0</f>
        <v>0</v>
      </c>
      <c r="I281">
        <f>I265*0.056999999999999995</f>
        <v>0</v>
      </c>
      <c r="J281">
        <f>J265*23.8965</f>
        <v>0</v>
      </c>
      <c r="K281">
        <f>K265*-17.9225</f>
        <v>0</v>
      </c>
      <c r="L281">
        <f>L265*145.727</f>
        <v>0</v>
      </c>
      <c r="M281">
        <f>M265*-271.7525</f>
        <v>0</v>
      </c>
      <c r="N281">
        <f>E281+F281+G281+H281+I281+J281+K281+L281</f>
        <v>0</v>
      </c>
      <c r="O281">
        <f>E281+F281+G281+H281+I281+J281+K281+M281</f>
        <v>0</v>
      </c>
    </row>
    <row r="282" spans="3:15">
      <c r="C282">
        <f>15.0</f>
        <v>0</v>
      </c>
      <c r="D282">
        <f>15.0</f>
        <v>0</v>
      </c>
      <c r="E282">
        <f>E265*-2.2865</f>
        <v>0</v>
      </c>
      <c r="F282">
        <f>F265*-101.9565</f>
        <v>0</v>
      </c>
      <c r="G282">
        <f>G265*-14.8325</f>
        <v>0</v>
      </c>
      <c r="H282">
        <f>H265*0.0</f>
        <v>0</v>
      </c>
      <c r="I282">
        <f>I265*0.0465</f>
        <v>0</v>
      </c>
      <c r="J282">
        <f>J265*38.80800000000001</f>
        <v>0</v>
      </c>
      <c r="K282">
        <f>K265*-29.1065</f>
        <v>0</v>
      </c>
      <c r="L282">
        <f>L265*120.64000000000001</f>
        <v>0</v>
      </c>
      <c r="M282">
        <f>M265*-255.3765</f>
        <v>0</v>
      </c>
      <c r="N282">
        <f>E282+F282+G282+H282+I282+J282+K282+L282</f>
        <v>0</v>
      </c>
      <c r="O282">
        <f>E282+F282+G282+H282+I282+J282+K282+M282</f>
        <v>0</v>
      </c>
    </row>
    <row r="283" spans="3:15">
      <c r="C283">
        <f>15.91</f>
        <v>0</v>
      </c>
      <c r="D283">
        <f>15.91</f>
        <v>0</v>
      </c>
      <c r="E283">
        <f>E265*-4.7275</f>
        <v>0</v>
      </c>
      <c r="F283">
        <f>F265*-98.63650000000001</f>
        <v>0</v>
      </c>
      <c r="G283">
        <f>G265*-14.159500000000001</f>
        <v>0</v>
      </c>
      <c r="H283">
        <f>H265*0.0</f>
        <v>0</v>
      </c>
      <c r="I283">
        <f>I265*0.03950000000000001</f>
        <v>0</v>
      </c>
      <c r="J283">
        <f>J265*16.3205</f>
        <v>0</v>
      </c>
      <c r="K283">
        <f>K265*-12.2405</f>
        <v>0</v>
      </c>
      <c r="L283">
        <f>L265*94.96549999999999</f>
        <v>0</v>
      </c>
      <c r="M283">
        <f>M265*-219.8405</f>
        <v>0</v>
      </c>
      <c r="N283">
        <f>E283+F283+G283+H283+I283+J283+K283+L283</f>
        <v>0</v>
      </c>
      <c r="O283">
        <f>E283+F283+G283+H283+I283+J283+K283+M283</f>
        <v>0</v>
      </c>
    </row>
    <row r="284" spans="3:15">
      <c r="C284">
        <f>16.82</f>
        <v>0</v>
      </c>
      <c r="D284">
        <f>16.82</f>
        <v>0</v>
      </c>
      <c r="E284">
        <f>E265*-8.418</f>
        <v>0</v>
      </c>
      <c r="F284">
        <f>F265*-87.162</f>
        <v>0</v>
      </c>
      <c r="G284">
        <f>G265*-12.2105</f>
        <v>0</v>
      </c>
      <c r="H284">
        <f>H265*0.0</f>
        <v>0</v>
      </c>
      <c r="I284">
        <f>I265*0.032</f>
        <v>0</v>
      </c>
      <c r="J284">
        <f>J265*-12.918</f>
        <v>0</v>
      </c>
      <c r="K284">
        <f>K265*9.688500000000001</f>
        <v>0</v>
      </c>
      <c r="L284">
        <f>L265*69.361</f>
        <v>0</v>
      </c>
      <c r="M284">
        <f>M265*-171.36900000000003</f>
        <v>0</v>
      </c>
      <c r="N284">
        <f>E284+F284+G284+H284+I284+J284+K284+L284</f>
        <v>0</v>
      </c>
      <c r="O284">
        <f>E284+F284+G284+H284+I284+J284+K284+M284</f>
        <v>0</v>
      </c>
    </row>
    <row r="285" spans="3:15">
      <c r="C285">
        <f>17.73</f>
        <v>0</v>
      </c>
      <c r="D285">
        <f>17.73</f>
        <v>0</v>
      </c>
      <c r="E285">
        <f>E265*-9.8105</f>
        <v>0</v>
      </c>
      <c r="F285">
        <f>F265*-76.122</f>
        <v>0</v>
      </c>
      <c r="G285">
        <f>G265*-10.5155</f>
        <v>0</v>
      </c>
      <c r="H285">
        <f>H265*0.0</f>
        <v>0</v>
      </c>
      <c r="I285">
        <f>I265*0.0235</f>
        <v>0</v>
      </c>
      <c r="J285">
        <f>J265*5.425000000000001</f>
        <v>0</v>
      </c>
      <c r="K285">
        <f>K265*-4.068999999999999</f>
        <v>0</v>
      </c>
      <c r="L285">
        <f>L265*43.081999999999994</f>
        <v>0</v>
      </c>
      <c r="M285">
        <f>M265*-129.732</f>
        <v>0</v>
      </c>
      <c r="N285">
        <f>E285+F285+G285+H285+I285+J285+K285+L285</f>
        <v>0</v>
      </c>
      <c r="O285">
        <f>E285+F285+G285+H285+I285+J285+K285+M285</f>
        <v>0</v>
      </c>
    </row>
    <row r="286" spans="3:15">
      <c r="C286">
        <f>18.64</f>
        <v>0</v>
      </c>
      <c r="D286">
        <f>18.64</f>
        <v>0</v>
      </c>
      <c r="E286">
        <f>E265*-6.6080000000000005</f>
        <v>0</v>
      </c>
      <c r="F286">
        <f>F265*-45.197500000000005</f>
        <v>0</v>
      </c>
      <c r="G286">
        <f>G265*-6.202999999999999</f>
        <v>0</v>
      </c>
      <c r="H286">
        <f>H265*0.0</f>
        <v>0</v>
      </c>
      <c r="I286">
        <f>I265*0.011828</f>
        <v>0</v>
      </c>
      <c r="J286">
        <f>J265*81.96900000000001</f>
        <v>0</v>
      </c>
      <c r="K286">
        <f>K265*-61.47699999999999</f>
        <v>0</v>
      </c>
      <c r="L286">
        <f>L265*20.831000000000003</f>
        <v>0</v>
      </c>
      <c r="M286">
        <f>M265*-72.225</f>
        <v>0</v>
      </c>
      <c r="N286">
        <f>E286+F286+G286+H286+I286+J286+K286+L286</f>
        <v>0</v>
      </c>
      <c r="O286">
        <f>E286+F286+G286+H286+I286+J286+K286+M286</f>
        <v>0</v>
      </c>
    </row>
    <row r="287" spans="3:15">
      <c r="C287">
        <f>19.55</f>
        <v>0</v>
      </c>
      <c r="D287">
        <f>19.55</f>
        <v>0</v>
      </c>
      <c r="E287">
        <f>E265*-2.7375</f>
        <v>0</v>
      </c>
      <c r="F287">
        <f>F265*-18.944499999999998</f>
        <v>0</v>
      </c>
      <c r="G287">
        <f>G265*-2.6285</f>
        <v>0</v>
      </c>
      <c r="H287">
        <f>H265*0.0</f>
        <v>0</v>
      </c>
      <c r="I287">
        <f>I265*0.0039105</f>
        <v>0</v>
      </c>
      <c r="J287">
        <f>J265*159.46949999999998</f>
        <v>0</v>
      </c>
      <c r="K287">
        <f>K265*-119.602</f>
        <v>0</v>
      </c>
      <c r="L287">
        <f>L265*9.0185</f>
        <v>0</v>
      </c>
      <c r="M287">
        <f>M265*-29.348999999999997</f>
        <v>0</v>
      </c>
      <c r="N287">
        <f>E287+F287+G287+H287+I287+J287+K287+L287</f>
        <v>0</v>
      </c>
      <c r="O287">
        <f>E287+F287+G287+H287+I287+J287+K287+M287</f>
        <v>0</v>
      </c>
    </row>
    <row r="288" spans="3:15">
      <c r="C288">
        <f>20.0</f>
        <v>0</v>
      </c>
      <c r="D288">
        <f>20.0</f>
        <v>0</v>
      </c>
      <c r="E288">
        <f>E265*-2.14</f>
        <v>0</v>
      </c>
      <c r="F288">
        <f>F265*-17.980999999999998</f>
        <v>0</v>
      </c>
      <c r="G288">
        <f>G265*-2.544</f>
        <v>0</v>
      </c>
      <c r="H288">
        <f>H265*0.0</f>
        <v>0</v>
      </c>
      <c r="I288">
        <f>I265*0.0055060000000000005</f>
        <v>0</v>
      </c>
      <c r="J288">
        <f>J265*174.821</f>
        <v>0</v>
      </c>
      <c r="K288">
        <f>K265*-131.116</f>
        <v>0</v>
      </c>
      <c r="L288">
        <f>L265*5.432</f>
        <v>0</v>
      </c>
      <c r="M288">
        <f>M265*-25.386999999999997</f>
        <v>0</v>
      </c>
      <c r="N288">
        <f>E288+F288+G288+H288+I288+J288+K288+L288</f>
        <v>0</v>
      </c>
      <c r="O288">
        <f>E288+F288+G288+H288+I288+J288+K288+M288</f>
        <v>0</v>
      </c>
    </row>
    <row r="289" spans="3:15">
      <c r="C289">
        <f>20.0</f>
        <v>0</v>
      </c>
      <c r="D289">
        <f>0.0</f>
        <v>0</v>
      </c>
      <c r="E289">
        <f>E265*-1.849</f>
        <v>0</v>
      </c>
      <c r="F289">
        <f>F265*-19.75</f>
        <v>0</v>
      </c>
      <c r="G289">
        <f>G265*-2.8139999999999996</f>
        <v>0</v>
      </c>
      <c r="H289">
        <f>H265*0.0</f>
        <v>0</v>
      </c>
      <c r="I289">
        <f>I265*-0.5870000000000001</f>
        <v>0</v>
      </c>
      <c r="J289">
        <f>J265*170.627</f>
        <v>0</v>
      </c>
      <c r="K289">
        <f>K265*-127.97</f>
        <v>0</v>
      </c>
      <c r="L289">
        <f>L265*1.8840000000000001</f>
        <v>0</v>
      </c>
      <c r="M289">
        <f>M265*-29.258000000000003</f>
        <v>0</v>
      </c>
      <c r="N289">
        <f>E289+F289+G289+H289+I289+J289+K289+L289</f>
        <v>0</v>
      </c>
      <c r="O289">
        <f>E289+F289+G289+H289+I289+J289+K289+M289</f>
        <v>0</v>
      </c>
    </row>
    <row r="290" spans="3:15">
      <c r="C290">
        <f>20.45</f>
        <v>0</v>
      </c>
      <c r="D290">
        <f>0.45</f>
        <v>0</v>
      </c>
      <c r="E290">
        <f>E265*-3.749</f>
        <v>0</v>
      </c>
      <c r="F290">
        <f>F265*-10.964500000000001</f>
        <v>0</v>
      </c>
      <c r="G290">
        <f>G265*-1.4159999999999997</f>
        <v>0</v>
      </c>
      <c r="H290">
        <f>H265*0.0</f>
        <v>0</v>
      </c>
      <c r="I290">
        <f>I265*1.6405</f>
        <v>0</v>
      </c>
      <c r="J290">
        <f>J265*176.3095</f>
        <v>0</v>
      </c>
      <c r="K290">
        <f>K265*-132.232</f>
        <v>0</v>
      </c>
      <c r="L290">
        <f>L265*26.080000000000002</f>
        <v>0</v>
      </c>
      <c r="M290">
        <f>M265*-39.877</f>
        <v>0</v>
      </c>
      <c r="N290">
        <f>E290+F290+G290+H290+I290+J290+K290+L290</f>
        <v>0</v>
      </c>
      <c r="O290">
        <f>E290+F290+G290+H290+I290+J290+K290+M290</f>
        <v>0</v>
      </c>
    </row>
    <row r="291" spans="3:15">
      <c r="C291">
        <f>21.36</f>
        <v>0</v>
      </c>
      <c r="D291">
        <f>1.36</f>
        <v>0</v>
      </c>
      <c r="E291">
        <f>E265*-8.867</f>
        <v>0</v>
      </c>
      <c r="F291">
        <f>F265*-29.149499999999996</f>
        <v>0</v>
      </c>
      <c r="G291">
        <f>G265*-3.7475</f>
        <v>0</v>
      </c>
      <c r="H291">
        <f>H265*0.0</f>
        <v>0</v>
      </c>
      <c r="I291">
        <f>I265*3.425</f>
        <v>0</v>
      </c>
      <c r="J291">
        <f>J265*118.74549999999999</f>
        <v>0</v>
      </c>
      <c r="K291">
        <f>K265*-89.0595</f>
        <v>0</v>
      </c>
      <c r="L291">
        <f>L265*35.553000000000004</f>
        <v>0</v>
      </c>
      <c r="M291">
        <f>M265*-72.5935</f>
        <v>0</v>
      </c>
      <c r="N291">
        <f>E291+F291+G291+H291+I291+J291+K291+L291</f>
        <v>0</v>
      </c>
      <c r="O291">
        <f>E291+F291+G291+H291+I291+J291+K291+M291</f>
        <v>0</v>
      </c>
    </row>
    <row r="292" spans="3:15">
      <c r="C292">
        <f>22.27</f>
        <v>0</v>
      </c>
      <c r="D292">
        <f>2.27</f>
        <v>0</v>
      </c>
      <c r="E292">
        <f>E265*-12.059000000000001</f>
        <v>0</v>
      </c>
      <c r="F292">
        <f>F265*-62.8125</f>
        <v>0</v>
      </c>
      <c r="G292">
        <f>G265*-8.4465</f>
        <v>0</v>
      </c>
      <c r="H292">
        <f>H265*0.0</f>
        <v>0</v>
      </c>
      <c r="I292">
        <f>I265*2.7779999999999996</f>
        <v>0</v>
      </c>
      <c r="J292">
        <f>J265*41.303000000000004</f>
        <v>0</v>
      </c>
      <c r="K292">
        <f>K265*-30.977000000000004</f>
        <v>0</v>
      </c>
      <c r="L292">
        <f>L265*27.2205</f>
        <v>0</v>
      </c>
      <c r="M292">
        <f>M265*-110.36500000000001</f>
        <v>0</v>
      </c>
      <c r="N292">
        <f>E292+F292+G292+H292+I292+J292+K292+L292</f>
        <v>0</v>
      </c>
      <c r="O292">
        <f>E292+F292+G292+H292+I292+J292+K292+M292</f>
        <v>0</v>
      </c>
    </row>
    <row r="293" spans="3:15">
      <c r="C293">
        <f>23.18</f>
        <v>0</v>
      </c>
      <c r="D293">
        <f>3.18</f>
        <v>0</v>
      </c>
      <c r="E293">
        <f>E265*-10.743500000000001</f>
        <v>0</v>
      </c>
      <c r="F293">
        <f>F265*-77.054</f>
        <v>0</v>
      </c>
      <c r="G293">
        <f>G265*-10.5895</f>
        <v>0</v>
      </c>
      <c r="H293">
        <f>H265*0.0</f>
        <v>0</v>
      </c>
      <c r="I293">
        <f>I265*2.0755</f>
        <v>0</v>
      </c>
      <c r="J293">
        <f>J265*22.7305</f>
        <v>0</v>
      </c>
      <c r="K293">
        <f>K265*-17.048000000000002</f>
        <v>0</v>
      </c>
      <c r="L293">
        <f>L265*34.6255</f>
        <v>0</v>
      </c>
      <c r="M293">
        <f>M265*-137.894</f>
        <v>0</v>
      </c>
      <c r="N293">
        <f>E293+F293+G293+H293+I293+J293+K293+L293</f>
        <v>0</v>
      </c>
      <c r="O293">
        <f>E293+F293+G293+H293+I293+J293+K293+M293</f>
        <v>0</v>
      </c>
    </row>
    <row r="294" spans="3:15">
      <c r="C294">
        <f>24.09</f>
        <v>0</v>
      </c>
      <c r="D294">
        <f>4.09</f>
        <v>0</v>
      </c>
      <c r="E294">
        <f>E265*-7.15</f>
        <v>0</v>
      </c>
      <c r="F294">
        <f>F265*-91.44749999999999</f>
        <v>0</v>
      </c>
      <c r="G294">
        <f>G265*-12.942499999999999</f>
        <v>0</v>
      </c>
      <c r="H294">
        <f>H265*0.0</f>
        <v>0</v>
      </c>
      <c r="I294">
        <f>I265*1.1905</f>
        <v>0</v>
      </c>
      <c r="J294">
        <f>J265*52.31700000000001</f>
        <v>0</v>
      </c>
      <c r="K294">
        <f>K265*-39.238</f>
        <v>0</v>
      </c>
      <c r="L294">
        <f>L265*44.75450000000001</f>
        <v>0</v>
      </c>
      <c r="M294">
        <f>M265*-171.3615</f>
        <v>0</v>
      </c>
      <c r="N294">
        <f>E294+F294+G294+H294+I294+J294+K294+L294</f>
        <v>0</v>
      </c>
      <c r="O294">
        <f>E294+F294+G294+H294+I294+J294+K294+M294</f>
        <v>0</v>
      </c>
    </row>
    <row r="295" spans="3:15">
      <c r="C295">
        <f>25.0</f>
        <v>0</v>
      </c>
      <c r="D295">
        <f>5.0</f>
        <v>0</v>
      </c>
      <c r="E295">
        <f>E265*-4.8</f>
        <v>0</v>
      </c>
      <c r="F295">
        <f>F265*-98.154</f>
        <v>0</v>
      </c>
      <c r="G295">
        <f>G265*-14.087</f>
        <v>0</v>
      </c>
      <c r="H295">
        <f>H265*0.0</f>
        <v>0</v>
      </c>
      <c r="I295">
        <f>I265*0.266</f>
        <v>0</v>
      </c>
      <c r="J295">
        <f>J265*74.788</f>
        <v>0</v>
      </c>
      <c r="K295">
        <f>K265*-56.090999999999994</f>
        <v>0</v>
      </c>
      <c r="L295">
        <f>L265*53.014500000000005</f>
        <v>0</v>
      </c>
      <c r="M295">
        <f>M265*-190.96450000000002</f>
        <v>0</v>
      </c>
      <c r="N295">
        <f>E295+F295+G295+H295+I295+J295+K295+L295</f>
        <v>0</v>
      </c>
      <c r="O295">
        <f>E295+F295+G295+H295+I295+J295+K295+M295</f>
        <v>0</v>
      </c>
    </row>
    <row r="296" spans="3:15">
      <c r="C296">
        <f>26.0</f>
        <v>0</v>
      </c>
      <c r="D296">
        <f>6.0</f>
        <v>0</v>
      </c>
      <c r="E296">
        <f>E265*-5.782</f>
        <v>0</v>
      </c>
      <c r="F296">
        <f>F265*-96.691</f>
        <v>0</v>
      </c>
      <c r="G296">
        <f>G265*-13.794500000000001</f>
        <v>0</v>
      </c>
      <c r="H296">
        <f>H265*0.0</f>
        <v>0</v>
      </c>
      <c r="I296">
        <f>I265*-0.791</f>
        <v>0</v>
      </c>
      <c r="J296">
        <f>J265*58.82299999999999</f>
        <v>0</v>
      </c>
      <c r="K296">
        <f>K265*-44.1175</f>
        <v>0</v>
      </c>
      <c r="L296">
        <f>L265*55.245000000000005</f>
        <v>0</v>
      </c>
      <c r="M296">
        <f>M265*-188.9695</f>
        <v>0</v>
      </c>
      <c r="N296">
        <f>E296+F296+G296+H296+I296+J296+K296+L296</f>
        <v>0</v>
      </c>
      <c r="O296">
        <f>E296+F296+G296+H296+I296+J296+K296+M296</f>
        <v>0</v>
      </c>
    </row>
    <row r="297" spans="3:15">
      <c r="C297">
        <f>27.0</f>
        <v>0</v>
      </c>
      <c r="D297">
        <f>7.0</f>
        <v>0</v>
      </c>
      <c r="E297">
        <f>E265*-8.711</f>
        <v>0</v>
      </c>
      <c r="F297">
        <f>F265*-101.4355</f>
        <v>0</v>
      </c>
      <c r="G297">
        <f>G265*-14.297</f>
        <v>0</v>
      </c>
      <c r="H297">
        <f>H265*0.0</f>
        <v>0</v>
      </c>
      <c r="I297">
        <f>I265*-1.888</f>
        <v>0</v>
      </c>
      <c r="J297">
        <f>J265*27.332500000000003</f>
        <v>0</v>
      </c>
      <c r="K297">
        <f>K265*-20.499</f>
        <v>0</v>
      </c>
      <c r="L297">
        <f>L265*53.445</f>
        <v>0</v>
      </c>
      <c r="M297">
        <f>M265*-187.7215</f>
        <v>0</v>
      </c>
      <c r="N297">
        <f>E297+F297+G297+H297+I297+J297+K297+L297</f>
        <v>0</v>
      </c>
      <c r="O297">
        <f>E297+F297+G297+H297+I297+J297+K297+M297</f>
        <v>0</v>
      </c>
    </row>
    <row r="298" spans="3:15">
      <c r="C298">
        <f>28.0</f>
        <v>0</v>
      </c>
      <c r="D298">
        <f>8.0</f>
        <v>0</v>
      </c>
      <c r="E298">
        <f>E265*-7.9245</f>
        <v>0</v>
      </c>
      <c r="F298">
        <f>F265*-104.8365</f>
        <v>0</v>
      </c>
      <c r="G298">
        <f>G265*-14.838000000000001</f>
        <v>0</v>
      </c>
      <c r="H298">
        <f>H265*0.0</f>
        <v>0</v>
      </c>
      <c r="I298">
        <f>I265*-3.0925000000000002</f>
        <v>0</v>
      </c>
      <c r="J298">
        <f>J265*27.505499999999998</f>
        <v>0</v>
      </c>
      <c r="K298">
        <f>K265*-20.628999999999998</f>
        <v>0</v>
      </c>
      <c r="L298">
        <f>L265*55.7375</f>
        <v>0</v>
      </c>
      <c r="M298">
        <f>M265*-192.04700000000003</f>
        <v>0</v>
      </c>
      <c r="N298">
        <f>E298+F298+G298+H298+I298+J298+K298+L298</f>
        <v>0</v>
      </c>
      <c r="O298">
        <f>E298+F298+G298+H298+I298+J298+K298+M298</f>
        <v>0</v>
      </c>
    </row>
    <row r="299" spans="3:15">
      <c r="C299">
        <f>29.0</f>
        <v>0</v>
      </c>
      <c r="D299">
        <f>9.0</f>
        <v>0</v>
      </c>
      <c r="E299">
        <f>E265*-3.1845</f>
        <v>0</v>
      </c>
      <c r="F299">
        <f>F265*-106.804</f>
        <v>0</v>
      </c>
      <c r="G299">
        <f>G265*-15.4115</f>
        <v>0</v>
      </c>
      <c r="H299">
        <f>H265*0.0</f>
        <v>0</v>
      </c>
      <c r="I299">
        <f>I265*-4.503</f>
        <v>0</v>
      </c>
      <c r="J299">
        <f>J265*56.855000000000004</f>
        <v>0</v>
      </c>
      <c r="K299">
        <f>K265*-42.641000000000005</f>
        <v>0</v>
      </c>
      <c r="L299">
        <f>L265*60.966</f>
        <v>0</v>
      </c>
      <c r="M299">
        <f>M265*-202.727</f>
        <v>0</v>
      </c>
      <c r="N299">
        <f>E299+F299+G299+H299+I299+J299+K299+L299</f>
        <v>0</v>
      </c>
      <c r="O299">
        <f>E299+F299+G299+H299+I299+J299+K299+M299</f>
        <v>0</v>
      </c>
    </row>
    <row r="300" spans="3:15">
      <c r="C300">
        <f>30.0</f>
        <v>0</v>
      </c>
      <c r="D300">
        <f>10.0</f>
        <v>0</v>
      </c>
      <c r="E300">
        <f>E265*-0.438</f>
        <v>0</v>
      </c>
      <c r="F300">
        <f>F265*-108.757</f>
        <v>0</v>
      </c>
      <c r="G300">
        <f>G265*-15.869000000000002</f>
        <v>0</v>
      </c>
      <c r="H300">
        <f>H265*0.0</f>
        <v>0</v>
      </c>
      <c r="I300">
        <f>I265*-5.9605</f>
        <v>0</v>
      </c>
      <c r="J300">
        <f>J265*73.8605</f>
        <v>0</v>
      </c>
      <c r="K300">
        <f>K265*-55.3955</f>
        <v>0</v>
      </c>
      <c r="L300">
        <f>L265*63.8875</f>
        <v>0</v>
      </c>
      <c r="M300">
        <f>M265*-210.762</f>
        <v>0</v>
      </c>
      <c r="N300">
        <f>E300+F300+G300+H300+I300+J300+K300+L300</f>
        <v>0</v>
      </c>
      <c r="O300">
        <f>E300+F300+G300+H300+I300+J300+K300+M300</f>
        <v>0</v>
      </c>
    </row>
    <row r="301" spans="3:15">
      <c r="C301">
        <f>31.0</f>
        <v>0</v>
      </c>
      <c r="D301">
        <f>11.0</f>
        <v>0</v>
      </c>
      <c r="E301">
        <f>E265*-2.8475</f>
        <v>0</v>
      </c>
      <c r="F301">
        <f>F265*-106.452</f>
        <v>0</v>
      </c>
      <c r="G301">
        <f>G265*-15.373999999999999</f>
        <v>0</v>
      </c>
      <c r="H301">
        <f>H265*0.0</f>
        <v>0</v>
      </c>
      <c r="I301">
        <f>I265*-7.503</f>
        <v>0</v>
      </c>
      <c r="J301">
        <f>J265*54.072</f>
        <v>0</v>
      </c>
      <c r="K301">
        <f>K265*-40.554</f>
        <v>0</v>
      </c>
      <c r="L301">
        <f>L265*59.958</f>
        <v>0</v>
      </c>
      <c r="M301">
        <f>M265*-199.939</f>
        <v>0</v>
      </c>
      <c r="N301">
        <f>E301+F301+G301+H301+I301+J301+K301+L301</f>
        <v>0</v>
      </c>
      <c r="O301">
        <f>E301+F301+G301+H301+I301+J301+K301+M301</f>
        <v>0</v>
      </c>
    </row>
    <row r="302" spans="3:15">
      <c r="C302">
        <f>32.0</f>
        <v>0</v>
      </c>
      <c r="D302">
        <f>12.0</f>
        <v>0</v>
      </c>
      <c r="E302">
        <f>E265*-7.23</f>
        <v>0</v>
      </c>
      <c r="F302">
        <f>F265*-104.428</f>
        <v>0</v>
      </c>
      <c r="G302">
        <f>G265*-14.806000000000001</f>
        <v>0</v>
      </c>
      <c r="H302">
        <f>H265*0.0</f>
        <v>0</v>
      </c>
      <c r="I302">
        <f>I265*-8.9525</f>
        <v>0</v>
      </c>
      <c r="J302">
        <f>J265*21.485</f>
        <v>0</v>
      </c>
      <c r="K302">
        <f>K265*-16.113500000000002</f>
        <v>0</v>
      </c>
      <c r="L302">
        <f>L265*52.597</f>
        <v>0</v>
      </c>
      <c r="M302">
        <f>M265*-187.28949999999998</f>
        <v>0</v>
      </c>
      <c r="N302">
        <f>E302+F302+G302+H302+I302+J302+K302+L302</f>
        <v>0</v>
      </c>
      <c r="O302">
        <f>E302+F302+G302+H302+I302+J302+K302+M302</f>
        <v>0</v>
      </c>
    </row>
    <row r="303" spans="3:15">
      <c r="C303">
        <f>33.0</f>
        <v>0</v>
      </c>
      <c r="D303">
        <f>13.0</f>
        <v>0</v>
      </c>
      <c r="E303">
        <f>E265*-7.664000000000001</f>
        <v>0</v>
      </c>
      <c r="F303">
        <f>F265*-101.7115</f>
        <v>0</v>
      </c>
      <c r="G303">
        <f>G265*-14.379000000000001</f>
        <v>0</v>
      </c>
      <c r="H303">
        <f>H265*0.0</f>
        <v>0</v>
      </c>
      <c r="I303">
        <f>I265*-9.7235</f>
        <v>0</v>
      </c>
      <c r="J303">
        <f>J265*17.4325</f>
        <v>0</v>
      </c>
      <c r="K303">
        <f>K265*-13.074499999999999</f>
        <v>0</v>
      </c>
      <c r="L303">
        <f>L265*49.138999999999996</f>
        <v>0</v>
      </c>
      <c r="M303">
        <f>M265*-182.75</f>
        <v>0</v>
      </c>
      <c r="N303">
        <f>E303+F303+G303+H303+I303+J303+K303+L303</f>
        <v>0</v>
      </c>
      <c r="O303">
        <f>E303+F303+G303+H303+I303+J303+K303+M303</f>
        <v>0</v>
      </c>
    </row>
    <row r="304" spans="3:15">
      <c r="C304">
        <f>34.0</f>
        <v>0</v>
      </c>
      <c r="D304">
        <f>14.0</f>
        <v>0</v>
      </c>
      <c r="E304">
        <f>E265*-4.3815</f>
        <v>0</v>
      </c>
      <c r="F304">
        <f>F265*-98.715</f>
        <v>0</v>
      </c>
      <c r="G304">
        <f>G265*-14.146999999999998</f>
        <v>0</v>
      </c>
      <c r="H304">
        <f>H265*0.0</f>
        <v>0</v>
      </c>
      <c r="I304">
        <f>I265*-9.6335</f>
        <v>0</v>
      </c>
      <c r="J304">
        <f>J265*44.0635</f>
        <v>0</v>
      </c>
      <c r="K304">
        <f>K265*-33.0475</f>
        <v>0</v>
      </c>
      <c r="L304">
        <f>L265*51.407</f>
        <v>0</v>
      </c>
      <c r="M304">
        <f>M265*-184.8715</f>
        <v>0</v>
      </c>
      <c r="N304">
        <f>E304+F304+G304+H304+I304+J304+K304+L304</f>
        <v>0</v>
      </c>
      <c r="O304">
        <f>E304+F304+G304+H304+I304+J304+K304+M304</f>
        <v>0</v>
      </c>
    </row>
    <row r="305" spans="3:15">
      <c r="C305">
        <f>35.0</f>
        <v>0</v>
      </c>
      <c r="D305">
        <f>15.0</f>
        <v>0</v>
      </c>
      <c r="E305">
        <f>E265*-3.0164999999999997</f>
        <v>0</v>
      </c>
      <c r="F305">
        <f>F265*-101.61850000000001</f>
        <v>0</v>
      </c>
      <c r="G305">
        <f>G265*-14.666</f>
        <v>0</v>
      </c>
      <c r="H305">
        <f>H265*0.0</f>
        <v>0</v>
      </c>
      <c r="I305">
        <f>I265*-10.2305</f>
        <v>0</v>
      </c>
      <c r="J305">
        <f>J265*55.18599999999999</f>
        <v>0</v>
      </c>
      <c r="K305">
        <f>K265*-41.388999999999996</f>
        <v>0</v>
      </c>
      <c r="L305">
        <f>L265*49.8785</f>
        <v>0</v>
      </c>
      <c r="M305">
        <f>M265*-187.7545</f>
        <v>0</v>
      </c>
      <c r="N305">
        <f>E305+F305+G305+H305+I305+J305+K305+L305</f>
        <v>0</v>
      </c>
      <c r="O305">
        <f>E305+F305+G305+H305+I305+J305+K305+M305</f>
        <v>0</v>
      </c>
    </row>
    <row r="306" spans="3:15">
      <c r="C306">
        <f>35.91</f>
        <v>0</v>
      </c>
      <c r="D306">
        <f>15.91</f>
        <v>0</v>
      </c>
      <c r="E306">
        <f>E265*-5.012499999999999</f>
        <v>0</v>
      </c>
      <c r="F306">
        <f>F265*-95.27799999999999</f>
        <v>0</v>
      </c>
      <c r="G306">
        <f>G265*-13.588999999999999</f>
        <v>0</v>
      </c>
      <c r="H306">
        <f>H265*0.0</f>
        <v>0</v>
      </c>
      <c r="I306">
        <f>I265*-12.032</f>
        <v>0</v>
      </c>
      <c r="J306">
        <f>J265*29.139499999999998</f>
        <v>0</v>
      </c>
      <c r="K306">
        <f>K265*-21.855</f>
        <v>0</v>
      </c>
      <c r="L306">
        <f>L265*41.33800000000001</f>
        <v>0</v>
      </c>
      <c r="M306">
        <f>M265*-168.07850000000002</f>
        <v>0</v>
      </c>
      <c r="N306">
        <f>E306+F306+G306+H306+I306+J306+K306+L306</f>
        <v>0</v>
      </c>
      <c r="O306">
        <f>E306+F306+G306+H306+I306+J306+K306+M306</f>
        <v>0</v>
      </c>
    </row>
    <row r="307" spans="3:15">
      <c r="C307">
        <f>36.82</f>
        <v>0</v>
      </c>
      <c r="D307">
        <f>16.82</f>
        <v>0</v>
      </c>
      <c r="E307">
        <f>E265*-8.318</f>
        <v>0</v>
      </c>
      <c r="F307">
        <f>F265*-81.37</f>
        <v>0</v>
      </c>
      <c r="G307">
        <f>G265*-11.3185</f>
        <v>0</v>
      </c>
      <c r="H307">
        <f>H265*0.0</f>
        <v>0</v>
      </c>
      <c r="I307">
        <f>I265*-13.6555</f>
        <v>0</v>
      </c>
      <c r="J307">
        <f>J265*-3.5265</f>
        <v>0</v>
      </c>
      <c r="K307">
        <f>K265*2.645</f>
        <v>0</v>
      </c>
      <c r="L307">
        <f>L265*29.586000000000002</f>
        <v>0</v>
      </c>
      <c r="M307">
        <f>M265*-133.5535</f>
        <v>0</v>
      </c>
      <c r="N307">
        <f>E307+F307+G307+H307+I307+J307+K307+L307</f>
        <v>0</v>
      </c>
      <c r="O307">
        <f>E307+F307+G307+H307+I307+J307+K307+M307</f>
        <v>0</v>
      </c>
    </row>
    <row r="308" spans="3:15">
      <c r="C308">
        <f>37.73</f>
        <v>0</v>
      </c>
      <c r="D308">
        <f>17.73</f>
        <v>0</v>
      </c>
      <c r="E308">
        <f>E265*-9.4815</f>
        <v>0</v>
      </c>
      <c r="F308">
        <f>F265*-69.699</f>
        <v>0</v>
      </c>
      <c r="G308">
        <f>G265*-9.5585</f>
        <v>0</v>
      </c>
      <c r="H308">
        <f>H265*0.0</f>
        <v>0</v>
      </c>
      <c r="I308">
        <f>I265*-12.406</f>
        <v>0</v>
      </c>
      <c r="J308">
        <f>J265*11.3125</f>
        <v>0</v>
      </c>
      <c r="K308">
        <f>K265*-8.484000000000002</f>
        <v>0</v>
      </c>
      <c r="L308">
        <f>L265*18.923000000000002</f>
        <v>0</v>
      </c>
      <c r="M308">
        <f>M265*-105.502</f>
        <v>0</v>
      </c>
      <c r="N308">
        <f>E308+F308+G308+H308+I308+J308+K308+L308</f>
        <v>0</v>
      </c>
      <c r="O308">
        <f>E308+F308+G308+H308+I308+J308+K308+M308</f>
        <v>0</v>
      </c>
    </row>
    <row r="309" spans="3:15">
      <c r="C309">
        <f>38.64</f>
        <v>0</v>
      </c>
      <c r="D309">
        <f>18.64</f>
        <v>0</v>
      </c>
      <c r="E309">
        <f>E265*-6.343500000000001</f>
        <v>0</v>
      </c>
      <c r="F309">
        <f>F265*-41.087500000000006</f>
        <v>0</v>
      </c>
      <c r="G309">
        <f>G265*-5.598</f>
        <v>0</v>
      </c>
      <c r="H309">
        <f>H265*0.0</f>
        <v>0</v>
      </c>
      <c r="I309">
        <f>I265*-7.2575</f>
        <v>0</v>
      </c>
      <c r="J309">
        <f>J265*84.637</f>
        <v>0</v>
      </c>
      <c r="K309">
        <f>K265*-63.4775</f>
        <v>0</v>
      </c>
      <c r="L309">
        <f>L265*10.474</f>
        <v>0</v>
      </c>
      <c r="M309">
        <f>M265*-61.588499999999996</f>
        <v>0</v>
      </c>
      <c r="N309">
        <f>E309+F309+G309+H309+I309+J309+K309+L309</f>
        <v>0</v>
      </c>
      <c r="O309">
        <f>E309+F309+G309+H309+I309+J309+K309+M309</f>
        <v>0</v>
      </c>
    </row>
    <row r="310" spans="3:15">
      <c r="C310">
        <f>39.55</f>
        <v>0</v>
      </c>
      <c r="D310">
        <f>19.55</f>
        <v>0</v>
      </c>
      <c r="E310">
        <f>E265*-2.6239999999999997</f>
        <v>0</v>
      </c>
      <c r="F310">
        <f>F265*-17.5285</f>
        <v>0</v>
      </c>
      <c r="G310">
        <f>G265*-2.4234999999999998</f>
        <v>0</v>
      </c>
      <c r="H310">
        <f>H265*0.0</f>
        <v>0</v>
      </c>
      <c r="I310">
        <f>I265*-2.2335000000000003</f>
        <v>0</v>
      </c>
      <c r="J310">
        <f>J265*159.97050000000002</f>
        <v>0</v>
      </c>
      <c r="K310">
        <f>K265*-119.978</f>
        <v>0</v>
      </c>
      <c r="L310">
        <f>L265*6.9335</f>
        <v>0</v>
      </c>
      <c r="M310">
        <f>M265*-27.229</f>
        <v>0</v>
      </c>
      <c r="N310">
        <f>E310+F310+G310+H310+I310+J310+K310+L310</f>
        <v>0</v>
      </c>
      <c r="O310">
        <f>E310+F310+G310+H310+I310+J310+K310+M310</f>
        <v>0</v>
      </c>
    </row>
    <row r="311" spans="3:15">
      <c r="C311">
        <f>40.0</f>
        <v>0</v>
      </c>
      <c r="D311">
        <f>20.0</f>
        <v>0</v>
      </c>
      <c r="E311">
        <f>E265*-2.05</f>
        <v>0</v>
      </c>
      <c r="F311">
        <f>F265*-17.004</f>
        <v>0</v>
      </c>
      <c r="G311">
        <f>G265*-2.404</f>
        <v>0</v>
      </c>
      <c r="H311">
        <f>H265*0.0</f>
        <v>0</v>
      </c>
      <c r="I311">
        <f>I265*-1.124</f>
        <v>0</v>
      </c>
      <c r="J311">
        <f>J265*174.982</f>
        <v>0</v>
      </c>
      <c r="K311">
        <f>K265*-131.237</f>
        <v>0</v>
      </c>
      <c r="L311">
        <f>L265*5.526</f>
        <v>0</v>
      </c>
      <c r="M311">
        <f>M265*-25.158</f>
        <v>0</v>
      </c>
      <c r="N311">
        <f>E311+F311+G311+H311+I311+J311+K311+L311</f>
        <v>0</v>
      </c>
      <c r="O311">
        <f>E311+F311+G311+H311+I311+J311+K311+M311</f>
        <v>0</v>
      </c>
    </row>
    <row r="312" spans="3:15">
      <c r="C312">
        <f>40.0</f>
        <v>0</v>
      </c>
      <c r="D312">
        <f>0.0</f>
        <v>0</v>
      </c>
      <c r="E312">
        <f>E265*-1.3880000000000001</f>
        <v>0</v>
      </c>
      <c r="F312">
        <f>F265*-11.137</f>
        <v>0</v>
      </c>
      <c r="G312">
        <f>G265*-1.568</f>
        <v>0</v>
      </c>
      <c r="H312">
        <f>H265*0.0</f>
        <v>0</v>
      </c>
      <c r="I312">
        <f>I265*0.051</f>
        <v>0</v>
      </c>
      <c r="J312">
        <f>J265*165.076</f>
        <v>0</v>
      </c>
      <c r="K312">
        <f>K265*-123.807</f>
        <v>0</v>
      </c>
      <c r="L312">
        <f>L265*1.207</f>
        <v>0</v>
      </c>
      <c r="M312">
        <f>M265*-20.791</f>
        <v>0</v>
      </c>
      <c r="N312">
        <f>E312+F312+G312+H312+I312+J312+K312+L312</f>
        <v>0</v>
      </c>
      <c r="O312">
        <f>E312+F312+G312+H312+I312+J312+K312+M312</f>
        <v>0</v>
      </c>
    </row>
    <row r="313" spans="3:15">
      <c r="C313">
        <f>40.45</f>
        <v>0</v>
      </c>
      <c r="D313">
        <f>0.45</f>
        <v>0</v>
      </c>
      <c r="E313">
        <f>E265*-2.783</f>
        <v>0</v>
      </c>
      <c r="F313">
        <f>F265*-5.509</f>
        <v>0</v>
      </c>
      <c r="G313">
        <f>G265*-0.6715</f>
        <v>0</v>
      </c>
      <c r="H313">
        <f>H265*0.0</f>
        <v>0</v>
      </c>
      <c r="I313">
        <f>I265*-3.279</f>
        <v>0</v>
      </c>
      <c r="J313">
        <f>J265*157.01049999999998</f>
        <v>0</v>
      </c>
      <c r="K313">
        <f>K265*-117.75800000000001</f>
        <v>0</v>
      </c>
      <c r="L313">
        <f>L265*14.946</f>
        <v>0</v>
      </c>
      <c r="M313">
        <f>M265*-27.4895</f>
        <v>0</v>
      </c>
      <c r="N313">
        <f>E313+F313+G313+H313+I313+J313+K313+L313</f>
        <v>0</v>
      </c>
      <c r="O313">
        <f>E313+F313+G313+H313+I313+J313+K313+M313</f>
        <v>0</v>
      </c>
    </row>
    <row r="314" spans="3:15">
      <c r="C314">
        <f>41.36</f>
        <v>0</v>
      </c>
      <c r="D314">
        <f>1.36</f>
        <v>0</v>
      </c>
      <c r="E314">
        <f>E265*-5.971</f>
        <v>0</v>
      </c>
      <c r="F314">
        <f>F265*-15.723500000000001</f>
        <v>0</v>
      </c>
      <c r="G314">
        <f>G265*-1.954</f>
        <v>0</v>
      </c>
      <c r="H314">
        <f>H265*0.0</f>
        <v>0</v>
      </c>
      <c r="I314">
        <f>I265*-3.2085000000000004</f>
        <v>0</v>
      </c>
      <c r="J314">
        <f>J265*75.813</f>
        <v>0</v>
      </c>
      <c r="K314">
        <f>K265*-56.86</f>
        <v>0</v>
      </c>
      <c r="L314">
        <f>L265*20.2215</f>
        <v>0</v>
      </c>
      <c r="M314">
        <f>M265*-49.516000000000005</f>
        <v>0</v>
      </c>
      <c r="N314">
        <f>E314+F314+G314+H314+I314+J314+K314+L314</f>
        <v>0</v>
      </c>
      <c r="O314">
        <f>E314+F314+G314+H314+I314+J314+K314+M314</f>
        <v>0</v>
      </c>
    </row>
    <row r="315" spans="3:15">
      <c r="C315">
        <f>42.27</f>
        <v>0</v>
      </c>
      <c r="D315">
        <f>2.27</f>
        <v>0</v>
      </c>
      <c r="E315">
        <f>E265*-7.3735</f>
        <v>0</v>
      </c>
      <c r="F315">
        <f>F265*-36.193</f>
        <v>0</v>
      </c>
      <c r="G315">
        <f>G265*-4.8355</f>
        <v>0</v>
      </c>
      <c r="H315">
        <f>H265*0.0</f>
        <v>0</v>
      </c>
      <c r="I315">
        <f>I265*7.2215</f>
        <v>0</v>
      </c>
      <c r="J315">
        <f>J265*-17.311</f>
        <v>0</v>
      </c>
      <c r="K315">
        <f>K265*12.983</f>
        <v>0</v>
      </c>
      <c r="L315">
        <f>L265*14.646999999999998</f>
        <v>0</v>
      </c>
      <c r="M315">
        <f>M265*-77.20400000000001</f>
        <v>0</v>
      </c>
      <c r="N315">
        <f>E315+F315+G315+H315+I315+J315+K315+L315</f>
        <v>0</v>
      </c>
      <c r="O315">
        <f>E315+F315+G315+H315+I315+J315+K315+M315</f>
        <v>0</v>
      </c>
    </row>
    <row r="316" spans="3:15">
      <c r="C316">
        <f>43.18</f>
        <v>0</v>
      </c>
      <c r="D316">
        <f>3.18</f>
        <v>0</v>
      </c>
      <c r="E316">
        <f>E265*-5.553</f>
        <v>0</v>
      </c>
      <c r="F316">
        <f>F265*-46.414</f>
        <v>0</v>
      </c>
      <c r="G316">
        <f>G265*-6.4505</f>
        <v>0</v>
      </c>
      <c r="H316">
        <f>H265*0.0</f>
        <v>0</v>
      </c>
      <c r="I316">
        <f>I265*27.391</f>
        <v>0</v>
      </c>
      <c r="J316">
        <f>J265*-49.9435</f>
        <v>0</v>
      </c>
      <c r="K316">
        <f>K265*37.457</f>
        <v>0</v>
      </c>
      <c r="L316">
        <f>L265*17.9495</f>
        <v>0</v>
      </c>
      <c r="M316">
        <f>M265*-98.743</f>
        <v>0</v>
      </c>
      <c r="N316">
        <f>E316+F316+G316+H316+I316+J316+K316+L316</f>
        <v>0</v>
      </c>
      <c r="O316">
        <f>E316+F316+G316+H316+I316+J316+K316+M316</f>
        <v>0</v>
      </c>
    </row>
    <row r="317" spans="3:15">
      <c r="C317">
        <f>44.09</f>
        <v>0</v>
      </c>
      <c r="D317">
        <f>4.09</f>
        <v>0</v>
      </c>
      <c r="E317">
        <f>E265*-1.734</f>
        <v>0</v>
      </c>
      <c r="F317">
        <f>F265*-51.3895</f>
        <v>0</v>
      </c>
      <c r="G317">
        <f>G265*-7.4635</f>
        <v>0</v>
      </c>
      <c r="H317">
        <f>H265*0.0</f>
        <v>0</v>
      </c>
      <c r="I317">
        <f>I265*53.5645</f>
        <v>0</v>
      </c>
      <c r="J317">
        <f>J265*-31.533</f>
        <v>0</v>
      </c>
      <c r="K317">
        <f>K265*23.649500000000003</f>
        <v>0</v>
      </c>
      <c r="L317">
        <f>L265*24.634500000000003</f>
        <v>0</v>
      </c>
      <c r="M317">
        <f>M265*-118.3295</f>
        <v>0</v>
      </c>
      <c r="N317">
        <f>E317+F317+G317+H317+I317+J317+K317+L317</f>
        <v>0</v>
      </c>
      <c r="O317">
        <f>E317+F317+G317+H317+I317+J317+K317+M317</f>
        <v>0</v>
      </c>
    </row>
    <row r="318" spans="3:15">
      <c r="C318">
        <f>45.0</f>
        <v>0</v>
      </c>
      <c r="D318">
        <f>5.0</f>
        <v>0</v>
      </c>
      <c r="E318">
        <f>E265*0.7365</f>
        <v>0</v>
      </c>
      <c r="F318">
        <f>F265*-51.567499999999995</f>
        <v>0</v>
      </c>
      <c r="G318">
        <f>G265*-7.696</f>
        <v>0</v>
      </c>
      <c r="H318">
        <f>H265*0.0</f>
        <v>0</v>
      </c>
      <c r="I318">
        <f>I265*67.4525</f>
        <v>0</v>
      </c>
      <c r="J318">
        <f>J265*-28.7335</f>
        <v>0</v>
      </c>
      <c r="K318">
        <f>K265*21.55</f>
        <v>0</v>
      </c>
      <c r="L318">
        <f>L265*27.877499999999998</f>
        <v>0</v>
      </c>
      <c r="M318">
        <f>M265*-125.5825</f>
        <v>0</v>
      </c>
      <c r="N318">
        <f>E318+F318+G318+H318+I318+J318+K318+L318</f>
        <v>0</v>
      </c>
      <c r="O318">
        <f>E318+F318+G318+H318+I318+J318+K318+M318</f>
        <v>0</v>
      </c>
    </row>
    <row r="319" spans="3:15">
      <c r="C319">
        <f>46.0</f>
        <v>0</v>
      </c>
      <c r="D319">
        <f>6.0</f>
        <v>0</v>
      </c>
      <c r="E319">
        <f>E265*-0.257</f>
        <v>0</v>
      </c>
      <c r="F319">
        <f>F265*-48.542500000000004</f>
        <v>0</v>
      </c>
      <c r="G319">
        <f>G265*-7.224499999999999</f>
        <v>0</v>
      </c>
      <c r="H319">
        <f>H265*0.0</f>
        <v>0</v>
      </c>
      <c r="I319">
        <f>I265*59.846000000000004</f>
        <v>0</v>
      </c>
      <c r="J319">
        <f>J265*-73.65899999999999</f>
        <v>0</v>
      </c>
      <c r="K319">
        <f>K265*55.2445</f>
        <v>0</v>
      </c>
      <c r="L319">
        <f>L265*25.182499999999997</f>
        <v>0</v>
      </c>
      <c r="M319">
        <f>M265*-117.2215</f>
        <v>0</v>
      </c>
      <c r="N319">
        <f>E319+F319+G319+H319+I319+J319+K319+L319</f>
        <v>0</v>
      </c>
      <c r="O319">
        <f>E319+F319+G319+H319+I319+J319+K319+M319</f>
        <v>0</v>
      </c>
    </row>
    <row r="320" spans="3:15">
      <c r="C320">
        <f>47.0</f>
        <v>0</v>
      </c>
      <c r="D320">
        <f>7.0</f>
        <v>0</v>
      </c>
      <c r="E320">
        <f>E265*-3.0545</f>
        <v>0</v>
      </c>
      <c r="F320">
        <f>F265*-42.4255</f>
        <v>0</v>
      </c>
      <c r="G320">
        <f>G265*-6.1685</f>
        <v>0</v>
      </c>
      <c r="H320">
        <f>H265*0.0</f>
        <v>0</v>
      </c>
      <c r="I320">
        <f>I265*38.4925</f>
        <v>0</v>
      </c>
      <c r="J320">
        <f>J265*-119.8295</f>
        <v>0</v>
      </c>
      <c r="K320">
        <f>K265*89.872</f>
        <v>0</v>
      </c>
      <c r="L320">
        <f>L265*18.1795</f>
        <v>0</v>
      </c>
      <c r="M320">
        <f>M265*-97.2895</f>
        <v>0</v>
      </c>
      <c r="N320">
        <f>E320+F320+G320+H320+I320+J320+K320+L320</f>
        <v>0</v>
      </c>
      <c r="O320">
        <f>E320+F320+G320+H320+I320+J320+K320+M320</f>
        <v>0</v>
      </c>
    </row>
    <row r="321" spans="3:15">
      <c r="C321">
        <f>48.0</f>
        <v>0</v>
      </c>
      <c r="D321">
        <f>8.0</f>
        <v>0</v>
      </c>
      <c r="E321">
        <f>E265*-4.208</f>
        <v>0</v>
      </c>
      <c r="F321">
        <f>F265*-32.2345</f>
        <v>0</v>
      </c>
      <c r="G321">
        <f>G265*-4.5985000000000005</f>
        <v>0</v>
      </c>
      <c r="H321">
        <f>H265*0.0</f>
        <v>0</v>
      </c>
      <c r="I321">
        <f>I265*20.489</f>
        <v>0</v>
      </c>
      <c r="J321">
        <f>J265*-83.5495</f>
        <v>0</v>
      </c>
      <c r="K321">
        <f>K265*62.6625</f>
        <v>0</v>
      </c>
      <c r="L321">
        <f>L265*11.313500000000001</f>
        <v>0</v>
      </c>
      <c r="M321">
        <f>M265*-72.61349999999999</f>
        <v>0</v>
      </c>
      <c r="N321">
        <f>E321+F321+G321+H321+I321+J321+K321+L321</f>
        <v>0</v>
      </c>
      <c r="O321">
        <f>E321+F321+G321+H321+I321+J321+K321+M321</f>
        <v>0</v>
      </c>
    </row>
    <row r="322" spans="3:15">
      <c r="C322">
        <f>49.0</f>
        <v>0</v>
      </c>
      <c r="D322">
        <f>9.0</f>
        <v>0</v>
      </c>
      <c r="E322">
        <f>E265*-3.9615</f>
        <v>0</v>
      </c>
      <c r="F322">
        <f>F265*-19.860999999999997</f>
        <v>0</v>
      </c>
      <c r="G322">
        <f>G265*-2.755</f>
        <v>0</v>
      </c>
      <c r="H322">
        <f>H265*0.0</f>
        <v>0</v>
      </c>
      <c r="I322">
        <f>I265*8.7575</f>
        <v>0</v>
      </c>
      <c r="J322">
        <f>J265*72.66749999999999</f>
        <v>0</v>
      </c>
      <c r="K322">
        <f>K265*-54.501</f>
        <v>0</v>
      </c>
      <c r="L322">
        <f>L265*5.864</f>
        <v>0</v>
      </c>
      <c r="M322">
        <f>M265*-44.8715</f>
        <v>0</v>
      </c>
      <c r="N322">
        <f>E322+F322+G322+H322+I322+J322+K322+L322</f>
        <v>0</v>
      </c>
      <c r="O322">
        <f>E322+F322+G322+H322+I322+J322+K322+M322</f>
        <v>0</v>
      </c>
    </row>
    <row r="330" spans="3:15">
      <c r="C330" t="s">
        <v>0</v>
      </c>
      <c r="D330" t="s">
        <v>1</v>
      </c>
      <c r="E330" t="s">
        <v>2</v>
      </c>
      <c r="F330" t="s">
        <v>3</v>
      </c>
      <c r="G330" t="s">
        <v>4</v>
      </c>
      <c r="H330" t="s">
        <v>5</v>
      </c>
      <c r="I330" t="s">
        <v>6</v>
      </c>
      <c r="J330" t="s">
        <v>7</v>
      </c>
      <c r="K330" t="s">
        <v>8</v>
      </c>
      <c r="L330" t="s">
        <v>9</v>
      </c>
      <c r="M330" t="s">
        <v>10</v>
      </c>
      <c r="N330" t="s">
        <v>11</v>
      </c>
      <c r="O330" t="s">
        <v>12</v>
      </c>
    </row>
    <row r="331" spans="3:15">
      <c r="C331">
        <f>0.0</f>
        <v>0</v>
      </c>
      <c r="D331">
        <f>0.0</f>
        <v>0</v>
      </c>
      <c r="E331">
        <f>E329*7.9308</f>
        <v>0</v>
      </c>
      <c r="F331">
        <f>F329*-0.1682</f>
        <v>0</v>
      </c>
      <c r="G331">
        <f>G329*-0.4893</f>
        <v>0</v>
      </c>
      <c r="H331">
        <f>H329*0.0</f>
        <v>0</v>
      </c>
      <c r="I331">
        <f>I329*-0.018000000000000002</f>
        <v>0</v>
      </c>
      <c r="J331">
        <f>J329*-28.6674</f>
        <v>0</v>
      </c>
      <c r="K331">
        <f>K329*21.5006</f>
        <v>0</v>
      </c>
      <c r="L331">
        <f>L329*68.2863</f>
        <v>0</v>
      </c>
      <c r="M331">
        <f>M329*-77.8898</f>
        <v>0</v>
      </c>
      <c r="N331">
        <f>E331+F331+G331+H331+I331+J331+K331+L331</f>
        <v>0</v>
      </c>
      <c r="O331">
        <f>E331+F331+G331+H331+I331+J331+K331+M331</f>
        <v>0</v>
      </c>
    </row>
    <row r="332" spans="3:15">
      <c r="C332">
        <f>1.0</f>
        <v>0</v>
      </c>
      <c r="D332">
        <f>1.0</f>
        <v>0</v>
      </c>
      <c r="E332">
        <f>E329*7.40065</f>
        <v>0</v>
      </c>
      <c r="F332">
        <f>F329*5.4399999999999995</f>
        <v>0</v>
      </c>
      <c r="G332">
        <f>G329*0.2268</f>
        <v>0</v>
      </c>
      <c r="H332">
        <f>H329*0.0</f>
        <v>0</v>
      </c>
      <c r="I332">
        <f>I329*-0.0206</f>
        <v>0</v>
      </c>
      <c r="J332">
        <f>J329*-32.26345</f>
        <v>0</v>
      </c>
      <c r="K332">
        <f>K329*24.1976</f>
        <v>0</v>
      </c>
      <c r="L332">
        <f>L329*71.00945</f>
        <v>0</v>
      </c>
      <c r="M332">
        <f>M329*-80.43275</f>
        <v>0</v>
      </c>
      <c r="N332">
        <f>E332+F332+G332+H332+I332+J332+K332+L332</f>
        <v>0</v>
      </c>
      <c r="O332">
        <f>E332+F332+G332+H332+I332+J332+K332+M332</f>
        <v>0</v>
      </c>
    </row>
    <row r="333" spans="3:15">
      <c r="C333">
        <f>2.0</f>
        <v>0</v>
      </c>
      <c r="D333">
        <f>2.0</f>
        <v>0</v>
      </c>
      <c r="E333">
        <f>E329*6.5874</f>
        <v>0</v>
      </c>
      <c r="F333">
        <f>F329*6.0999</f>
        <v>0</v>
      </c>
      <c r="G333">
        <f>G329*0.45635</f>
        <v>0</v>
      </c>
      <c r="H333">
        <f>H329*0.0</f>
        <v>0</v>
      </c>
      <c r="I333">
        <f>I329*-0.0254</f>
        <v>0</v>
      </c>
      <c r="J333">
        <f>J329*-51.00785</f>
        <v>0</v>
      </c>
      <c r="K333">
        <f>K329*38.2559</f>
        <v>0</v>
      </c>
      <c r="L333">
        <f>L329*77.80765</f>
        <v>0</v>
      </c>
      <c r="M333">
        <f>M329*-82.59729999999999</f>
        <v>0</v>
      </c>
      <c r="N333">
        <f>E333+F333+G333+H333+I333+J333+K333+L333</f>
        <v>0</v>
      </c>
      <c r="O333">
        <f>E333+F333+G333+H333+I333+J333+K333+M333</f>
        <v>0</v>
      </c>
    </row>
    <row r="334" spans="3:15">
      <c r="C334">
        <f>3.0</f>
        <v>0</v>
      </c>
      <c r="D334">
        <f>3.0</f>
        <v>0</v>
      </c>
      <c r="E334">
        <f>E329*5.00365</f>
        <v>0</v>
      </c>
      <c r="F334">
        <f>F329*5.9085</f>
        <v>0</v>
      </c>
      <c r="G334">
        <f>G329*0.5996</f>
        <v>0</v>
      </c>
      <c r="H334">
        <f>H329*0.0</f>
        <v>0</v>
      </c>
      <c r="I334">
        <f>I329*-0.02905</f>
        <v>0</v>
      </c>
      <c r="J334">
        <f>J329*-65.4193</f>
        <v>0</v>
      </c>
      <c r="K334">
        <f>K329*49.064499999999995</f>
        <v>0</v>
      </c>
      <c r="L334">
        <f>L329*83.62084999999999</f>
        <v>0</v>
      </c>
      <c r="M334">
        <f>M329*-77.45085</f>
        <v>0</v>
      </c>
      <c r="N334">
        <f>E334+F334+G334+H334+I334+J334+K334+L334</f>
        <v>0</v>
      </c>
      <c r="O334">
        <f>E334+F334+G334+H334+I334+J334+K334+M334</f>
        <v>0</v>
      </c>
    </row>
    <row r="335" spans="3:15">
      <c r="C335">
        <f>4.0</f>
        <v>0</v>
      </c>
      <c r="D335">
        <f>4.0</f>
        <v>0</v>
      </c>
      <c r="E335">
        <f>E329*2.64575</f>
        <v>0</v>
      </c>
      <c r="F335">
        <f>F329*4.8742</f>
        <v>0</v>
      </c>
      <c r="G335">
        <f>G329*0.66915</f>
        <v>0</v>
      </c>
      <c r="H335">
        <f>H329*0.0</f>
        <v>0</v>
      </c>
      <c r="I335">
        <f>I329*-0.0325</f>
        <v>0</v>
      </c>
      <c r="J335">
        <f>J329*-75.92259999999999</f>
        <v>0</v>
      </c>
      <c r="K335">
        <f>K329*56.94195</f>
        <v>0</v>
      </c>
      <c r="L335">
        <f>L329*88.9606</f>
        <v>0</v>
      </c>
      <c r="M335">
        <f>M329*-76.76509999999999</f>
        <v>0</v>
      </c>
      <c r="N335">
        <f>E335+F335+G335+H335+I335+J335+K335+L335</f>
        <v>0</v>
      </c>
      <c r="O335">
        <f>E335+F335+G335+H335+I335+J335+K335+M335</f>
        <v>0</v>
      </c>
    </row>
    <row r="336" spans="3:15">
      <c r="C336">
        <f>5.0</f>
        <v>0</v>
      </c>
      <c r="D336">
        <f>5.0</f>
        <v>0</v>
      </c>
      <c r="E336">
        <f>E329*4.67675</f>
        <v>0</v>
      </c>
      <c r="F336">
        <f>F329*4.74815</f>
        <v>0</v>
      </c>
      <c r="G336">
        <f>G329*0.40845</f>
        <v>0</v>
      </c>
      <c r="H336">
        <f>H329*0.0</f>
        <v>0</v>
      </c>
      <c r="I336">
        <f>I329*-0.035750000000000004</f>
        <v>0</v>
      </c>
      <c r="J336">
        <f>J329*-48.0076</f>
        <v>0</v>
      </c>
      <c r="K336">
        <f>K329*36.005700000000004</f>
        <v>0</v>
      </c>
      <c r="L336">
        <f>L329*80.7244</f>
        <v>0</v>
      </c>
      <c r="M336">
        <f>M329*-77.3204</f>
        <v>0</v>
      </c>
      <c r="N336">
        <f>E336+F336+G336+H336+I336+J336+K336+L336</f>
        <v>0</v>
      </c>
      <c r="O336">
        <f>E336+F336+G336+H336+I336+J336+K336+M336</f>
        <v>0</v>
      </c>
    </row>
    <row r="337" spans="3:15">
      <c r="C337">
        <f>6.0</f>
        <v>0</v>
      </c>
      <c r="D337">
        <f>6.0</f>
        <v>0</v>
      </c>
      <c r="E337">
        <f>E329*6.51105</f>
        <v>0</v>
      </c>
      <c r="F337">
        <f>F329*4.4891499999999995</f>
        <v>0</v>
      </c>
      <c r="G337">
        <f>G329*0.1411</f>
        <v>0</v>
      </c>
      <c r="H337">
        <f>H329*0.0</f>
        <v>0</v>
      </c>
      <c r="I337">
        <f>I329*-0.0378</f>
        <v>0</v>
      </c>
      <c r="J337">
        <f>J329*-17.62955</f>
        <v>0</v>
      </c>
      <c r="K337">
        <f>K329*13.2222</f>
        <v>0</v>
      </c>
      <c r="L337">
        <f>L329*68.60325</f>
        <v>0</v>
      </c>
      <c r="M337">
        <f>M329*-76.5651</f>
        <v>0</v>
      </c>
      <c r="N337">
        <f>E337+F337+G337+H337+I337+J337+K337+L337</f>
        <v>0</v>
      </c>
      <c r="O337">
        <f>E337+F337+G337+H337+I337+J337+K337+M337</f>
        <v>0</v>
      </c>
    </row>
    <row r="338" spans="3:15">
      <c r="C338">
        <f>7.0</f>
        <v>0</v>
      </c>
      <c r="D338">
        <f>7.0</f>
        <v>0</v>
      </c>
      <c r="E338">
        <f>E329*3.59215</f>
        <v>0</v>
      </c>
      <c r="F338">
        <f>F329*2.82245</f>
        <v>0</v>
      </c>
      <c r="G338">
        <f>G329*0.15389999999999998</f>
        <v>0</v>
      </c>
      <c r="H338">
        <f>H329*0.0</f>
        <v>0</v>
      </c>
      <c r="I338">
        <f>I329*-0.0392</f>
        <v>0</v>
      </c>
      <c r="J338">
        <f>J329*-21.8273</f>
        <v>0</v>
      </c>
      <c r="K338">
        <f>K329*16.370449999999998</f>
        <v>0</v>
      </c>
      <c r="L338">
        <f>L329*69.05775</f>
        <v>0</v>
      </c>
      <c r="M338">
        <f>M329*-70.65425</f>
        <v>0</v>
      </c>
      <c r="N338">
        <f>E338+F338+G338+H338+I338+J338+K338+L338</f>
        <v>0</v>
      </c>
      <c r="O338">
        <f>E338+F338+G338+H338+I338+J338+K338+M338</f>
        <v>0</v>
      </c>
    </row>
    <row r="339" spans="3:15">
      <c r="C339">
        <f>8.0</f>
        <v>0</v>
      </c>
      <c r="D339">
        <f>8.0</f>
        <v>0</v>
      </c>
      <c r="E339">
        <f>E329*0.8611</f>
        <v>0</v>
      </c>
      <c r="F339">
        <f>F329*1.14955</f>
        <v>0</v>
      </c>
      <c r="G339">
        <f>G329*0.1522</f>
        <v>0</v>
      </c>
      <c r="H339">
        <f>H329*0.0</f>
        <v>0</v>
      </c>
      <c r="I339">
        <f>I329*-0.04095</f>
        <v>0</v>
      </c>
      <c r="J339">
        <f>J329*-25.531950000000002</f>
        <v>0</v>
      </c>
      <c r="K339">
        <f>K329*19.14895</f>
        <v>0</v>
      </c>
      <c r="L339">
        <f>L329*69.17995</f>
        <v>0</v>
      </c>
      <c r="M339">
        <f>M329*-66.91125</f>
        <v>0</v>
      </c>
      <c r="N339">
        <f>E339+F339+G339+H339+I339+J339+K339+L339</f>
        <v>0</v>
      </c>
      <c r="O339">
        <f>E339+F339+G339+H339+I339+J339+K339+M339</f>
        <v>0</v>
      </c>
    </row>
    <row r="340" spans="3:15">
      <c r="C340">
        <f>9.0</f>
        <v>0</v>
      </c>
      <c r="D340">
        <f>9.0</f>
        <v>0</v>
      </c>
      <c r="E340">
        <f>E329*-2.03535</f>
        <v>0</v>
      </c>
      <c r="F340">
        <f>F329*-0.64895</f>
        <v>0</v>
      </c>
      <c r="G340">
        <f>G329*0.14225</f>
        <v>0</v>
      </c>
      <c r="H340">
        <f>H329*0.0</f>
        <v>0</v>
      </c>
      <c r="I340">
        <f>I329*-0.04325</f>
        <v>0</v>
      </c>
      <c r="J340">
        <f>J329*-29.7679</f>
        <v>0</v>
      </c>
      <c r="K340">
        <f>K329*22.325899999999997</f>
        <v>0</v>
      </c>
      <c r="L340">
        <f>L329*70.21905000000001</f>
        <v>0</v>
      </c>
      <c r="M340">
        <f>M329*-61.8291</f>
        <v>0</v>
      </c>
      <c r="N340">
        <f>E340+F340+G340+H340+I340+J340+K340+L340</f>
        <v>0</v>
      </c>
      <c r="O340">
        <f>E340+F340+G340+H340+I340+J340+K340+M340</f>
        <v>0</v>
      </c>
    </row>
    <row r="341" spans="3:15">
      <c r="C341">
        <f>10.0</f>
        <v>0</v>
      </c>
      <c r="D341">
        <f>10.0</f>
        <v>0</v>
      </c>
      <c r="E341">
        <f>E329*0.5429500000000003</f>
        <v>0</v>
      </c>
      <c r="F341">
        <f>F329*-0.08360000000000004</f>
        <v>0</v>
      </c>
      <c r="G341">
        <f>G329*-0.05639999999999999</f>
        <v>0</v>
      </c>
      <c r="H341">
        <f>H329*0.0</f>
        <v>0</v>
      </c>
      <c r="I341">
        <f>I329*-0.04555</f>
        <v>0</v>
      </c>
      <c r="J341">
        <f>J329*-7.505799999999999</f>
        <v>0</v>
      </c>
      <c r="K341">
        <f>K329*5.62935</f>
        <v>0</v>
      </c>
      <c r="L341">
        <f>L329*59.08345</f>
        <v>0</v>
      </c>
      <c r="M341">
        <f>M329*-61.79755</f>
        <v>0</v>
      </c>
      <c r="N341">
        <f>E341+F341+G341+H341+I341+J341+K341+L341</f>
        <v>0</v>
      </c>
      <c r="O341">
        <f>E341+F341+G341+H341+I341+J341+K341+M341</f>
        <v>0</v>
      </c>
    </row>
    <row r="342" spans="3:15">
      <c r="C342">
        <f>11.0</f>
        <v>0</v>
      </c>
      <c r="D342">
        <f>11.0</f>
        <v>0</v>
      </c>
      <c r="E342">
        <f>E329*3.14635</f>
        <v>0</v>
      </c>
      <c r="F342">
        <f>F329*0.6712000000000001</f>
        <v>0</v>
      </c>
      <c r="G342">
        <f>G329*-0.2298</f>
        <v>0</v>
      </c>
      <c r="H342">
        <f>H329*0.0</f>
        <v>0</v>
      </c>
      <c r="I342">
        <f>I329*-0.0465</f>
        <v>0</v>
      </c>
      <c r="J342">
        <f>J329*14.563199999999998</f>
        <v>0</v>
      </c>
      <c r="K342">
        <f>K329*-10.92245</f>
        <v>0</v>
      </c>
      <c r="L342">
        <f>L329*52.0428</f>
        <v>0</v>
      </c>
      <c r="M342">
        <f>M329*-64.1717</f>
        <v>0</v>
      </c>
      <c r="N342">
        <f>E342+F342+G342+H342+I342+J342+K342+L342</f>
        <v>0</v>
      </c>
      <c r="O342">
        <f>E342+F342+G342+H342+I342+J342+K342+M342</f>
        <v>0</v>
      </c>
    </row>
    <row r="343" spans="3:15">
      <c r="C343">
        <f>12.0</f>
        <v>0</v>
      </c>
      <c r="D343">
        <f>12.0</f>
        <v>0</v>
      </c>
      <c r="E343">
        <f>E329*0.3406</f>
        <v>0</v>
      </c>
      <c r="F343">
        <f>F329*-0.49959999999999993</f>
        <v>0</v>
      </c>
      <c r="G343">
        <f>G329*-0.1567</f>
        <v>0</v>
      </c>
      <c r="H343">
        <f>H329*0.0</f>
        <v>0</v>
      </c>
      <c r="I343">
        <f>I329*-0.04665</f>
        <v>0</v>
      </c>
      <c r="J343">
        <f>J329*9.58965</f>
        <v>0</v>
      </c>
      <c r="K343">
        <f>K329*-7.19225</f>
        <v>0</v>
      </c>
      <c r="L343">
        <f>L329*58.98215</f>
        <v>0</v>
      </c>
      <c r="M343">
        <f>M329*-62.28775</f>
        <v>0</v>
      </c>
      <c r="N343">
        <f>E343+F343+G343+H343+I343+J343+K343+L343</f>
        <v>0</v>
      </c>
      <c r="O343">
        <f>E343+F343+G343+H343+I343+J343+K343+M343</f>
        <v>0</v>
      </c>
    </row>
    <row r="344" spans="3:15">
      <c r="C344">
        <f>13.0</f>
        <v>0</v>
      </c>
      <c r="D344">
        <f>13.0</f>
        <v>0</v>
      </c>
      <c r="E344">
        <f>E329*-2.2445</f>
        <v>0</v>
      </c>
      <c r="F344">
        <f>F329*-1.09075</f>
        <v>0</v>
      </c>
      <c r="G344">
        <f>G329*-0.01425</f>
        <v>0</v>
      </c>
      <c r="H344">
        <f>H329*0.0</f>
        <v>0</v>
      </c>
      <c r="I344">
        <f>I329*-0.04725</f>
        <v>0</v>
      </c>
      <c r="J344">
        <f>J329*4.7874</f>
        <v>0</v>
      </c>
      <c r="K344">
        <f>K329*-3.5906</f>
        <v>0</v>
      </c>
      <c r="L344">
        <f>L329*63.94355</f>
        <v>0</v>
      </c>
      <c r="M344">
        <f>M329*-61.420950000000005</f>
        <v>0</v>
      </c>
      <c r="N344">
        <f>E344+F344+G344+H344+I344+J344+K344+L344</f>
        <v>0</v>
      </c>
      <c r="O344">
        <f>E344+F344+G344+H344+I344+J344+K344+M344</f>
        <v>0</v>
      </c>
    </row>
    <row r="345" spans="3:15">
      <c r="C345">
        <f>14.0</f>
        <v>0</v>
      </c>
      <c r="D345">
        <f>14.0</f>
        <v>0</v>
      </c>
      <c r="E345">
        <f>E329*-5.0024</f>
        <v>0</v>
      </c>
      <c r="F345">
        <f>F329*-1.2936500000000002</f>
        <v>0</v>
      </c>
      <c r="G345">
        <f>G329*0.19695000000000001</f>
        <v>0</v>
      </c>
      <c r="H345">
        <f>H329*0.0</f>
        <v>0</v>
      </c>
      <c r="I345">
        <f>I329*-0.04825</f>
        <v>0</v>
      </c>
      <c r="J345">
        <f>J329*-0.34099999999999997</f>
        <v>0</v>
      </c>
      <c r="K345">
        <f>K329*0.25575000000000003</f>
        <v>0</v>
      </c>
      <c r="L345">
        <f>L329*71.00745</f>
        <v>0</v>
      </c>
      <c r="M345">
        <f>M329*-60.79585</f>
        <v>0</v>
      </c>
      <c r="N345">
        <f>E345+F345+G345+H345+I345+J345+K345+L345</f>
        <v>0</v>
      </c>
      <c r="O345">
        <f>E345+F345+G345+H345+I345+J345+K345+M345</f>
        <v>0</v>
      </c>
    </row>
    <row r="346" spans="3:15">
      <c r="C346">
        <f>15.0</f>
        <v>0</v>
      </c>
      <c r="D346">
        <f>15.0</f>
        <v>0</v>
      </c>
      <c r="E346">
        <f>E329*-2.5797</f>
        <v>0</v>
      </c>
      <c r="F346">
        <f>F329*1.9494</f>
        <v>0</v>
      </c>
      <c r="G346">
        <f>G329*0.3758</f>
        <v>0</v>
      </c>
      <c r="H346">
        <f>H329*0.0</f>
        <v>0</v>
      </c>
      <c r="I346">
        <f>I329*-0.0476</f>
        <v>0</v>
      </c>
      <c r="J346">
        <f>J329*24.006</f>
        <v>0</v>
      </c>
      <c r="K346">
        <f>K329*-18.0045</f>
        <v>0</v>
      </c>
      <c r="L346">
        <f>L329*76.8916</f>
        <v>0</v>
      </c>
      <c r="M346">
        <f>M329*-74.7301</f>
        <v>0</v>
      </c>
      <c r="N346">
        <f>E346+F346+G346+H346+I346+J346+K346+L346</f>
        <v>0</v>
      </c>
      <c r="O346">
        <f>E346+F346+G346+H346+I346+J346+K346+M346</f>
        <v>0</v>
      </c>
    </row>
    <row r="347" spans="3:15">
      <c r="C347">
        <f>15.91</f>
        <v>0</v>
      </c>
      <c r="D347">
        <f>15.91</f>
        <v>0</v>
      </c>
      <c r="E347">
        <f>E329*0.0471</f>
        <v>0</v>
      </c>
      <c r="F347">
        <f>F329*5.3218499999999995</f>
        <v>0</v>
      </c>
      <c r="G347">
        <f>G329*0.5789</f>
        <v>0</v>
      </c>
      <c r="H347">
        <f>H329*0.0</f>
        <v>0</v>
      </c>
      <c r="I347">
        <f>I329*-0.04555</f>
        <v>0</v>
      </c>
      <c r="J347">
        <f>J329*47.80695</f>
        <v>0</v>
      </c>
      <c r="K347">
        <f>K329*-35.85525</f>
        <v>0</v>
      </c>
      <c r="L347">
        <f>L329*82.4077</f>
        <v>0</v>
      </c>
      <c r="M347">
        <f>M329*-86.08670000000001</f>
        <v>0</v>
      </c>
      <c r="N347">
        <f>E347+F347+G347+H347+I347+J347+K347+L347</f>
        <v>0</v>
      </c>
      <c r="O347">
        <f>E347+F347+G347+H347+I347+J347+K347+M347</f>
        <v>0</v>
      </c>
    </row>
    <row r="348" spans="3:15">
      <c r="C348">
        <f>16.82</f>
        <v>0</v>
      </c>
      <c r="D348">
        <f>16.82</f>
        <v>0</v>
      </c>
      <c r="E348">
        <f>E329*-2.3984</f>
        <v>0</v>
      </c>
      <c r="F348">
        <f>F329*6.4536999999999995</f>
        <v>0</v>
      </c>
      <c r="G348">
        <f>G329*0.9662000000000001</f>
        <v>0</v>
      </c>
      <c r="H348">
        <f>H329*0.0</f>
        <v>0</v>
      </c>
      <c r="I348">
        <f>I329*-0.0445</f>
        <v>0</v>
      </c>
      <c r="J348">
        <f>J329*41.985600000000005</f>
        <v>0</v>
      </c>
      <c r="K348">
        <f>K329*-31.489199999999997</f>
        <v>0</v>
      </c>
      <c r="L348">
        <f>L329*90.82910000000001</f>
        <v>0</v>
      </c>
      <c r="M348">
        <f>M329*-82.2491</f>
        <v>0</v>
      </c>
      <c r="N348">
        <f>E348+F348+G348+H348+I348+J348+K348+L348</f>
        <v>0</v>
      </c>
      <c r="O348">
        <f>E348+F348+G348+H348+I348+J348+K348+M348</f>
        <v>0</v>
      </c>
    </row>
    <row r="349" spans="3:15">
      <c r="C349">
        <f>17.73</f>
        <v>0</v>
      </c>
      <c r="D349">
        <f>17.73</f>
        <v>0</v>
      </c>
      <c r="E349">
        <f>E329*-4.49885</f>
        <v>0</v>
      </c>
      <c r="F349">
        <f>F329*8.6025</f>
        <v>0</v>
      </c>
      <c r="G349">
        <f>G329*1.48705</f>
        <v>0</v>
      </c>
      <c r="H349">
        <f>H329*0.0</f>
        <v>0</v>
      </c>
      <c r="I349">
        <f>I329*-0.04475</f>
        <v>0</v>
      </c>
      <c r="J349">
        <f>J329*36.3823</f>
        <v>0</v>
      </c>
      <c r="K349">
        <f>K329*-27.2867</f>
        <v>0</v>
      </c>
      <c r="L349">
        <f>L329*101.0968</f>
        <v>0</v>
      </c>
      <c r="M349">
        <f>M329*-78.3101</f>
        <v>0</v>
      </c>
      <c r="N349">
        <f>E349+F349+G349+H349+I349+J349+K349+L349</f>
        <v>0</v>
      </c>
      <c r="O349">
        <f>E349+F349+G349+H349+I349+J349+K349+M349</f>
        <v>0</v>
      </c>
    </row>
    <row r="350" spans="3:15">
      <c r="C350">
        <f>18.64</f>
        <v>0</v>
      </c>
      <c r="D350">
        <f>18.64</f>
        <v>0</v>
      </c>
      <c r="E350">
        <f>E329*-6.4102</f>
        <v>0</v>
      </c>
      <c r="F350">
        <f>F329*10.895150000000001</f>
        <v>0</v>
      </c>
      <c r="G350">
        <f>G329*2.03525</f>
        <v>0</v>
      </c>
      <c r="H350">
        <f>H329*0.0</f>
        <v>0</v>
      </c>
      <c r="I350">
        <f>I329*-0.045649999999999996</f>
        <v>0</v>
      </c>
      <c r="J350">
        <f>J329*28.7957</f>
        <v>0</v>
      </c>
      <c r="K350">
        <f>K329*-21.5968</f>
        <v>0</v>
      </c>
      <c r="L350">
        <f>L329*113.09745</f>
        <v>0</v>
      </c>
      <c r="M350">
        <f>M329*-74.61215</f>
        <v>0</v>
      </c>
      <c r="N350">
        <f>E350+F350+G350+H350+I350+J350+K350+L350</f>
        <v>0</v>
      </c>
      <c r="O350">
        <f>E350+F350+G350+H350+I350+J350+K350+M350</f>
        <v>0</v>
      </c>
    </row>
    <row r="351" spans="3:15">
      <c r="C351">
        <f>19.55</f>
        <v>0</v>
      </c>
      <c r="D351">
        <f>19.55</f>
        <v>0</v>
      </c>
      <c r="E351">
        <f>E329*-4.5154000000000005</f>
        <v>0</v>
      </c>
      <c r="F351">
        <f>F329*11.435</f>
        <v>0</v>
      </c>
      <c r="G351">
        <f>G329*1.96765</f>
        <v>0</v>
      </c>
      <c r="H351">
        <f>H329*0.0</f>
        <v>0</v>
      </c>
      <c r="I351">
        <f>I329*-0.0375</f>
        <v>0</v>
      </c>
      <c r="J351">
        <f>J329*29.690450000000002</f>
        <v>0</v>
      </c>
      <c r="K351">
        <f>K329*-22.26785</f>
        <v>0</v>
      </c>
      <c r="L351">
        <f>L329*92.65505</f>
        <v>0</v>
      </c>
      <c r="M351">
        <f>M329*-84.0557</f>
        <v>0</v>
      </c>
      <c r="N351">
        <f>E351+F351+G351+H351+I351+J351+K351+L351</f>
        <v>0</v>
      </c>
      <c r="O351">
        <f>E351+F351+G351+H351+I351+J351+K351+M351</f>
        <v>0</v>
      </c>
    </row>
    <row r="352" spans="3:15">
      <c r="C352">
        <f>20.0</f>
        <v>0</v>
      </c>
      <c r="D352">
        <f>20.0</f>
        <v>0</v>
      </c>
      <c r="E352">
        <f>E329*-1.2417</f>
        <v>0</v>
      </c>
      <c r="F352">
        <f>F329*13.0802</f>
        <v>0</v>
      </c>
      <c r="G352">
        <f>G329*1.6805</f>
        <v>0</v>
      </c>
      <c r="H352">
        <f>H329*0.0</f>
        <v>0</v>
      </c>
      <c r="I352">
        <f>I329*-0.03</f>
        <v>0</v>
      </c>
      <c r="J352">
        <f>J329*43.5664</f>
        <v>0</v>
      </c>
      <c r="K352">
        <f>K329*-32.6748</f>
        <v>0</v>
      </c>
      <c r="L352">
        <f>L329*67.5776</f>
        <v>0</v>
      </c>
      <c r="M352">
        <f>M329*-94.9699</f>
        <v>0</v>
      </c>
      <c r="N352">
        <f>E352+F352+G352+H352+I352+J352+K352+L352</f>
        <v>0</v>
      </c>
      <c r="O352">
        <f>E352+F352+G352+H352+I352+J352+K352+M352</f>
        <v>0</v>
      </c>
    </row>
    <row r="353" spans="3:15">
      <c r="C353">
        <f>20.0</f>
        <v>0</v>
      </c>
      <c r="D353">
        <f>0.0</f>
        <v>0</v>
      </c>
      <c r="E353">
        <f>E329*0.9606</f>
        <v>0</v>
      </c>
      <c r="F353">
        <f>F329*-12.5759</f>
        <v>0</v>
      </c>
      <c r="G353">
        <f>G329*-1.5901</f>
        <v>0</v>
      </c>
      <c r="H353">
        <f>H329*0.0</f>
        <v>0</v>
      </c>
      <c r="I353">
        <f>I329*-0.9045</f>
        <v>0</v>
      </c>
      <c r="J353">
        <f>J329*-39.8321</f>
        <v>0</v>
      </c>
      <c r="K353">
        <f>K329*29.8741</f>
        <v>0</v>
      </c>
      <c r="L353">
        <f>L329*51.6769</f>
        <v>0</v>
      </c>
      <c r="M353">
        <f>M329*-69.7771</f>
        <v>0</v>
      </c>
      <c r="N353">
        <f>E353+F353+G353+H353+I353+J353+K353+L353</f>
        <v>0</v>
      </c>
      <c r="O353">
        <f>E353+F353+G353+H353+I353+J353+K353+M353</f>
        <v>0</v>
      </c>
    </row>
    <row r="354" spans="3:15">
      <c r="C354">
        <f>20.45</f>
        <v>0</v>
      </c>
      <c r="D354">
        <f>0.45</f>
        <v>0</v>
      </c>
      <c r="E354">
        <f>E329*4.1864</f>
        <v>0</v>
      </c>
      <c r="F354">
        <f>F329*-10.887599999999999</f>
        <v>0</v>
      </c>
      <c r="G354">
        <f>G329*-1.868</f>
        <v>0</v>
      </c>
      <c r="H354">
        <f>H329*0.0</f>
        <v>0</v>
      </c>
      <c r="I354">
        <f>I329*-1.1249</f>
        <v>0</v>
      </c>
      <c r="J354">
        <f>J329*-25.350299999999997</f>
        <v>0</v>
      </c>
      <c r="K354">
        <f>K329*19.01275</f>
        <v>0</v>
      </c>
      <c r="L354">
        <f>L329*65.3814</f>
        <v>0</v>
      </c>
      <c r="M354">
        <f>M329*-92.52455</f>
        <v>0</v>
      </c>
      <c r="N354">
        <f>E354+F354+G354+H354+I354+J354+K354+L354</f>
        <v>0</v>
      </c>
      <c r="O354">
        <f>E354+F354+G354+H354+I354+J354+K354+M354</f>
        <v>0</v>
      </c>
    </row>
    <row r="355" spans="3:15">
      <c r="C355">
        <f>21.36</f>
        <v>0</v>
      </c>
      <c r="D355">
        <f>1.36</f>
        <v>0</v>
      </c>
      <c r="E355">
        <f>E329*6.0923</f>
        <v>0</v>
      </c>
      <c r="F355">
        <f>F329*-11.2134</f>
        <v>0</v>
      </c>
      <c r="G355">
        <f>G329*-2.06055</f>
        <v>0</v>
      </c>
      <c r="H355">
        <f>H329*0.0</f>
        <v>0</v>
      </c>
      <c r="I355">
        <f>I329*-1.4527</f>
        <v>0</v>
      </c>
      <c r="J355">
        <f>J329*-25.0577</f>
        <v>0</v>
      </c>
      <c r="K355">
        <f>K329*18.79325</f>
        <v>0</v>
      </c>
      <c r="L355">
        <f>L329*82.59835000000001</f>
        <v>0</v>
      </c>
      <c r="M355">
        <f>M329*-123.28</f>
        <v>0</v>
      </c>
      <c r="N355">
        <f>E355+F355+G355+H355+I355+J355+K355+L355</f>
        <v>0</v>
      </c>
      <c r="O355">
        <f>E355+F355+G355+H355+I355+J355+K355+M355</f>
        <v>0</v>
      </c>
    </row>
    <row r="356" spans="3:15">
      <c r="C356">
        <f>22.27</f>
        <v>0</v>
      </c>
      <c r="D356">
        <f>2.27</f>
        <v>0</v>
      </c>
      <c r="E356">
        <f>E329*4.28795</f>
        <v>0</v>
      </c>
      <c r="F356">
        <f>F329*-9.94965</f>
        <v>0</v>
      </c>
      <c r="G356">
        <f>G329*-1.6669999999999998</f>
        <v>0</v>
      </c>
      <c r="H356">
        <f>H329*0.0</f>
        <v>0</v>
      </c>
      <c r="I356">
        <f>I329*-1.5390000000000001</f>
        <v>0</v>
      </c>
      <c r="J356">
        <f>J329*-34.5143</f>
        <v>0</v>
      </c>
      <c r="K356">
        <f>K329*25.8857</f>
        <v>0</v>
      </c>
      <c r="L356">
        <f>L329*86.57425</f>
        <v>0</v>
      </c>
      <c r="M356">
        <f>M329*-112.34665000000001</f>
        <v>0</v>
      </c>
      <c r="N356">
        <f>E356+F356+G356+H356+I356+J356+K356+L356</f>
        <v>0</v>
      </c>
      <c r="O356">
        <f>E356+F356+G356+H356+I356+J356+K356+M356</f>
        <v>0</v>
      </c>
    </row>
    <row r="357" spans="3:15">
      <c r="C357">
        <f>23.18</f>
        <v>0</v>
      </c>
      <c r="D357">
        <f>3.18</f>
        <v>0</v>
      </c>
      <c r="E357">
        <f>E329*2.2769500000000003</f>
        <v>0</v>
      </c>
      <c r="F357">
        <f>F329*-8.45415</f>
        <v>0</v>
      </c>
      <c r="G357">
        <f>G329*-1.2458</f>
        <v>0</v>
      </c>
      <c r="H357">
        <f>H329*0.0</f>
        <v>0</v>
      </c>
      <c r="I357">
        <f>I329*-1.6088</f>
        <v>0</v>
      </c>
      <c r="J357">
        <f>J329*-41.57385</f>
        <v>0</v>
      </c>
      <c r="K357">
        <f>K329*31.18035</f>
        <v>0</v>
      </c>
      <c r="L357">
        <f>L329*90.15905000000001</f>
        <v>0</v>
      </c>
      <c r="M357">
        <f>M329*-102.5453</f>
        <v>0</v>
      </c>
      <c r="N357">
        <f>E357+F357+G357+H357+I357+J357+K357+L357</f>
        <v>0</v>
      </c>
      <c r="O357">
        <f>E357+F357+G357+H357+I357+J357+K357+M357</f>
        <v>0</v>
      </c>
    </row>
    <row r="358" spans="3:15">
      <c r="C358">
        <f>24.09</f>
        <v>0</v>
      </c>
      <c r="D358">
        <f>4.09</f>
        <v>0</v>
      </c>
      <c r="E358">
        <f>E329*-0.09555000000000002</f>
        <v>0</v>
      </c>
      <c r="F358">
        <f>F329*-7.68205</f>
        <v>0</v>
      </c>
      <c r="G358">
        <f>G329*-0.9149</f>
        <v>0</v>
      </c>
      <c r="H358">
        <f>H329*0.0</f>
        <v>0</v>
      </c>
      <c r="I358">
        <f>I329*-1.6832500000000001</f>
        <v>0</v>
      </c>
      <c r="J358">
        <f>J329*-48.48595</f>
        <v>0</v>
      </c>
      <c r="K358">
        <f>K329*36.3645</f>
        <v>0</v>
      </c>
      <c r="L358">
        <f>L329*93.73145</f>
        <v>0</v>
      </c>
      <c r="M358">
        <f>M329*-93.31765</f>
        <v>0</v>
      </c>
      <c r="N358">
        <f>E358+F358+G358+H358+I358+J358+K358+L358</f>
        <v>0</v>
      </c>
      <c r="O358">
        <f>E358+F358+G358+H358+I358+J358+K358+M358</f>
        <v>0</v>
      </c>
    </row>
    <row r="359" spans="3:15">
      <c r="C359">
        <f>25.0</f>
        <v>0</v>
      </c>
      <c r="D359">
        <f>5.0</f>
        <v>0</v>
      </c>
      <c r="E359">
        <f>E329*2.57105</f>
        <v>0</v>
      </c>
      <c r="F359">
        <f>F329*-4.40485</f>
        <v>0</v>
      </c>
      <c r="G359">
        <f>G329*-0.7288</f>
        <v>0</v>
      </c>
      <c r="H359">
        <f>H329*0.0</f>
        <v>0</v>
      </c>
      <c r="I359">
        <f>I329*-1.7674</f>
        <v>0</v>
      </c>
      <c r="J359">
        <f>J329*-25.311799999999998</f>
        <v>0</v>
      </c>
      <c r="K359">
        <f>K329*18.98385</f>
        <v>0</v>
      </c>
      <c r="L359">
        <f>L329*83.80215</f>
        <v>0</v>
      </c>
      <c r="M359">
        <f>M329*-88.49600000000001</f>
        <v>0</v>
      </c>
      <c r="N359">
        <f>E359+F359+G359+H359+I359+J359+K359+L359</f>
        <v>0</v>
      </c>
      <c r="O359">
        <f>E359+F359+G359+H359+I359+J359+K359+M359</f>
        <v>0</v>
      </c>
    </row>
    <row r="360" spans="3:15">
      <c r="C360">
        <f>26.0</f>
        <v>0</v>
      </c>
      <c r="D360">
        <f>6.0</f>
        <v>0</v>
      </c>
      <c r="E360">
        <f>E329*5.04005</f>
        <v>0</v>
      </c>
      <c r="F360">
        <f>F329*-1.0672499999999998</f>
        <v>0</v>
      </c>
      <c r="G360">
        <f>G329*-0.54035</f>
        <v>0</v>
      </c>
      <c r="H360">
        <f>H329*0.0</f>
        <v>0</v>
      </c>
      <c r="I360">
        <f>I329*-1.7817</f>
        <v>0</v>
      </c>
      <c r="J360">
        <f>J329*-1.58945</f>
        <v>0</v>
      </c>
      <c r="K360">
        <f>K329*1.1921</f>
        <v>0</v>
      </c>
      <c r="L360">
        <f>L329*70.0025</f>
        <v>0</v>
      </c>
      <c r="M360">
        <f>M329*-82.55895000000001</f>
        <v>0</v>
      </c>
      <c r="N360">
        <f>E360+F360+G360+H360+I360+J360+K360+L360</f>
        <v>0</v>
      </c>
      <c r="O360">
        <f>E360+F360+G360+H360+I360+J360+K360+M360</f>
        <v>0</v>
      </c>
    </row>
    <row r="361" spans="3:15">
      <c r="C361">
        <f>27.0</f>
        <v>0</v>
      </c>
      <c r="D361">
        <f>7.0</f>
        <v>0</v>
      </c>
      <c r="E361">
        <f>E329*2.3667000000000002</f>
        <v>0</v>
      </c>
      <c r="F361">
        <f>F329*-1.07085</f>
        <v>0</v>
      </c>
      <c r="G361">
        <f>G329*-0.30665</f>
        <v>0</v>
      </c>
      <c r="H361">
        <f>H329*0.0</f>
        <v>0</v>
      </c>
      <c r="I361">
        <f>I329*-1.7176</f>
        <v>0</v>
      </c>
      <c r="J361">
        <f>J329*-7.711749999999999</f>
        <v>0</v>
      </c>
      <c r="K361">
        <f>K329*5.783799999999999</f>
        <v>0</v>
      </c>
      <c r="L361">
        <f>L329*68.898</f>
        <v>0</v>
      </c>
      <c r="M361">
        <f>M329*-73.6</f>
        <v>0</v>
      </c>
      <c r="N361">
        <f>E361+F361+G361+H361+I361+J361+K361+L361</f>
        <v>0</v>
      </c>
      <c r="O361">
        <f>E361+F361+G361+H361+I361+J361+K361+M361</f>
        <v>0</v>
      </c>
    </row>
    <row r="362" spans="3:15">
      <c r="C362">
        <f>28.0</f>
        <v>0</v>
      </c>
      <c r="D362">
        <f>8.0</f>
        <v>0</v>
      </c>
      <c r="E362">
        <f>E329*-0.11660000000000001</f>
        <v>0</v>
      </c>
      <c r="F362">
        <f>F329*-1.3365</f>
        <v>0</v>
      </c>
      <c r="G362">
        <f>G329*-0.12514999999999998</f>
        <v>0</v>
      </c>
      <c r="H362">
        <f>H329*0.0</f>
        <v>0</v>
      </c>
      <c r="I362">
        <f>I329*-1.6357499999999998</f>
        <v>0</v>
      </c>
      <c r="J362">
        <f>J329*-13.6852</f>
        <v>0</v>
      </c>
      <c r="K362">
        <f>K329*10.26385</f>
        <v>0</v>
      </c>
      <c r="L362">
        <f>L329*68.04645</f>
        <v>0</v>
      </c>
      <c r="M362">
        <f>M329*-67.65090000000001</f>
        <v>0</v>
      </c>
      <c r="N362">
        <f>E362+F362+G362+H362+I362+J362+K362+L362</f>
        <v>0</v>
      </c>
      <c r="O362">
        <f>E362+F362+G362+H362+I362+J362+K362+M362</f>
        <v>0</v>
      </c>
    </row>
    <row r="363" spans="3:15">
      <c r="C363">
        <f>29.0</f>
        <v>0</v>
      </c>
      <c r="D363">
        <f>9.0</f>
        <v>0</v>
      </c>
      <c r="E363">
        <f>E329*-2.79885</f>
        <v>0</v>
      </c>
      <c r="F363">
        <f>F329*-2.0516</f>
        <v>0</v>
      </c>
      <c r="G363">
        <f>G329*0.004</f>
        <v>0</v>
      </c>
      <c r="H363">
        <f>H329*0.0</f>
        <v>0</v>
      </c>
      <c r="I363">
        <f>I329*-1.5265499999999999</f>
        <v>0</v>
      </c>
      <c r="J363">
        <f>J329*-20.04655</f>
        <v>0</v>
      </c>
      <c r="K363">
        <f>K329*15.0349</f>
        <v>0</v>
      </c>
      <c r="L363">
        <f>L329*68.4899</f>
        <v>0</v>
      </c>
      <c r="M363">
        <f>M329*-60.05629999999999</f>
        <v>0</v>
      </c>
      <c r="N363">
        <f>E363+F363+G363+H363+I363+J363+K363+L363</f>
        <v>0</v>
      </c>
      <c r="O363">
        <f>E363+F363+G363+H363+I363+J363+K363+M363</f>
        <v>0</v>
      </c>
    </row>
    <row r="364" spans="3:15">
      <c r="C364">
        <f>30.0</f>
        <v>0</v>
      </c>
      <c r="D364">
        <f>10.0</f>
        <v>0</v>
      </c>
      <c r="E364">
        <f>E329*0.04404999999999992</f>
        <v>0</v>
      </c>
      <c r="F364">
        <f>F329*-0.75285</f>
        <v>0</v>
      </c>
      <c r="G364">
        <f>G329*-0.11215</f>
        <v>0</v>
      </c>
      <c r="H364">
        <f>H329*0.0</f>
        <v>0</v>
      </c>
      <c r="I364">
        <f>I329*-1.197</f>
        <v>0</v>
      </c>
      <c r="J364">
        <f>J329*-1.0927000000000007</f>
        <v>0</v>
      </c>
      <c r="K364">
        <f>K329*0.8194999999999997</f>
        <v>0</v>
      </c>
      <c r="L364">
        <f>L329*61.26650000000001</f>
        <v>0</v>
      </c>
      <c r="M364">
        <f>M329*-61.951049999999995</f>
        <v>0</v>
      </c>
      <c r="N364">
        <f>E364+F364+G364+H364+I364+J364+K364+L364</f>
        <v>0</v>
      </c>
      <c r="O364">
        <f>E364+F364+G364+H364+I364+J364+K364+M364</f>
        <v>0</v>
      </c>
    </row>
    <row r="365" spans="3:15">
      <c r="C365">
        <f>31.0</f>
        <v>0</v>
      </c>
      <c r="D365">
        <f>11.0</f>
        <v>0</v>
      </c>
      <c r="E365">
        <f>E329*2.883</f>
        <v>0</v>
      </c>
      <c r="F365">
        <f>F329*0.5146999999999999</f>
        <v>0</v>
      </c>
      <c r="G365">
        <f>G329*-0.2327</f>
        <v>0</v>
      </c>
      <c r="H365">
        <f>H329*0.0</f>
        <v>0</v>
      </c>
      <c r="I365">
        <f>I329*-0.78645</f>
        <v>0</v>
      </c>
      <c r="J365">
        <f>J329*17.86955</f>
        <v>0</v>
      </c>
      <c r="K365">
        <f>K329*-13.4022</f>
        <v>0</v>
      </c>
      <c r="L365">
        <f>L329*58.626149999999996</f>
        <v>0</v>
      </c>
      <c r="M365">
        <f>M329*-68.2341</f>
        <v>0</v>
      </c>
      <c r="N365">
        <f>E365+F365+G365+H365+I365+J365+K365+L365</f>
        <v>0</v>
      </c>
      <c r="O365">
        <f>E365+F365+G365+H365+I365+J365+K365+M365</f>
        <v>0</v>
      </c>
    </row>
    <row r="366" spans="3:15">
      <c r="C366">
        <f>32.0</f>
        <v>0</v>
      </c>
      <c r="D366">
        <f>12.0</f>
        <v>0</v>
      </c>
      <c r="E366">
        <f>E329*0.18819999999999998</f>
        <v>0</v>
      </c>
      <c r="F366">
        <f>F329*-0.31735</f>
        <v>0</v>
      </c>
      <c r="G366">
        <f>G329*-0.12025</f>
        <v>0</v>
      </c>
      <c r="H366">
        <f>H329*0.0</f>
        <v>0</v>
      </c>
      <c r="I366">
        <f>I329*-0.48765000000000003</f>
        <v>0</v>
      </c>
      <c r="J366">
        <f>J329*11.5181</f>
        <v>0</v>
      </c>
      <c r="K366">
        <f>K329*-8.63855</f>
        <v>0</v>
      </c>
      <c r="L366">
        <f>L329*66.40065000000001</f>
        <v>0</v>
      </c>
      <c r="M366">
        <f>M329*-68.56045</f>
        <v>0</v>
      </c>
      <c r="N366">
        <f>E366+F366+G366+H366+I366+J366+K366+L366</f>
        <v>0</v>
      </c>
      <c r="O366">
        <f>E366+F366+G366+H366+I366+J366+K366+M366</f>
        <v>0</v>
      </c>
    </row>
    <row r="367" spans="3:15">
      <c r="C367">
        <f>33.0</f>
        <v>0</v>
      </c>
      <c r="D367">
        <f>13.0</f>
        <v>0</v>
      </c>
      <c r="E367">
        <f>E329*-2.3175</f>
        <v>0</v>
      </c>
      <c r="F367">
        <f>F329*-0.7727</f>
        <v>0</v>
      </c>
      <c r="G367">
        <f>G329*0.03434065</f>
        <v>0</v>
      </c>
      <c r="H367">
        <f>H329*0.0</f>
        <v>0</v>
      </c>
      <c r="I367">
        <f>I329*-0.18384999999999999</f>
        <v>0</v>
      </c>
      <c r="J367">
        <f>J329*5.5799</f>
        <v>0</v>
      </c>
      <c r="K367">
        <f>K329*-4.1849</f>
        <v>0</v>
      </c>
      <c r="L367">
        <f>L329*72.2205</f>
        <v>0</v>
      </c>
      <c r="M367">
        <f>M329*-68.8365</f>
        <v>0</v>
      </c>
      <c r="N367">
        <f>E367+F367+G367+H367+I367+J367+K367+L367</f>
        <v>0</v>
      </c>
      <c r="O367">
        <f>E367+F367+G367+H367+I367+J367+K367+M367</f>
        <v>0</v>
      </c>
    </row>
    <row r="368" spans="3:15">
      <c r="C368">
        <f>34.0</f>
        <v>0</v>
      </c>
      <c r="D368">
        <f>14.0</f>
        <v>0</v>
      </c>
      <c r="E368">
        <f>E329*-5.024649999999999</f>
        <v>0</v>
      </c>
      <c r="F368">
        <f>F329*-0.9857499999999999</f>
        <v>0</v>
      </c>
      <c r="G368">
        <f>G329*0.2387</f>
        <v>0</v>
      </c>
      <c r="H368">
        <f>H329*0.0</f>
        <v>0</v>
      </c>
      <c r="I368">
        <f>I329*0.03455</f>
        <v>0</v>
      </c>
      <c r="J368">
        <f>J329*-0.41774999999999995</f>
        <v>0</v>
      </c>
      <c r="K368">
        <f>K329*0.3133</f>
        <v>0</v>
      </c>
      <c r="L368">
        <f>L329*81.3013</f>
        <v>0</v>
      </c>
      <c r="M368">
        <f>M329*-70.10669999999999</f>
        <v>0</v>
      </c>
      <c r="N368">
        <f>E368+F368+G368+H368+I368+J368+K368+L368</f>
        <v>0</v>
      </c>
      <c r="O368">
        <f>E368+F368+G368+H368+I368+J368+K368+M368</f>
        <v>0</v>
      </c>
    </row>
    <row r="369" spans="3:15">
      <c r="C369">
        <f>35.0</f>
        <v>0</v>
      </c>
      <c r="D369">
        <f>15.0</f>
        <v>0</v>
      </c>
      <c r="E369">
        <f>E329*-2.62765</f>
        <v>0</v>
      </c>
      <c r="F369">
        <f>F329*1.44015</f>
        <v>0</v>
      </c>
      <c r="G369">
        <f>G329*0.2965</f>
        <v>0</v>
      </c>
      <c r="H369">
        <f>H329*0.0</f>
        <v>0</v>
      </c>
      <c r="I369">
        <f>I329*0.39525</f>
        <v>0</v>
      </c>
      <c r="J369">
        <f>J329*23.15355</f>
        <v>0</v>
      </c>
      <c r="K369">
        <f>K329*-17.36515</f>
        <v>0</v>
      </c>
      <c r="L369">
        <f>L329*87.86070000000001</f>
        <v>0</v>
      </c>
      <c r="M369">
        <f>M329*-84.97945</f>
        <v>0</v>
      </c>
      <c r="N369">
        <f>E369+F369+G369+H369+I369+J369+K369+L369</f>
        <v>0</v>
      </c>
      <c r="O369">
        <f>E369+F369+G369+H369+I369+J369+K369+M369</f>
        <v>0</v>
      </c>
    </row>
    <row r="370" spans="3:15">
      <c r="C370">
        <f>35.91</f>
        <v>0</v>
      </c>
      <c r="D370">
        <f>15.91</f>
        <v>0</v>
      </c>
      <c r="E370">
        <f>E329*-0.04329999999999998</f>
        <v>0</v>
      </c>
      <c r="F370">
        <f>F329*3.95195</f>
        <v>0</v>
      </c>
      <c r="G370">
        <f>G329*0.37370000000000003</f>
        <v>0</v>
      </c>
      <c r="H370">
        <f>H329*0.0</f>
        <v>0</v>
      </c>
      <c r="I370">
        <f>I329*0.7496499999999999</f>
        <v>0</v>
      </c>
      <c r="J370">
        <f>J329*46.40385</f>
        <v>0</v>
      </c>
      <c r="K370">
        <f>K329*-34.802899999999994</f>
        <v>0</v>
      </c>
      <c r="L370">
        <f>L329*93.2543</f>
        <v>0</v>
      </c>
      <c r="M370">
        <f>M329*-95.9607</f>
        <v>0</v>
      </c>
      <c r="N370">
        <f>E370+F370+G370+H370+I370+J370+K370+L370</f>
        <v>0</v>
      </c>
      <c r="O370">
        <f>E370+F370+G370+H370+I370+J370+K370+M370</f>
        <v>0</v>
      </c>
    </row>
    <row r="371" spans="3:15">
      <c r="C371">
        <f>36.82</f>
        <v>0</v>
      </c>
      <c r="D371">
        <f>16.82</f>
        <v>0</v>
      </c>
      <c r="E371">
        <f>E329*-2.4943</f>
        <v>0</v>
      </c>
      <c r="F371">
        <f>F329*4.85255</f>
        <v>0</v>
      </c>
      <c r="G371">
        <f>G329*0.72655</f>
        <v>0</v>
      </c>
      <c r="H371">
        <f>H329*0.0</f>
        <v>0</v>
      </c>
      <c r="I371">
        <f>I329*1.04805</f>
        <v>0</v>
      </c>
      <c r="J371">
        <f>J329*40.3327</f>
        <v>0</v>
      </c>
      <c r="K371">
        <f>K329*-30.24955</f>
        <v>0</v>
      </c>
      <c r="L371">
        <f>L329*102.04315</f>
        <v>0</v>
      </c>
      <c r="M371">
        <f>M329*-92.14495</f>
        <v>0</v>
      </c>
      <c r="N371">
        <f>E371+F371+G371+H371+I371+J371+K371+L371</f>
        <v>0</v>
      </c>
      <c r="O371">
        <f>E371+F371+G371+H371+I371+J371+K371+M371</f>
        <v>0</v>
      </c>
    </row>
    <row r="372" spans="3:15">
      <c r="C372">
        <f>37.73</f>
        <v>0</v>
      </c>
      <c r="D372">
        <f>17.73</f>
        <v>0</v>
      </c>
      <c r="E372">
        <f>E329*-4.610049999999999</f>
        <v>0</v>
      </c>
      <c r="F372">
        <f>F329*6.7363</f>
        <v>0</v>
      </c>
      <c r="G372">
        <f>G329*1.2088</f>
        <v>0</v>
      </c>
      <c r="H372">
        <f>H329*0.0</f>
        <v>0</v>
      </c>
      <c r="I372">
        <f>I329*1.58775</f>
        <v>0</v>
      </c>
      <c r="J372">
        <f>J329*34.585</f>
        <v>0</v>
      </c>
      <c r="K372">
        <f>K329*-25.93875</f>
        <v>0</v>
      </c>
      <c r="L372">
        <f>L329*112.53200000000001</f>
        <v>0</v>
      </c>
      <c r="M372">
        <f>M329*-88.1754</f>
        <v>0</v>
      </c>
      <c r="N372">
        <f>E372+F372+G372+H372+I372+J372+K372+L372</f>
        <v>0</v>
      </c>
      <c r="O372">
        <f>E372+F372+G372+H372+I372+J372+K372+M372</f>
        <v>0</v>
      </c>
    </row>
    <row r="373" spans="3:15">
      <c r="C373">
        <f>38.64</f>
        <v>0</v>
      </c>
      <c r="D373">
        <f>18.64</f>
        <v>0</v>
      </c>
      <c r="E373">
        <f>E329*-6.531549999999999</f>
        <v>0</v>
      </c>
      <c r="F373">
        <f>F329*8.92315</f>
        <v>0</v>
      </c>
      <c r="G373">
        <f>G329*1.7423</f>
        <v>0</v>
      </c>
      <c r="H373">
        <f>H329*0.0</f>
        <v>0</v>
      </c>
      <c r="I373">
        <f>I329*2.02565</f>
        <v>0</v>
      </c>
      <c r="J373">
        <f>J329*27.0364</f>
        <v>0</v>
      </c>
      <c r="K373">
        <f>K329*-20.27735</f>
        <v>0</v>
      </c>
      <c r="L373">
        <f>L329*124.54955</f>
        <v>0</v>
      </c>
      <c r="M373">
        <f>M329*-83.85579999999999</f>
        <v>0</v>
      </c>
      <c r="N373">
        <f>E373+F373+G373+H373+I373+J373+K373+L373</f>
        <v>0</v>
      </c>
      <c r="O373">
        <f>E373+F373+G373+H373+I373+J373+K373+M373</f>
        <v>0</v>
      </c>
    </row>
    <row r="374" spans="3:15">
      <c r="C374">
        <f>39.55</f>
        <v>0</v>
      </c>
      <c r="D374">
        <f>19.55</f>
        <v>0</v>
      </c>
      <c r="E374">
        <f>E329*-4.6674</f>
        <v>0</v>
      </c>
      <c r="F374">
        <f>F329*9.3577</f>
        <v>0</v>
      </c>
      <c r="G374">
        <f>G329*1.6629</f>
        <v>0</v>
      </c>
      <c r="H374">
        <f>H329*0.0</f>
        <v>0</v>
      </c>
      <c r="I374">
        <f>I329*1.7654</f>
        <v>0</v>
      </c>
      <c r="J374">
        <f>J329*28.40495</f>
        <v>0</v>
      </c>
      <c r="K374">
        <f>K329*-21.30375</f>
        <v>0</v>
      </c>
      <c r="L374">
        <f>L329*102.1378</f>
        <v>0</v>
      </c>
      <c r="M374">
        <f>M329*-91.14955</f>
        <v>0</v>
      </c>
      <c r="N374">
        <f>E374+F374+G374+H374+I374+J374+K374+L374</f>
        <v>0</v>
      </c>
      <c r="O374">
        <f>E374+F374+G374+H374+I374+J374+K374+M374</f>
        <v>0</v>
      </c>
    </row>
    <row r="375" spans="3:15">
      <c r="C375">
        <f>40.0</f>
        <v>0</v>
      </c>
      <c r="D375">
        <f>20.0</f>
        <v>0</v>
      </c>
      <c r="E375">
        <f>E329*-1.4425</f>
        <v>0</v>
      </c>
      <c r="F375">
        <f>F329*10.5717</f>
        <v>0</v>
      </c>
      <c r="G375">
        <f>G329*1.3155</f>
        <v>0</v>
      </c>
      <c r="H375">
        <f>H329*0.0</f>
        <v>0</v>
      </c>
      <c r="I375">
        <f>I329*1.7216</f>
        <v>0</v>
      </c>
      <c r="J375">
        <f>J329*42.4722</f>
        <v>0</v>
      </c>
      <c r="K375">
        <f>K329*-31.8542</f>
        <v>0</v>
      </c>
      <c r="L375">
        <f>L329*75.1195</f>
        <v>0</v>
      </c>
      <c r="M375">
        <f>M329*-101.1291</f>
        <v>0</v>
      </c>
      <c r="N375">
        <f>E375+F375+G375+H375+I375+J375+K375+L375</f>
        <v>0</v>
      </c>
      <c r="O375">
        <f>E375+F375+G375+H375+I375+J375+K375+M375</f>
        <v>0</v>
      </c>
    </row>
    <row r="376" spans="3:15">
      <c r="C376">
        <f>40.0</f>
        <v>0</v>
      </c>
      <c r="D376">
        <f>0.0</f>
        <v>0</v>
      </c>
      <c r="E376">
        <f>E329*0.503</f>
        <v>0</v>
      </c>
      <c r="F376">
        <f>F329*-11.2619</f>
        <v>0</v>
      </c>
      <c r="G376">
        <f>G329*-1.3698</f>
        <v>0</v>
      </c>
      <c r="H376">
        <f>H329*0.0</f>
        <v>0</v>
      </c>
      <c r="I376">
        <f>I329*-12.6889</f>
        <v>0</v>
      </c>
      <c r="J376">
        <f>J329*-31.7312</f>
        <v>0</v>
      </c>
      <c r="K376">
        <f>K329*23.7984</f>
        <v>0</v>
      </c>
      <c r="L376">
        <f>L329*13.9476</f>
        <v>0</v>
      </c>
      <c r="M376">
        <f>M329*-30.7036</f>
        <v>0</v>
      </c>
      <c r="N376">
        <f>E376+F376+G376+H376+I376+J376+K376+L376</f>
        <v>0</v>
      </c>
      <c r="O376">
        <f>E376+F376+G376+H376+I376+J376+K376+M376</f>
        <v>0</v>
      </c>
    </row>
    <row r="377" spans="3:15">
      <c r="C377">
        <f>40.45</f>
        <v>0</v>
      </c>
      <c r="D377">
        <f>0.45</f>
        <v>0</v>
      </c>
      <c r="E377">
        <f>E329*3.4652</f>
        <v>0</v>
      </c>
      <c r="F377">
        <f>F329*-10.48885</f>
        <v>0</v>
      </c>
      <c r="G377">
        <f>G329*-1.7686000000000002</f>
        <v>0</v>
      </c>
      <c r="H377">
        <f>H329*0.0</f>
        <v>0</v>
      </c>
      <c r="I377">
        <f>I329*-13.8163</f>
        <v>0</v>
      </c>
      <c r="J377">
        <f>J329*-14.89555</f>
        <v>0</v>
      </c>
      <c r="K377">
        <f>K329*11.17165</f>
        <v>0</v>
      </c>
      <c r="L377">
        <f>L329*26.69965</f>
        <v>0</v>
      </c>
      <c r="M377">
        <f>M329*-52.33945</f>
        <v>0</v>
      </c>
      <c r="N377">
        <f>E377+F377+G377+H377+I377+J377+K377+L377</f>
        <v>0</v>
      </c>
      <c r="O377">
        <f>E377+F377+G377+H377+I377+J377+K377+M377</f>
        <v>0</v>
      </c>
    </row>
    <row r="378" spans="3:15">
      <c r="C378">
        <f>41.36</f>
        <v>0</v>
      </c>
      <c r="D378">
        <f>1.36</f>
        <v>0</v>
      </c>
      <c r="E378">
        <f>E329*5.01725</f>
        <v>0</v>
      </c>
      <c r="F378">
        <f>F329*-12.322849999999999</f>
        <v>0</v>
      </c>
      <c r="G378">
        <f>G329*-2.1677</f>
        <v>0</v>
      </c>
      <c r="H378">
        <f>H329*0.0</f>
        <v>0</v>
      </c>
      <c r="I378">
        <f>I329*-13.59765</f>
        <v>0</v>
      </c>
      <c r="J378">
        <f>J329*-12.8682</f>
        <v>0</v>
      </c>
      <c r="K378">
        <f>K329*9.651150000000001</f>
        <v>0</v>
      </c>
      <c r="L378">
        <f>L329*40.36685</f>
        <v>0</v>
      </c>
      <c r="M378">
        <f>M329*-67.7526</f>
        <v>0</v>
      </c>
      <c r="N378">
        <f>E378+F378+G378+H378+I378+J378+K378+L378</f>
        <v>0</v>
      </c>
      <c r="O378">
        <f>E378+F378+G378+H378+I378+J378+K378+M378</f>
        <v>0</v>
      </c>
    </row>
    <row r="379" spans="3:15">
      <c r="C379">
        <f>42.27</f>
        <v>0</v>
      </c>
      <c r="D379">
        <f>2.27</f>
        <v>0</v>
      </c>
      <c r="E379">
        <f>E329*2.9478999999999997</f>
        <v>0</v>
      </c>
      <c r="F379">
        <f>F329*-11.69915</f>
        <v>0</v>
      </c>
      <c r="G379">
        <f>G329*-1.8547</f>
        <v>0</v>
      </c>
      <c r="H379">
        <f>H329*0.0</f>
        <v>0</v>
      </c>
      <c r="I379">
        <f>I329*-9.84815</f>
        <v>0</v>
      </c>
      <c r="J379">
        <f>J329*-20.8888</f>
        <v>0</v>
      </c>
      <c r="K379">
        <f>K329*15.6666</f>
        <v>0</v>
      </c>
      <c r="L379">
        <f>L329*43.04625</f>
        <v>0</v>
      </c>
      <c r="M379">
        <f>M329*-65.98895</f>
        <v>0</v>
      </c>
      <c r="N379">
        <f>E379+F379+G379+H379+I379+J379+K379+L379</f>
        <v>0</v>
      </c>
      <c r="O379">
        <f>E379+F379+G379+H379+I379+J379+K379+M379</f>
        <v>0</v>
      </c>
    </row>
    <row r="380" spans="3:15">
      <c r="C380">
        <f>43.18</f>
        <v>0</v>
      </c>
      <c r="D380">
        <f>3.18</f>
        <v>0</v>
      </c>
      <c r="E380">
        <f>E329*0.60565</f>
        <v>0</v>
      </c>
      <c r="F380">
        <f>F329*-10.3127</f>
        <v>0</v>
      </c>
      <c r="G380">
        <f>G329*-1.42915</f>
        <v>0</v>
      </c>
      <c r="H380">
        <f>H329*0.0</f>
        <v>0</v>
      </c>
      <c r="I380">
        <f>I329*-6.43975</f>
        <v>0</v>
      </c>
      <c r="J380">
        <f>J329*-25.019</f>
        <v>0</v>
      </c>
      <c r="K380">
        <f>K329*18.76425</f>
        <v>0</v>
      </c>
      <c r="L380">
        <f>L329*45.9644</f>
        <v>0</v>
      </c>
      <c r="M380">
        <f>M329*-58.77915</f>
        <v>0</v>
      </c>
      <c r="N380">
        <f>E380+F380+G380+H380+I380+J380+K380+L380</f>
        <v>0</v>
      </c>
      <c r="O380">
        <f>E380+F380+G380+H380+I380+J380+K380+M380</f>
        <v>0</v>
      </c>
    </row>
    <row r="381" spans="3:15">
      <c r="C381">
        <f>44.09</f>
        <v>0</v>
      </c>
      <c r="D381">
        <f>4.09</f>
        <v>0</v>
      </c>
      <c r="E381">
        <f>E329*-2.1148499999999997</f>
        <v>0</v>
      </c>
      <c r="F381">
        <f>F329*-8.90905</f>
        <v>0</v>
      </c>
      <c r="G381">
        <f>G329*-0.98165</f>
        <v>0</v>
      </c>
      <c r="H381">
        <f>H329*0.0</f>
        <v>0</v>
      </c>
      <c r="I381">
        <f>I329*-4.29825</f>
        <v>0</v>
      </c>
      <c r="J381">
        <f>J329*-28.0601</f>
        <v>0</v>
      </c>
      <c r="K381">
        <f>K329*21.045099999999998</f>
        <v>0</v>
      </c>
      <c r="L381">
        <f>L329*49.939099999999996</f>
        <v>0</v>
      </c>
      <c r="M381">
        <f>M329*-48.8441</f>
        <v>0</v>
      </c>
      <c r="N381">
        <f>E381+F381+G381+H381+I381+J381+K381+L381</f>
        <v>0</v>
      </c>
      <c r="O381">
        <f>E381+F381+G381+H381+I381+J381+K381+M381</f>
        <v>0</v>
      </c>
    </row>
    <row r="382" spans="3:15">
      <c r="C382">
        <f>45.0</f>
        <v>0</v>
      </c>
      <c r="D382">
        <f>5.0</f>
        <v>0</v>
      </c>
      <c r="E382">
        <f>E329*-0.6751</f>
        <v>0</v>
      </c>
      <c r="F382">
        <f>F329*-6.788399999999999</f>
        <v>0</v>
      </c>
      <c r="G382">
        <f>G329*-0.8895500000000001</f>
        <v>0</v>
      </c>
      <c r="H382">
        <f>H329*0.0</f>
        <v>0</v>
      </c>
      <c r="I382">
        <f>I329*1.5161</f>
        <v>0</v>
      </c>
      <c r="J382">
        <f>J329*8.142699999999998</f>
        <v>0</v>
      </c>
      <c r="K382">
        <f>K329*-6.106999999999999</f>
        <v>0</v>
      </c>
      <c r="L382">
        <f>L329*44.41315</f>
        <v>0</v>
      </c>
      <c r="M382">
        <f>M329*-50.57015</f>
        <v>0</v>
      </c>
      <c r="N382">
        <f>E382+F382+G382+H382+I382+J382+K382+L382</f>
        <v>0</v>
      </c>
      <c r="O382">
        <f>E382+F382+G382+H382+I382+J382+K382+M382</f>
        <v>0</v>
      </c>
    </row>
    <row r="383" spans="3:15">
      <c r="C383">
        <f>46.0</f>
        <v>0</v>
      </c>
      <c r="D383">
        <f>6.0</f>
        <v>0</v>
      </c>
      <c r="E383">
        <f>E329*0.5653</f>
        <v>0</v>
      </c>
      <c r="F383">
        <f>F329*-4.31325</f>
        <v>0</v>
      </c>
      <c r="G383">
        <f>G329*-0.7503</f>
        <v>0</v>
      </c>
      <c r="H383">
        <f>H329*0.0</f>
        <v>0</v>
      </c>
      <c r="I383">
        <f>I329*7.38285</f>
        <v>0</v>
      </c>
      <c r="J383">
        <f>J329*44.942949999999996</f>
        <v>0</v>
      </c>
      <c r="K383">
        <f>K329*-33.7072</f>
        <v>0</v>
      </c>
      <c r="L383">
        <f>L329*40.68475</f>
        <v>0</v>
      </c>
      <c r="M383">
        <f>M329*-54.6403</f>
        <v>0</v>
      </c>
      <c r="N383">
        <f>E383+F383+G383+H383+I383+J383+K383+L383</f>
        <v>0</v>
      </c>
      <c r="O383">
        <f>E383+F383+G383+H383+I383+J383+K383+M383</f>
        <v>0</v>
      </c>
    </row>
    <row r="384" spans="3:15">
      <c r="C384">
        <f>47.0</f>
        <v>0</v>
      </c>
      <c r="D384">
        <f>7.0</f>
        <v>0</v>
      </c>
      <c r="E384">
        <f>E329*-2.4410499999999997</f>
        <v>0</v>
      </c>
      <c r="F384">
        <f>F329*-2.6791</f>
        <v>0</v>
      </c>
      <c r="G384">
        <f>G329*-0.248</f>
        <v>0</v>
      </c>
      <c r="H384">
        <f>H329*0.0</f>
        <v>0</v>
      </c>
      <c r="I384">
        <f>I329*9.2219</f>
        <v>0</v>
      </c>
      <c r="J384">
        <f>J329*43.33755</f>
        <v>0</v>
      </c>
      <c r="K384">
        <f>K329*-32.503150000000005</f>
        <v>0</v>
      </c>
      <c r="L384">
        <f>L329*49.22005</f>
        <v>0</v>
      </c>
      <c r="M384">
        <f>M329*-49.347</f>
        <v>0</v>
      </c>
      <c r="N384">
        <f>E384+F384+G384+H384+I384+J384+K384+L384</f>
        <v>0</v>
      </c>
      <c r="O384">
        <f>E384+F384+G384+H384+I384+J384+K384+M384</f>
        <v>0</v>
      </c>
    </row>
    <row r="385" spans="3:15">
      <c r="C385">
        <f>48.0</f>
        <v>0</v>
      </c>
      <c r="D385">
        <f>8.0</f>
        <v>0</v>
      </c>
      <c r="E385">
        <f>E329*-5.04555</f>
        <v>0</v>
      </c>
      <c r="F385">
        <f>F329*-1.059</f>
        <v>0</v>
      </c>
      <c r="G385">
        <f>G329*0.22715</f>
        <v>0</v>
      </c>
      <c r="H385">
        <f>H329*0.0</f>
        <v>0</v>
      </c>
      <c r="I385">
        <f>I329*11.60785</f>
        <v>0</v>
      </c>
      <c r="J385">
        <f>J329*41.43775</f>
        <v>0</v>
      </c>
      <c r="K385">
        <f>K329*-31.0783</f>
        <v>0</v>
      </c>
      <c r="L385">
        <f>L329*56.4863</f>
        <v>0</v>
      </c>
      <c r="M385">
        <f>M329*-47.50395</f>
        <v>0</v>
      </c>
      <c r="N385">
        <f>E385+F385+G385+H385+I385+J385+K385+L385</f>
        <v>0</v>
      </c>
      <c r="O385">
        <f>E385+F385+G385+H385+I385+J385+K385+M385</f>
        <v>0</v>
      </c>
    </row>
    <row r="386" spans="3:15">
      <c r="C386">
        <f>49.0</f>
        <v>0</v>
      </c>
      <c r="D386">
        <f>9.0</f>
        <v>0</v>
      </c>
      <c r="E386">
        <f>E329*-7.2207</f>
        <v>0</v>
      </c>
      <c r="F386">
        <f>F329*0.3669</f>
        <v>0</v>
      </c>
      <c r="G386">
        <f>G329*0.6588</f>
        <v>0</v>
      </c>
      <c r="H386">
        <f>H329*0.0</f>
        <v>0</v>
      </c>
      <c r="I386">
        <f>I329*13.95815</f>
        <v>0</v>
      </c>
      <c r="J386">
        <f>J329*38.0784</f>
        <v>0</v>
      </c>
      <c r="K386">
        <f>K329*-28.5588</f>
        <v>0</v>
      </c>
      <c r="L386">
        <f>L329*62.91955</f>
        <v>0</v>
      </c>
      <c r="M386">
        <f>M329*-47.792500000000004</f>
        <v>0</v>
      </c>
      <c r="N386">
        <f>E386+F386+G386+H386+I386+J386+K386+L386</f>
        <v>0</v>
      </c>
      <c r="O386">
        <f>E386+F386+G386+H386+I386+J386+K386+M386</f>
        <v>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10:O386"/>
  <sheetViews>
    <sheetView workbookViewId="0"/>
  </sheetViews>
  <sheetFormatPr defaultRowHeight="15"/>
  <sheetData>
    <row r="10" spans="3:1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</row>
    <row r="11" spans="3:15">
      <c r="C11">
        <f>0.0</f>
        <v>0</v>
      </c>
      <c r="D11">
        <f>0.0</f>
        <v>0</v>
      </c>
      <c r="E11">
        <f>E9*22.5127</f>
        <v>0</v>
      </c>
      <c r="F11">
        <f>F9*-37.2308</f>
        <v>0</v>
      </c>
      <c r="G11">
        <f>G9*-7.4928</f>
        <v>0</v>
      </c>
      <c r="H11">
        <f>H9*0.0</f>
        <v>0</v>
      </c>
      <c r="I11">
        <f>I9*-0.0594</f>
        <v>0</v>
      </c>
      <c r="J11">
        <f>J9*-199.0404</f>
        <v>0</v>
      </c>
      <c r="K11">
        <f>K9*149.2803</f>
        <v>0</v>
      </c>
      <c r="L11">
        <f>L9*174.7993</f>
        <v>0</v>
      </c>
      <c r="M11">
        <f>M9*-247.0091</f>
        <v>0</v>
      </c>
      <c r="N11">
        <f>E11+F11+G11+H11+I11+J11+K11+L11</f>
        <v>0</v>
      </c>
      <c r="O11">
        <f>E11+F11+G11+H11+I11+J11+K11+M11</f>
        <v>0</v>
      </c>
    </row>
    <row r="12" spans="3:15">
      <c r="C12">
        <f>1.0</f>
        <v>0</v>
      </c>
      <c r="D12">
        <f>1.0</f>
        <v>0</v>
      </c>
      <c r="E12">
        <f>E9*32.963899999999995</f>
        <v>0</v>
      </c>
      <c r="F12">
        <f>F9*200.86475000000002</f>
        <v>0</v>
      </c>
      <c r="G12">
        <f>G9*28.2072</f>
        <v>0</v>
      </c>
      <c r="H12">
        <f>H9*0.0</f>
        <v>0</v>
      </c>
      <c r="I12">
        <f>I9*-0.0538</f>
        <v>0</v>
      </c>
      <c r="J12">
        <f>J9*-81.4091</f>
        <v>0</v>
      </c>
      <c r="K12">
        <f>K9*61.056850000000004</f>
        <v>0</v>
      </c>
      <c r="L12">
        <f>L9*365.0811</f>
        <v>0</v>
      </c>
      <c r="M12">
        <f>M9*-35.3154</f>
        <v>0</v>
      </c>
      <c r="N12">
        <f>E12+F12+G12+H12+I12+J12+K12+L12</f>
        <v>0</v>
      </c>
      <c r="O12">
        <f>E12+F12+G12+H12+I12+J12+K12+M12</f>
        <v>0</v>
      </c>
    </row>
    <row r="13" spans="3:15">
      <c r="C13">
        <f>2.0</f>
        <v>0</v>
      </c>
      <c r="D13">
        <f>2.0</f>
        <v>0</v>
      </c>
      <c r="E13">
        <f>E9*44.031400000000005</f>
        <v>0</v>
      </c>
      <c r="F13">
        <f>F9*402.06745</f>
        <v>0</v>
      </c>
      <c r="G13">
        <f>G9*57.88365</f>
        <v>0</v>
      </c>
      <c r="H13">
        <f>H9*0.0</f>
        <v>0</v>
      </c>
      <c r="I13">
        <f>I9*-0.0479</f>
        <v>0</v>
      </c>
      <c r="J13">
        <f>J9*4.69365</f>
        <v>0</v>
      </c>
      <c r="K13">
        <f>K9*-3.52025</f>
        <v>0</v>
      </c>
      <c r="L13">
        <f>L9*612.2945500000001</f>
        <v>0</v>
      </c>
      <c r="M13">
        <f>M9*-13.52465</f>
        <v>0</v>
      </c>
      <c r="N13">
        <f>E13+F13+G13+H13+I13+J13+K13+L13</f>
        <v>0</v>
      </c>
      <c r="O13">
        <f>E13+F13+G13+H13+I13+J13+K13+M13</f>
        <v>0</v>
      </c>
    </row>
    <row r="14" spans="3:15">
      <c r="C14">
        <f>3.0</f>
        <v>0</v>
      </c>
      <c r="D14">
        <f>3.0</f>
        <v>0</v>
      </c>
      <c r="E14">
        <f>E9*55.66665</f>
        <v>0</v>
      </c>
      <c r="F14">
        <f>F9*570.0949</f>
        <v>0</v>
      </c>
      <c r="G14">
        <f>G9*82.13300000000001</f>
        <v>0</v>
      </c>
      <c r="H14">
        <f>H9*0.0</f>
        <v>0</v>
      </c>
      <c r="I14">
        <f>I9*-0.041999999999999996</f>
        <v>0</v>
      </c>
      <c r="J14">
        <f>J9*84.79615</f>
        <v>0</v>
      </c>
      <c r="K14">
        <f>K9*-63.5971</f>
        <v>0</v>
      </c>
      <c r="L14">
        <f>L9*826.06795</f>
        <v>0</v>
      </c>
      <c r="M14">
        <f>M9*-15.02825</f>
        <v>0</v>
      </c>
      <c r="N14">
        <f>E14+F14+G14+H14+I14+J14+K14+L14</f>
        <v>0</v>
      </c>
      <c r="O14">
        <f>E14+F14+G14+H14+I14+J14+K14+M14</f>
        <v>0</v>
      </c>
    </row>
    <row r="15" spans="3:15">
      <c r="C15">
        <f>4.0</f>
        <v>0</v>
      </c>
      <c r="D15">
        <f>4.0</f>
        <v>0</v>
      </c>
      <c r="E15">
        <f>E9*67.11965000000001</f>
        <v>0</v>
      </c>
      <c r="F15">
        <f>F9*705.0429</f>
        <v>0</v>
      </c>
      <c r="G15">
        <f>G9*101.04124999999999</f>
        <v>0</v>
      </c>
      <c r="H15">
        <f>H9*0.0</f>
        <v>0</v>
      </c>
      <c r="I15">
        <f>I9*-0.03645</f>
        <v>0</v>
      </c>
      <c r="J15">
        <f>J9*166.13365</f>
        <v>0</v>
      </c>
      <c r="K15">
        <f>K9*-124.60025</f>
        <v>0</v>
      </c>
      <c r="L15">
        <f>L9*987.50955</f>
        <v>0</v>
      </c>
      <c r="M15">
        <f>M9*-16.817999999999998</f>
        <v>0</v>
      </c>
      <c r="N15">
        <f>E15+F15+G15+H15+I15+J15+K15+L15</f>
        <v>0</v>
      </c>
      <c r="O15">
        <f>E15+F15+G15+H15+I15+J15+K15+M15</f>
        <v>0</v>
      </c>
    </row>
    <row r="16" spans="3:15">
      <c r="C16">
        <f>5.0</f>
        <v>0</v>
      </c>
      <c r="D16">
        <f>5.0</f>
        <v>0</v>
      </c>
      <c r="E16">
        <f>E9*80.06524999999999</f>
        <v>0</v>
      </c>
      <c r="F16">
        <f>F9*829.73665</f>
        <v>0</v>
      </c>
      <c r="G16">
        <f>G9*117.84155000000001</f>
        <v>0</v>
      </c>
      <c r="H16">
        <f>H9*0.0</f>
        <v>0</v>
      </c>
      <c r="I16">
        <f>I9*-0.0318</f>
        <v>0</v>
      </c>
      <c r="J16">
        <f>J9*228.39185</f>
        <v>0</v>
      </c>
      <c r="K16">
        <f>K9*-171.2939</f>
        <v>0</v>
      </c>
      <c r="L16">
        <f>L9*1131.4135</f>
        <v>0</v>
      </c>
      <c r="M16">
        <f>M9*-18.975050000000003</f>
        <v>0</v>
      </c>
      <c r="N16">
        <f>E16+F16+G16+H16+I16+J16+K16+L16</f>
        <v>0</v>
      </c>
      <c r="O16">
        <f>E16+F16+G16+H16+I16+J16+K16+M16</f>
        <v>0</v>
      </c>
    </row>
    <row r="17" spans="3:15">
      <c r="C17">
        <f>6.0</f>
        <v>0</v>
      </c>
      <c r="D17">
        <f>6.0</f>
        <v>0</v>
      </c>
      <c r="E17">
        <f>E9*86.48685</f>
        <v>0</v>
      </c>
      <c r="F17">
        <f>F9*928.0550000000001</f>
        <v>0</v>
      </c>
      <c r="G17">
        <f>G9*132.9737</f>
        <v>0</v>
      </c>
      <c r="H17">
        <f>H9*0.0</f>
        <v>0</v>
      </c>
      <c r="I17">
        <f>I9*-0.02895</f>
        <v>0</v>
      </c>
      <c r="J17">
        <f>J9*209.5135</f>
        <v>0</v>
      </c>
      <c r="K17">
        <f>K9*-157.13515</f>
        <v>0</v>
      </c>
      <c r="L17">
        <f>L9*1265.74425</f>
        <v>0</v>
      </c>
      <c r="M17">
        <f>M9*-21.1777</f>
        <v>0</v>
      </c>
      <c r="N17">
        <f>E17+F17+G17+H17+I17+J17+K17+L17</f>
        <v>0</v>
      </c>
      <c r="O17">
        <f>E17+F17+G17+H17+I17+J17+K17+M17</f>
        <v>0</v>
      </c>
    </row>
    <row r="18" spans="3:15">
      <c r="C18">
        <f>7.0</f>
        <v>0</v>
      </c>
      <c r="D18">
        <f>7.0</f>
        <v>0</v>
      </c>
      <c r="E18">
        <f>E9*91.56505</f>
        <v>0</v>
      </c>
      <c r="F18">
        <f>F9*1000.9651</f>
        <v>0</v>
      </c>
      <c r="G18">
        <f>G9*143.91305</f>
        <v>0</v>
      </c>
      <c r="H18">
        <f>H9*0.0</f>
        <v>0</v>
      </c>
      <c r="I18">
        <f>I9*-0.026500000000000003</f>
        <v>0</v>
      </c>
      <c r="J18">
        <f>J9*198.8629</f>
        <v>0</v>
      </c>
      <c r="K18">
        <f>K9*-149.1472</f>
        <v>0</v>
      </c>
      <c r="L18">
        <f>L9*1363.3456</f>
        <v>0</v>
      </c>
      <c r="M18">
        <f>M9*-23.2643</f>
        <v>0</v>
      </c>
      <c r="N18">
        <f>E18+F18+G18+H18+I18+J18+K18+L18</f>
        <v>0</v>
      </c>
      <c r="O18">
        <f>E18+F18+G18+H18+I18+J18+K18+M18</f>
        <v>0</v>
      </c>
    </row>
    <row r="19" spans="3:15">
      <c r="C19">
        <f>8.0</f>
        <v>0</v>
      </c>
      <c r="D19">
        <f>8.0</f>
        <v>0</v>
      </c>
      <c r="E19">
        <f>E9*96.83525</f>
        <v>0</v>
      </c>
      <c r="F19">
        <f>F9*1053.2486</f>
        <v>0</v>
      </c>
      <c r="G19">
        <f>G9*151.34629999999999</f>
        <v>0</v>
      </c>
      <c r="H19">
        <f>H9*0.0</f>
        <v>0</v>
      </c>
      <c r="I19">
        <f>I9*-0.024300000000000002</f>
        <v>0</v>
      </c>
      <c r="J19">
        <f>J9*198.52300000000002</f>
        <v>0</v>
      </c>
      <c r="K19">
        <f>K9*-148.89225</f>
        <v>0</v>
      </c>
      <c r="L19">
        <f>L9*1426.03325</f>
        <v>0</v>
      </c>
      <c r="M19">
        <f>M9*-25.3527</f>
        <v>0</v>
      </c>
      <c r="N19">
        <f>E19+F19+G19+H19+I19+J19+K19+L19</f>
        <v>0</v>
      </c>
      <c r="O19">
        <f>E19+F19+G19+H19+I19+J19+K19+M19</f>
        <v>0</v>
      </c>
    </row>
    <row r="20" spans="3:15">
      <c r="C20">
        <f>9.0</f>
        <v>0</v>
      </c>
      <c r="D20">
        <f>9.0</f>
        <v>0</v>
      </c>
      <c r="E20">
        <f>E9*102.34935</f>
        <v>0</v>
      </c>
      <c r="F20">
        <f>F9*1085.92975</f>
        <v>0</v>
      </c>
      <c r="G20">
        <f>G9*155.40564999999998</f>
        <v>0</v>
      </c>
      <c r="H20">
        <f>H9*0.0</f>
        <v>0</v>
      </c>
      <c r="I20">
        <f>I9*-0.0225</f>
        <v>0</v>
      </c>
      <c r="J20">
        <f>J9*208.8111</f>
        <v>0</v>
      </c>
      <c r="K20">
        <f>K9*-156.60834999999997</f>
        <v>0</v>
      </c>
      <c r="L20">
        <f>L9*1452.9787000000001</f>
        <v>0</v>
      </c>
      <c r="M20">
        <f>M9*-27.503950000000003</f>
        <v>0</v>
      </c>
      <c r="N20">
        <f>E20+F20+G20+H20+I20+J20+K20+L20</f>
        <v>0</v>
      </c>
      <c r="O20">
        <f>E20+F20+G20+H20+I20+J20+K20+M20</f>
        <v>0</v>
      </c>
    </row>
    <row r="21" spans="3:15">
      <c r="C21">
        <f>10.0</f>
        <v>0</v>
      </c>
      <c r="D21">
        <f>10.0</f>
        <v>0</v>
      </c>
      <c r="E21">
        <f>E9*107.29745</f>
        <v>0</v>
      </c>
      <c r="F21">
        <f>F9*1096.97755</f>
        <v>0</v>
      </c>
      <c r="G21">
        <f>G9*155.7715</f>
        <v>0</v>
      </c>
      <c r="H21">
        <f>H9*0.0</f>
        <v>0</v>
      </c>
      <c r="I21">
        <f>I9*-0.0216</f>
        <v>0</v>
      </c>
      <c r="J21">
        <f>J9*222.4644</f>
        <v>0</v>
      </c>
      <c r="K21">
        <f>K9*-166.8483</f>
        <v>0</v>
      </c>
      <c r="L21">
        <f>L9*1446.50515</f>
        <v>0</v>
      </c>
      <c r="M21">
        <f>M9*-29.5681</f>
        <v>0</v>
      </c>
      <c r="N21">
        <f>E21+F21+G21+H21+I21+J21+K21+L21</f>
        <v>0</v>
      </c>
      <c r="O21">
        <f>E21+F21+G21+H21+I21+J21+K21+M21</f>
        <v>0</v>
      </c>
    </row>
    <row r="22" spans="3:15">
      <c r="C22">
        <f>11.0</f>
        <v>0</v>
      </c>
      <c r="D22">
        <f>11.0</f>
        <v>0</v>
      </c>
      <c r="E22">
        <f>E9*101.69915</f>
        <v>0</v>
      </c>
      <c r="F22">
        <f>F9*1080.19705</f>
        <v>0</v>
      </c>
      <c r="G22">
        <f>G9*154.54950000000002</f>
        <v>0</v>
      </c>
      <c r="H22">
        <f>H9*0.0</f>
        <v>0</v>
      </c>
      <c r="I22">
        <f>I9*-0.02305</f>
        <v>0</v>
      </c>
      <c r="J22">
        <f>J9*206.1235</f>
        <v>0</v>
      </c>
      <c r="K22">
        <f>K9*-154.5926</f>
        <v>0</v>
      </c>
      <c r="L22">
        <f>L9*1450.58695</f>
        <v>0</v>
      </c>
      <c r="M22">
        <f>M9*-32.344449999999995</f>
        <v>0</v>
      </c>
      <c r="N22">
        <f>E22+F22+G22+H22+I22+J22+K22+L22</f>
        <v>0</v>
      </c>
      <c r="O22">
        <f>E22+F22+G22+H22+I22+J22+K22+M22</f>
        <v>0</v>
      </c>
    </row>
    <row r="23" spans="3:15">
      <c r="C23">
        <f>12.0</f>
        <v>0</v>
      </c>
      <c r="D23">
        <f>12.0</f>
        <v>0</v>
      </c>
      <c r="E23">
        <f>E9*95.29105</f>
        <v>0</v>
      </c>
      <c r="F23">
        <f>F9*1041.02115</f>
        <v>0</v>
      </c>
      <c r="G23">
        <f>G9*149.53820000000002</f>
        <v>0</v>
      </c>
      <c r="H23">
        <f>H9*0.0</f>
        <v>0</v>
      </c>
      <c r="I23">
        <f>I9*-0.025099999999999997</f>
        <v>0</v>
      </c>
      <c r="J23">
        <f>J9*195.47050000000002</f>
        <v>0</v>
      </c>
      <c r="K23">
        <f>K9*-146.60285</f>
        <v>0</v>
      </c>
      <c r="L23">
        <f>L9*1417.0253</f>
        <v>0</v>
      </c>
      <c r="M23">
        <f>M9*-35.42765</f>
        <v>0</v>
      </c>
      <c r="N23">
        <f>E23+F23+G23+H23+I23+J23+K23+L23</f>
        <v>0</v>
      </c>
      <c r="O23">
        <f>E23+F23+G23+H23+I23+J23+K23+M23</f>
        <v>0</v>
      </c>
    </row>
    <row r="24" spans="3:15">
      <c r="C24">
        <f>13.0</f>
        <v>0</v>
      </c>
      <c r="D24">
        <f>13.0</f>
        <v>0</v>
      </c>
      <c r="E24">
        <f>E9*89.18345</f>
        <v>0</v>
      </c>
      <c r="F24">
        <f>F9*982.7719</f>
        <v>0</v>
      </c>
      <c r="G24">
        <f>G9*141.2289</f>
        <v>0</v>
      </c>
      <c r="H24">
        <f>H9*0.0</f>
        <v>0</v>
      </c>
      <c r="I24">
        <f>I9*-0.0279</f>
        <v>0</v>
      </c>
      <c r="J24">
        <f>J9*195.49155000000002</f>
        <v>0</v>
      </c>
      <c r="K24">
        <f>K9*-146.6187</f>
        <v>0</v>
      </c>
      <c r="L24">
        <f>L9*1348.44995</f>
        <v>0</v>
      </c>
      <c r="M24">
        <f>M9*-38.30905</f>
        <v>0</v>
      </c>
      <c r="N24">
        <f>E24+F24+G24+H24+I24+J24+K24+L24</f>
        <v>0</v>
      </c>
      <c r="O24">
        <f>E24+F24+G24+H24+I24+J24+K24+M24</f>
        <v>0</v>
      </c>
    </row>
    <row r="25" spans="3:15">
      <c r="C25">
        <f>14.0</f>
        <v>0</v>
      </c>
      <c r="D25">
        <f>14.0</f>
        <v>0</v>
      </c>
      <c r="E25">
        <f>E9*83.285</f>
        <v>0</v>
      </c>
      <c r="F25">
        <f>F9*904.29325</f>
        <v>0</v>
      </c>
      <c r="G25">
        <f>G9*129.4697</f>
        <v>0</v>
      </c>
      <c r="H25">
        <f>H9*0.0</f>
        <v>0</v>
      </c>
      <c r="I25">
        <f>I9*-0.03195</f>
        <v>0</v>
      </c>
      <c r="J25">
        <f>J9*206.02945</f>
        <v>0</v>
      </c>
      <c r="K25">
        <f>K9*-154.5221</f>
        <v>0</v>
      </c>
      <c r="L25">
        <f>L9*1249.9846499999999</f>
        <v>0</v>
      </c>
      <c r="M25">
        <f>M9*-41.150949999999995</f>
        <v>0</v>
      </c>
      <c r="N25">
        <f>E25+F25+G25+H25+I25+J25+K25+L25</f>
        <v>0</v>
      </c>
      <c r="O25">
        <f>E25+F25+G25+H25+I25+J25+K25+M25</f>
        <v>0</v>
      </c>
    </row>
    <row r="26" spans="3:15">
      <c r="C26">
        <f>15.0</f>
        <v>0</v>
      </c>
      <c r="D26">
        <f>15.0</f>
        <v>0</v>
      </c>
      <c r="E26">
        <f>E9*76.09715</f>
        <v>0</v>
      </c>
      <c r="F26">
        <f>F9*801.3819000000001</f>
        <v>0</v>
      </c>
      <c r="G26">
        <f>G9*113.6456</f>
        <v>0</v>
      </c>
      <c r="H26">
        <f>H9*0.0</f>
        <v>0</v>
      </c>
      <c r="I26">
        <f>I9*-0.0398</f>
        <v>0</v>
      </c>
      <c r="J26">
        <f>J9*224.30235</f>
        <v>0</v>
      </c>
      <c r="K26">
        <f>K9*-168.22675</f>
        <v>0</v>
      </c>
      <c r="L26">
        <f>L9*1110.56045</f>
        <v>0</v>
      </c>
      <c r="M26">
        <f>M9*-44.1788</f>
        <v>0</v>
      </c>
      <c r="N26">
        <f>E26+F26+G26+H26+I26+J26+K26+L26</f>
        <v>0</v>
      </c>
      <c r="O26">
        <f>E26+F26+G26+H26+I26+J26+K26+M26</f>
        <v>0</v>
      </c>
    </row>
    <row r="27" spans="3:15">
      <c r="C27">
        <f>15.91</f>
        <v>0</v>
      </c>
      <c r="D27">
        <f>15.91</f>
        <v>0</v>
      </c>
      <c r="E27">
        <f>E9*61.200450000000004</f>
        <v>0</v>
      </c>
      <c r="F27">
        <f>F9*678.80955</f>
        <v>0</v>
      </c>
      <c r="G27">
        <f>G9*97.24615</f>
        <v>0</v>
      </c>
      <c r="H27">
        <f>H9*0.0</f>
        <v>0</v>
      </c>
      <c r="I27">
        <f>I9*-0.036000000000000004</f>
        <v>0</v>
      </c>
      <c r="J27">
        <f>J9*199.0267</f>
        <v>0</v>
      </c>
      <c r="K27">
        <f>K9*-149.27</f>
        <v>0</v>
      </c>
      <c r="L27">
        <f>L9*974.23395</f>
        <v>0</v>
      </c>
      <c r="M27">
        <f>M9*-49.670100000000005</f>
        <v>0</v>
      </c>
      <c r="N27">
        <f>E27+F27+G27+H27+I27+J27+K27+L27</f>
        <v>0</v>
      </c>
      <c r="O27">
        <f>E27+F27+G27+H27+I27+J27+K27+M27</f>
        <v>0</v>
      </c>
    </row>
    <row r="28" spans="3:15">
      <c r="C28">
        <f>16.82</f>
        <v>0</v>
      </c>
      <c r="D28">
        <f>16.82</f>
        <v>0</v>
      </c>
      <c r="E28">
        <f>E9*46.74775</f>
        <v>0</v>
      </c>
      <c r="F28">
        <f>F9*543.88735</f>
        <v>0</v>
      </c>
      <c r="G28">
        <f>G9*78.59015</f>
        <v>0</v>
      </c>
      <c r="H28">
        <f>H9*0.0</f>
        <v>0</v>
      </c>
      <c r="I28">
        <f>I9*-0.02965</f>
        <v>0</v>
      </c>
      <c r="J28">
        <f>J9*162.20665000000002</f>
        <v>0</v>
      </c>
      <c r="K28">
        <f>K9*-121.655</f>
        <v>0</v>
      </c>
      <c r="L28">
        <f>L9*810.19645</f>
        <v>0</v>
      </c>
      <c r="M28">
        <f>M9*-56.8467</f>
        <v>0</v>
      </c>
      <c r="N28">
        <f>E28+F28+G28+H28+I28+J28+K28+L28</f>
        <v>0</v>
      </c>
      <c r="O28">
        <f>E28+F28+G28+H28+I28+J28+K28+M28</f>
        <v>0</v>
      </c>
    </row>
    <row r="29" spans="3:15">
      <c r="C29">
        <f>17.73</f>
        <v>0</v>
      </c>
      <c r="D29">
        <f>17.73</f>
        <v>0</v>
      </c>
      <c r="E29">
        <f>E9*31.47375</f>
        <v>0</v>
      </c>
      <c r="F29">
        <f>F9*380.0173</f>
        <v>0</v>
      </c>
      <c r="G29">
        <f>G9*55.3191</f>
        <v>0</v>
      </c>
      <c r="H29">
        <f>H9*0.0</f>
        <v>0</v>
      </c>
      <c r="I29">
        <f>I9*-0.0204</f>
        <v>0</v>
      </c>
      <c r="J29">
        <f>J9*130.50835</f>
        <v>0</v>
      </c>
      <c r="K29">
        <f>K9*-97.88125</f>
        <v>0</v>
      </c>
      <c r="L29">
        <f>L9*592.6903500000001</f>
        <v>0</v>
      </c>
      <c r="M29">
        <f>M9*-64.89565</f>
        <v>0</v>
      </c>
      <c r="N29">
        <f>E29+F29+G29+H29+I29+J29+K29+L29</f>
        <v>0</v>
      </c>
      <c r="O29">
        <f>E29+F29+G29+H29+I29+J29+K29+M29</f>
        <v>0</v>
      </c>
    </row>
    <row r="30" spans="3:15">
      <c r="C30">
        <f>18.64</f>
        <v>0</v>
      </c>
      <c r="D30">
        <f>18.64</f>
        <v>0</v>
      </c>
      <c r="E30">
        <f>E9*16.495</f>
        <v>0</v>
      </c>
      <c r="F30">
        <f>F9*196.5464</f>
        <v>0</v>
      </c>
      <c r="G30">
        <f>G9*28.757649999999998</f>
        <v>0</v>
      </c>
      <c r="H30">
        <f>H9*0.0</f>
        <v>0</v>
      </c>
      <c r="I30">
        <f>I9*-0.0056500000000000005</f>
        <v>0</v>
      </c>
      <c r="J30">
        <f>J9*104.30144999999999</f>
        <v>0</v>
      </c>
      <c r="K30">
        <f>K9*-78.22605</f>
        <v>0</v>
      </c>
      <c r="L30">
        <f>L9*327.09720000000004</f>
        <v>0</v>
      </c>
      <c r="M30">
        <f>M9*-74.5495</f>
        <v>0</v>
      </c>
      <c r="N30">
        <f>E30+F30+G30+H30+I30+J30+K30+L30</f>
        <v>0</v>
      </c>
      <c r="O30">
        <f>E30+F30+G30+H30+I30+J30+K30+M30</f>
        <v>0</v>
      </c>
    </row>
    <row r="31" spans="3:15">
      <c r="C31">
        <f>19.55</f>
        <v>0</v>
      </c>
      <c r="D31">
        <f>19.55</f>
        <v>0</v>
      </c>
      <c r="E31">
        <f>E9*-0.010550000000000004</f>
        <v>0</v>
      </c>
      <c r="F31">
        <f>F9*-19.5208</f>
        <v>0</v>
      </c>
      <c r="G31">
        <f>G9*-2.91125</f>
        <v>0</v>
      </c>
      <c r="H31">
        <f>H9*0.0</f>
        <v>0</v>
      </c>
      <c r="I31">
        <f>I9*0.01895</f>
        <v>0</v>
      </c>
      <c r="J31">
        <f>J9*72.51984999999999</f>
        <v>0</v>
      </c>
      <c r="K31">
        <f>K9*-54.3899</f>
        <v>0</v>
      </c>
      <c r="L31">
        <f>L9*5.87775</f>
        <v>0</v>
      </c>
      <c r="M31">
        <f>M9*-105.97455</f>
        <v>0</v>
      </c>
      <c r="N31">
        <f>E31+F31+G31+H31+I31+J31+K31+L31</f>
        <v>0</v>
      </c>
      <c r="O31">
        <f>E31+F31+G31+H31+I31+J31+K31+M31</f>
        <v>0</v>
      </c>
    </row>
    <row r="32" spans="3:15">
      <c r="C32">
        <f>20.0</f>
        <v>0</v>
      </c>
      <c r="D32">
        <f>20.0</f>
        <v>0</v>
      </c>
      <c r="E32">
        <f>E9*-0.8312</f>
        <v>0</v>
      </c>
      <c r="F32">
        <f>F9*-8.5863</f>
        <v>0</v>
      </c>
      <c r="G32">
        <f>G9*-1.2428</f>
        <v>0</v>
      </c>
      <c r="H32">
        <f>H9*0.0</f>
        <v>0</v>
      </c>
      <c r="I32">
        <f>I9*0.0005662999999999999</f>
        <v>0</v>
      </c>
      <c r="J32">
        <f>J9*87.7996</f>
        <v>0</v>
      </c>
      <c r="K32">
        <f>K9*-65.8497</f>
        <v>0</v>
      </c>
      <c r="L32">
        <f>L9*4.3147</f>
        <v>0</v>
      </c>
      <c r="M32">
        <f>M9*-12.5633</f>
        <v>0</v>
      </c>
      <c r="N32">
        <f>E32+F32+G32+H32+I32+J32+K32+L32</f>
        <v>0</v>
      </c>
      <c r="O32">
        <f>E32+F32+G32+H32+I32+J32+K32+M32</f>
        <v>0</v>
      </c>
    </row>
    <row r="33" spans="3:15">
      <c r="C33">
        <f>20.0</f>
        <v>0</v>
      </c>
      <c r="D33">
        <f>0.0</f>
        <v>0</v>
      </c>
      <c r="E33">
        <f>E9*-0.9574</f>
        <v>0</v>
      </c>
      <c r="F33">
        <f>F9*-7.3493</f>
        <v>0</v>
      </c>
      <c r="G33">
        <f>G9*-1.0557</f>
        <v>0</v>
      </c>
      <c r="H33">
        <f>H9*0.0</f>
        <v>0</v>
      </c>
      <c r="I33">
        <f>I9*0.1402</f>
        <v>0</v>
      </c>
      <c r="J33">
        <f>J9*90.1497</f>
        <v>0</v>
      </c>
      <c r="K33">
        <f>K9*-67.6122</f>
        <v>0</v>
      </c>
      <c r="L33">
        <f>L9*1.1637</f>
        <v>0</v>
      </c>
      <c r="M33">
        <f>M9*-11.8232</f>
        <v>0</v>
      </c>
      <c r="N33">
        <f>E33+F33+G33+H33+I33+J33+K33+L33</f>
        <v>0</v>
      </c>
      <c r="O33">
        <f>E33+F33+G33+H33+I33+J33+K33+M33</f>
        <v>0</v>
      </c>
    </row>
    <row r="34" spans="3:15">
      <c r="C34">
        <f>20.45</f>
        <v>0</v>
      </c>
      <c r="D34">
        <f>0.45</f>
        <v>0</v>
      </c>
      <c r="E34">
        <f>E9*1.06155</f>
        <v>0</v>
      </c>
      <c r="F34">
        <f>F9*-27.30265</f>
        <v>0</v>
      </c>
      <c r="G34">
        <f>G9*-4.0952</f>
        <v>0</v>
      </c>
      <c r="H34">
        <f>H9*0.0</f>
        <v>0</v>
      </c>
      <c r="I34">
        <f>I9*-1.25305</f>
        <v>0</v>
      </c>
      <c r="J34">
        <f>J9*55.4505</f>
        <v>0</v>
      </c>
      <c r="K34">
        <f>K9*-41.58785</f>
        <v>0</v>
      </c>
      <c r="L34">
        <f>L9*36.83325</f>
        <v>0</v>
      </c>
      <c r="M34">
        <f>M9*-68.7208</f>
        <v>0</v>
      </c>
      <c r="N34">
        <f>E34+F34+G34+H34+I34+J34+K34+L34</f>
        <v>0</v>
      </c>
      <c r="O34">
        <f>E34+F34+G34+H34+I34+J34+K34+M34</f>
        <v>0</v>
      </c>
    </row>
    <row r="35" spans="3:15">
      <c r="C35">
        <f>21.36</f>
        <v>0</v>
      </c>
      <c r="D35">
        <f>1.36</f>
        <v>0</v>
      </c>
      <c r="E35">
        <f>E9*17.843600000000002</f>
        <v>0</v>
      </c>
      <c r="F35">
        <f>F9*179.12304999999998</f>
        <v>0</v>
      </c>
      <c r="G35">
        <f>G9*26.13755</f>
        <v>0</v>
      </c>
      <c r="H35">
        <f>H9*0.0</f>
        <v>0</v>
      </c>
      <c r="I35">
        <f>I9*-1.7403</f>
        <v>0</v>
      </c>
      <c r="J35">
        <f>J9*75.0877</f>
        <v>0</v>
      </c>
      <c r="K35">
        <f>K9*-56.315799999999996</f>
        <v>0</v>
      </c>
      <c r="L35">
        <f>L9*307.1675</f>
        <v>0</v>
      </c>
      <c r="M35">
        <f>M9*-16.636400000000002</f>
        <v>0</v>
      </c>
      <c r="N35">
        <f>E35+F35+G35+H35+I35+J35+K35+L35</f>
        <v>0</v>
      </c>
      <c r="O35">
        <f>E35+F35+G35+H35+I35+J35+K35+M35</f>
        <v>0</v>
      </c>
    </row>
    <row r="36" spans="3:15">
      <c r="C36">
        <f>22.27</f>
        <v>0</v>
      </c>
      <c r="D36">
        <f>2.27</f>
        <v>0</v>
      </c>
      <c r="E36">
        <f>E9*31.9512</f>
        <v>0</v>
      </c>
      <c r="F36">
        <f>F9*361.7876</f>
        <v>0</v>
      </c>
      <c r="G36">
        <f>G9*52.60655</f>
        <v>0</v>
      </c>
      <c r="H36">
        <f>H9*0.0</f>
        <v>0</v>
      </c>
      <c r="I36">
        <f>I9*-1.1337000000000002</f>
        <v>0</v>
      </c>
      <c r="J36">
        <f>J9*108.08295</f>
        <v>0</v>
      </c>
      <c r="K36">
        <f>K9*-81.0622</f>
        <v>0</v>
      </c>
      <c r="L36">
        <f>L9*570.90275</f>
        <v>0</v>
      </c>
      <c r="M36">
        <f>M9*-12.360949999999999</f>
        <v>0</v>
      </c>
      <c r="N36">
        <f>E36+F36+G36+H36+I36+J36+K36+L36</f>
        <v>0</v>
      </c>
      <c r="O36">
        <f>E36+F36+G36+H36+I36+J36+K36+M36</f>
        <v>0</v>
      </c>
    </row>
    <row r="37" spans="3:15">
      <c r="C37">
        <f>23.18</f>
        <v>0</v>
      </c>
      <c r="D37">
        <f>3.18</f>
        <v>0</v>
      </c>
      <c r="E37">
        <f>E9*46.46225</f>
        <v>0</v>
      </c>
      <c r="F37">
        <f>F9*524.0514000000001</f>
        <v>0</v>
      </c>
      <c r="G37">
        <f>G9*75.66329999999999</f>
        <v>0</v>
      </c>
      <c r="H37">
        <f>H9*0.0</f>
        <v>0</v>
      </c>
      <c r="I37">
        <f>I9*-0.64645</f>
        <v>0</v>
      </c>
      <c r="J37">
        <f>J9*144.8001</f>
        <v>0</v>
      </c>
      <c r="K37">
        <f>K9*-108.60005</f>
        <v>0</v>
      </c>
      <c r="L37">
        <f>L9*791.82905</f>
        <v>0</v>
      </c>
      <c r="M37">
        <f>M9*-13.565249999999999</f>
        <v>0</v>
      </c>
      <c r="N37">
        <f>E37+F37+G37+H37+I37+J37+K37+L37</f>
        <v>0</v>
      </c>
      <c r="O37">
        <f>E37+F37+G37+H37+I37+J37+K37+M37</f>
        <v>0</v>
      </c>
    </row>
    <row r="38" spans="3:15">
      <c r="C38">
        <f>24.09</f>
        <v>0</v>
      </c>
      <c r="D38">
        <f>4.09</f>
        <v>0</v>
      </c>
      <c r="E38">
        <f>E9*60.2493</f>
        <v>0</v>
      </c>
      <c r="F38">
        <f>F9*657.1522500000001</f>
        <v>0</v>
      </c>
      <c r="G38">
        <f>G9*94.0699</f>
        <v>0</v>
      </c>
      <c r="H38">
        <f>H9*0.0</f>
        <v>0</v>
      </c>
      <c r="I38">
        <f>I9*-0.23859999999999998</f>
        <v>0</v>
      </c>
      <c r="J38">
        <f>J9*185.54555</f>
        <v>0</v>
      </c>
      <c r="K38">
        <f>K9*-139.15915</f>
        <v>0</v>
      </c>
      <c r="L38">
        <f>L9*958.81345</f>
        <v>0</v>
      </c>
      <c r="M38">
        <f>M9*-14.9348</f>
        <v>0</v>
      </c>
      <c r="N38">
        <f>E38+F38+G38+H38+I38+J38+K38+L38</f>
        <v>0</v>
      </c>
      <c r="O38">
        <f>E38+F38+G38+H38+I38+J38+K38+M38</f>
        <v>0</v>
      </c>
    </row>
    <row r="39" spans="3:15">
      <c r="C39">
        <f>25.0</f>
        <v>0</v>
      </c>
      <c r="D39">
        <f>5.0</f>
        <v>0</v>
      </c>
      <c r="E39">
        <f>E9*74.54384999999999</f>
        <v>0</v>
      </c>
      <c r="F39">
        <f>F9*777.3378</f>
        <v>0</v>
      </c>
      <c r="G39">
        <f>G9*110.1328</f>
        <v>0</v>
      </c>
      <c r="H39">
        <f>H9*0.0</f>
        <v>0</v>
      </c>
      <c r="I39">
        <f>I9*0.12455</f>
        <v>0</v>
      </c>
      <c r="J39">
        <f>J9*213.4786</f>
        <v>0</v>
      </c>
      <c r="K39">
        <f>K9*-160.10895</f>
        <v>0</v>
      </c>
      <c r="L39">
        <f>L9*1096.43965</f>
        <v>0</v>
      </c>
      <c r="M39">
        <f>M9*-16.662599999999998</f>
        <v>0</v>
      </c>
      <c r="N39">
        <f>E39+F39+G39+H39+I39+J39+K39+L39</f>
        <v>0</v>
      </c>
      <c r="O39">
        <f>E39+F39+G39+H39+I39+J39+K39+M39</f>
        <v>0</v>
      </c>
    </row>
    <row r="40" spans="3:15">
      <c r="C40">
        <f>26.0</f>
        <v>0</v>
      </c>
      <c r="D40">
        <f>6.0</f>
        <v>0</v>
      </c>
      <c r="E40">
        <f>E9*81.28264999999999</f>
        <v>0</v>
      </c>
      <c r="F40">
        <f>F9*876.4439500000001</f>
        <v>0</v>
      </c>
      <c r="G40">
        <f>G9*125.40055</f>
        <v>0</v>
      </c>
      <c r="H40">
        <f>H9*0.0</f>
        <v>0</v>
      </c>
      <c r="I40">
        <f>I9*0.86585</f>
        <v>0</v>
      </c>
      <c r="J40">
        <f>J9*194.6039</f>
        <v>0</v>
      </c>
      <c r="K40">
        <f>K9*-145.95295</f>
        <v>0</v>
      </c>
      <c r="L40">
        <f>L9*1233.1271000000002</f>
        <v>0</v>
      </c>
      <c r="M40">
        <f>M9*-18.2322</f>
        <v>0</v>
      </c>
      <c r="N40">
        <f>E40+F40+G40+H40+I40+J40+K40+L40</f>
        <v>0</v>
      </c>
      <c r="O40">
        <f>E40+F40+G40+H40+I40+J40+K40+M40</f>
        <v>0</v>
      </c>
    </row>
    <row r="41" spans="3:15">
      <c r="C41">
        <f>27.0</f>
        <v>0</v>
      </c>
      <c r="D41">
        <f>7.0</f>
        <v>0</v>
      </c>
      <c r="E41">
        <f>E9*86.77725000000001</f>
        <v>0</v>
      </c>
      <c r="F41">
        <f>F9*951.2874999999999</f>
        <v>0</v>
      </c>
      <c r="G41">
        <f>G9*136.62655</f>
        <v>0</v>
      </c>
      <c r="H41">
        <f>H9*0.0</f>
        <v>0</v>
      </c>
      <c r="I41">
        <f>I9*1.66275</f>
        <v>0</v>
      </c>
      <c r="J41">
        <f>J9*183.1821</f>
        <v>0</v>
      </c>
      <c r="K41">
        <f>K9*-137.38655</f>
        <v>0</v>
      </c>
      <c r="L41">
        <f>L9*1329.3031</f>
        <v>0</v>
      </c>
      <c r="M41">
        <f>M9*-20.598750000000003</f>
        <v>0</v>
      </c>
      <c r="N41">
        <f>E41+F41+G41+H41+I41+J41+K41+L41</f>
        <v>0</v>
      </c>
      <c r="O41">
        <f>E41+F41+G41+H41+I41+J41+K41+M41</f>
        <v>0</v>
      </c>
    </row>
    <row r="42" spans="3:15">
      <c r="C42">
        <f>28.0</f>
        <v>0</v>
      </c>
      <c r="D42">
        <f>8.0</f>
        <v>0</v>
      </c>
      <c r="E42">
        <f>E9*92.51695000000001</f>
        <v>0</v>
      </c>
      <c r="F42">
        <f>F9*1005.90545</f>
        <v>0</v>
      </c>
      <c r="G42">
        <f>G9*144.3995</f>
        <v>0</v>
      </c>
      <c r="H42">
        <f>H9*0.0</f>
        <v>0</v>
      </c>
      <c r="I42">
        <f>I9*2.58375</f>
        <v>0</v>
      </c>
      <c r="J42">
        <f>J9*181.7074</f>
        <v>0</v>
      </c>
      <c r="K42">
        <f>K9*-136.28055</f>
        <v>0</v>
      </c>
      <c r="L42">
        <f>L9*1394.8845499999998</f>
        <v>0</v>
      </c>
      <c r="M42">
        <f>M9*-23.15115</f>
        <v>0</v>
      </c>
      <c r="N42">
        <f>E42+F42+G42+H42+I42+J42+K42+L42</f>
        <v>0</v>
      </c>
      <c r="O42">
        <f>E42+F42+G42+H42+I42+J42+K42+M42</f>
        <v>0</v>
      </c>
    </row>
    <row r="43" spans="3:15">
      <c r="C43">
        <f>29.0</f>
        <v>0</v>
      </c>
      <c r="D43">
        <f>9.0</f>
        <v>0</v>
      </c>
      <c r="E43">
        <f>E9*98.5808</f>
        <v>0</v>
      </c>
      <c r="F43">
        <f>F9*1041.38045</f>
        <v>0</v>
      </c>
      <c r="G43">
        <f>G9*148.85955</f>
        <v>0</v>
      </c>
      <c r="H43">
        <f>H9*0.0</f>
        <v>0</v>
      </c>
      <c r="I43">
        <f>I9*3.7432</f>
        <v>0</v>
      </c>
      <c r="J43">
        <f>J9*190.2459</f>
        <v>0</v>
      </c>
      <c r="K43">
        <f>K9*-142.68445</f>
        <v>0</v>
      </c>
      <c r="L43">
        <f>L9*1424.34665</f>
        <v>0</v>
      </c>
      <c r="M43">
        <f>M9*-25.94145</f>
        <v>0</v>
      </c>
      <c r="N43">
        <f>E43+F43+G43+H43+I43+J43+K43+L43</f>
        <v>0</v>
      </c>
      <c r="O43">
        <f>E43+F43+G43+H43+I43+J43+K43+M43</f>
        <v>0</v>
      </c>
    </row>
    <row r="44" spans="3:15">
      <c r="C44">
        <f>30.0</f>
        <v>0</v>
      </c>
      <c r="D44">
        <f>10.0</f>
        <v>0</v>
      </c>
      <c r="E44">
        <f>E9*103.99365</f>
        <v>0</v>
      </c>
      <c r="F44">
        <f>F9*1054.94</f>
        <v>0</v>
      </c>
      <c r="G44">
        <f>G9*149.58859999999999</f>
        <v>0</v>
      </c>
      <c r="H44">
        <f>H9*0.0</f>
        <v>0</v>
      </c>
      <c r="I44">
        <f>I9*5.15745</f>
        <v>0</v>
      </c>
      <c r="J44">
        <f>J9*202.8065</f>
        <v>0</v>
      </c>
      <c r="K44">
        <f>K9*-152.10485</f>
        <v>0</v>
      </c>
      <c r="L44">
        <f>L9*1418.01365</f>
        <v>0</v>
      </c>
      <c r="M44">
        <f>M9*-28.65645</f>
        <v>0</v>
      </c>
      <c r="N44">
        <f>E44+F44+G44+H44+I44+J44+K44+L44</f>
        <v>0</v>
      </c>
      <c r="O44">
        <f>E44+F44+G44+H44+I44+J44+K44+M44</f>
        <v>0</v>
      </c>
    </row>
    <row r="45" spans="3:15">
      <c r="C45">
        <f>31.0</f>
        <v>0</v>
      </c>
      <c r="D45">
        <f>11.0</f>
        <v>0</v>
      </c>
      <c r="E45">
        <f>E9*98.46895</f>
        <v>0</v>
      </c>
      <c r="F45">
        <f>F9*1040.7420499999998</f>
        <v>0</v>
      </c>
      <c r="G45">
        <f>G9*148.7701</f>
        <v>0</v>
      </c>
      <c r="H45">
        <f>H9*0.0</f>
        <v>0</v>
      </c>
      <c r="I45">
        <f>I9*7.3065</f>
        <v>0</v>
      </c>
      <c r="J45">
        <f>J9*190.65404999999998</f>
        <v>0</v>
      </c>
      <c r="K45">
        <f>K9*-142.99054999999998</f>
        <v>0</v>
      </c>
      <c r="L45">
        <f>L9*1424.5661</f>
        <v>0</v>
      </c>
      <c r="M45">
        <f>M9*-31.62585</f>
        <v>0</v>
      </c>
      <c r="N45">
        <f>E45+F45+G45+H45+I45+J45+K45+L45</f>
        <v>0</v>
      </c>
      <c r="O45">
        <f>E45+F45+G45+H45+I45+J45+K45+M45</f>
        <v>0</v>
      </c>
    </row>
    <row r="46" spans="3:15">
      <c r="C46">
        <f>32.0</f>
        <v>0</v>
      </c>
      <c r="D46">
        <f>12.0</f>
        <v>0</v>
      </c>
      <c r="E46">
        <f>E9*92.2792</f>
        <v>0</v>
      </c>
      <c r="F46">
        <f>F9*1004.84875</f>
        <v>0</v>
      </c>
      <c r="G46">
        <f>G9*144.2534</f>
        <v>0</v>
      </c>
      <c r="H46">
        <f>H9*0.0</f>
        <v>0</v>
      </c>
      <c r="I46">
        <f>I9*9.7903</f>
        <v>0</v>
      </c>
      <c r="J46">
        <f>J9*182.85444999999999</f>
        <v>0</v>
      </c>
      <c r="K46">
        <f>K9*-137.14085</f>
        <v>0</v>
      </c>
      <c r="L46">
        <f>L9*1395.4766</f>
        <v>0</v>
      </c>
      <c r="M46">
        <f>M9*-34.8416</f>
        <v>0</v>
      </c>
      <c r="N46">
        <f>E46+F46+G46+H46+I46+J46+K46+L46</f>
        <v>0</v>
      </c>
      <c r="O46">
        <f>E46+F46+G46+H46+I46+J46+K46+M46</f>
        <v>0</v>
      </c>
    </row>
    <row r="47" spans="3:15">
      <c r="C47">
        <f>33.0</f>
        <v>0</v>
      </c>
      <c r="D47">
        <f>13.0</f>
        <v>0</v>
      </c>
      <c r="E47">
        <f>E9*86.4134</f>
        <v>0</v>
      </c>
      <c r="F47">
        <f>F9*949.8163999999999</f>
        <v>0</v>
      </c>
      <c r="G47">
        <f>G9*136.42444999999998</f>
        <v>0</v>
      </c>
      <c r="H47">
        <f>H9*0.0</f>
        <v>0</v>
      </c>
      <c r="I47">
        <f>I9*12.63335</f>
        <v>0</v>
      </c>
      <c r="J47">
        <f>J9*185.0718</f>
        <v>0</v>
      </c>
      <c r="K47">
        <f>K9*-138.80385</f>
        <v>0</v>
      </c>
      <c r="L47">
        <f>L9*1330.3761</f>
        <v>0</v>
      </c>
      <c r="M47">
        <f>M9*-37.85925</f>
        <v>0</v>
      </c>
      <c r="N47">
        <f>E47+F47+G47+H47+I47+J47+K47+L47</f>
        <v>0</v>
      </c>
      <c r="O47">
        <f>E47+F47+G47+H47+I47+J47+K47+M47</f>
        <v>0</v>
      </c>
    </row>
    <row r="48" spans="3:15">
      <c r="C48">
        <f>34.0</f>
        <v>0</v>
      </c>
      <c r="D48">
        <f>14.0</f>
        <v>0</v>
      </c>
      <c r="E48">
        <f>E9*80.7816</f>
        <v>0</v>
      </c>
      <c r="F48">
        <f>F9*874.5414000000001</f>
        <v>0</v>
      </c>
      <c r="G48">
        <f>G9*125.1403</f>
        <v>0</v>
      </c>
      <c r="H48">
        <f>H9*0.0</f>
        <v>0</v>
      </c>
      <c r="I48">
        <f>I9*15.99955</f>
        <v>0</v>
      </c>
      <c r="J48">
        <f>J9*197.31765</f>
        <v>0</v>
      </c>
      <c r="K48">
        <f>K9*-147.98825</f>
        <v>0</v>
      </c>
      <c r="L48">
        <f>L9*1234.55855</f>
        <v>0</v>
      </c>
      <c r="M48">
        <f>M9*-40.83695</f>
        <v>0</v>
      </c>
      <c r="N48">
        <f>E48+F48+G48+H48+I48+J48+K48+L48</f>
        <v>0</v>
      </c>
      <c r="O48">
        <f>E48+F48+G48+H48+I48+J48+K48+M48</f>
        <v>0</v>
      </c>
    </row>
    <row r="49" spans="3:15">
      <c r="C49">
        <f>35.0</f>
        <v>0</v>
      </c>
      <c r="D49">
        <f>15.0</f>
        <v>0</v>
      </c>
      <c r="E49">
        <f>E9*73.85065</f>
        <v>0</v>
      </c>
      <c r="F49">
        <f>F9*774.7608</f>
        <v>0</v>
      </c>
      <c r="G49">
        <f>G9*109.7808</f>
        <v>0</v>
      </c>
      <c r="H49">
        <f>H9*0.0</f>
        <v>0</v>
      </c>
      <c r="I49">
        <f>I9*21.4277</f>
        <v>0</v>
      </c>
      <c r="J49">
        <f>J9*217.27825</f>
        <v>0</v>
      </c>
      <c r="K49">
        <f>K9*-162.9587</f>
        <v>0</v>
      </c>
      <c r="L49">
        <f>L9*1098.6766499999999</f>
        <v>0</v>
      </c>
      <c r="M49">
        <f>M9*-44.022549999999995</f>
        <v>0</v>
      </c>
      <c r="N49">
        <f>E49+F49+G49+H49+I49+J49+K49+L49</f>
        <v>0</v>
      </c>
      <c r="O49">
        <f>E49+F49+G49+H49+I49+J49+K49+M49</f>
        <v>0</v>
      </c>
    </row>
    <row r="50" spans="3:15">
      <c r="C50">
        <f>35.91</f>
        <v>0</v>
      </c>
      <c r="D50">
        <f>15.91</f>
        <v>0</v>
      </c>
      <c r="E50">
        <f>E9*59.369150000000005</f>
        <v>0</v>
      </c>
      <c r="F50">
        <f>F9*657.3356</f>
        <v>0</v>
      </c>
      <c r="G50">
        <f>G9*94.13065</f>
        <v>0</v>
      </c>
      <c r="H50">
        <f>H9*0.0</f>
        <v>0</v>
      </c>
      <c r="I50">
        <f>I9*19.2382</f>
        <v>0</v>
      </c>
      <c r="J50">
        <f>J9*193.65725</f>
        <v>0</v>
      </c>
      <c r="K50">
        <f>K9*-145.2429</f>
        <v>0</v>
      </c>
      <c r="L50">
        <f>L9*965.29475</f>
        <v>0</v>
      </c>
      <c r="M50">
        <f>M9*-49.5291</f>
        <v>0</v>
      </c>
      <c r="N50">
        <f>E50+F50+G50+H50+I50+J50+K50+L50</f>
        <v>0</v>
      </c>
      <c r="O50">
        <f>E50+F50+G50+H50+I50+J50+K50+M50</f>
        <v>0</v>
      </c>
    </row>
    <row r="51" spans="3:15">
      <c r="C51">
        <f>36.82</f>
        <v>0</v>
      </c>
      <c r="D51">
        <f>16.82</f>
        <v>0</v>
      </c>
      <c r="E51">
        <f>E9*45.3741</f>
        <v>0</v>
      </c>
      <c r="F51">
        <f>F9*527.7472</f>
        <v>0</v>
      </c>
      <c r="G51">
        <f>G9*76.24815000000001</f>
        <v>0</v>
      </c>
      <c r="H51">
        <f>H9*0.0</f>
        <v>0</v>
      </c>
      <c r="I51">
        <f>I9*15.4897</f>
        <v>0</v>
      </c>
      <c r="J51">
        <f>J9*158.13545</f>
        <v>0</v>
      </c>
      <c r="K51">
        <f>K9*-118.60155</f>
        <v>0</v>
      </c>
      <c r="L51">
        <f>L9*803.7071000000001</f>
        <v>0</v>
      </c>
      <c r="M51">
        <f>M9*-56.5938</f>
        <v>0</v>
      </c>
      <c r="N51">
        <f>E51+F51+G51+H51+I51+J51+K51+L51</f>
        <v>0</v>
      </c>
      <c r="O51">
        <f>E51+F51+G51+H51+I51+J51+K51+M51</f>
        <v>0</v>
      </c>
    </row>
    <row r="52" spans="3:15">
      <c r="C52">
        <f>37.73</f>
        <v>0</v>
      </c>
      <c r="D52">
        <f>17.73</f>
        <v>0</v>
      </c>
      <c r="E52">
        <f>E9*30.588900000000002</f>
        <v>0</v>
      </c>
      <c r="F52">
        <f>F9*369.54945</f>
        <v>0</v>
      </c>
      <c r="G52">
        <f>G9*53.7996</f>
        <v>0</v>
      </c>
      <c r="H52">
        <f>H9*0.0</f>
        <v>0</v>
      </c>
      <c r="I52">
        <f>I9*10.4815</f>
        <v>0</v>
      </c>
      <c r="J52">
        <f>J9*127.7979</f>
        <v>0</v>
      </c>
      <c r="K52">
        <f>K9*-95.84845</f>
        <v>0</v>
      </c>
      <c r="L52">
        <f>L9*588.40685</f>
        <v>0</v>
      </c>
      <c r="M52">
        <f>M9*-64.51410000000001</f>
        <v>0</v>
      </c>
      <c r="N52">
        <f>E52+F52+G52+H52+I52+J52+K52+L52</f>
        <v>0</v>
      </c>
      <c r="O52">
        <f>E52+F52+G52+H52+I52+J52+K52+M52</f>
        <v>0</v>
      </c>
    </row>
    <row r="53" spans="3:15">
      <c r="C53">
        <f>38.64</f>
        <v>0</v>
      </c>
      <c r="D53">
        <f>18.64</f>
        <v>0</v>
      </c>
      <c r="E53">
        <f>E9*16.1065</f>
        <v>0</v>
      </c>
      <c r="F53">
        <f>F9*191.8422</f>
        <v>0</v>
      </c>
      <c r="G53">
        <f>G9*28.073999999999998</f>
        <v>0</v>
      </c>
      <c r="H53">
        <f>H9*0.0</f>
        <v>0</v>
      </c>
      <c r="I53">
        <f>I9*2.8386</f>
        <v>0</v>
      </c>
      <c r="J53">
        <f>J9*102.9978</f>
        <v>0</v>
      </c>
      <c r="K53">
        <f>K9*-77.24835</f>
        <v>0</v>
      </c>
      <c r="L53">
        <f>L9*324.8245</f>
        <v>0</v>
      </c>
      <c r="M53">
        <f>M9*-74.24969999999999</f>
        <v>0</v>
      </c>
      <c r="N53">
        <f>E53+F53+G53+H53+I53+J53+K53+L53</f>
        <v>0</v>
      </c>
      <c r="O53">
        <f>E53+F53+G53+H53+I53+J53+K53+M53</f>
        <v>0</v>
      </c>
    </row>
    <row r="54" spans="3:15">
      <c r="C54">
        <f>39.55</f>
        <v>0</v>
      </c>
      <c r="D54">
        <f>19.55</f>
        <v>0</v>
      </c>
      <c r="E54">
        <f>E9*0.14470000000000002</f>
        <v>0</v>
      </c>
      <c r="F54">
        <f>F9*-17.7762</f>
        <v>0</v>
      </c>
      <c r="G54">
        <f>G9*-2.6592000000000002</f>
        <v>0</v>
      </c>
      <c r="H54">
        <f>H9*0.0</f>
        <v>0</v>
      </c>
      <c r="I54">
        <f>I9*-9.84815</f>
        <v>0</v>
      </c>
      <c r="J54">
        <f>J9*72.94985</f>
        <v>0</v>
      </c>
      <c r="K54">
        <f>K9*-54.7124</f>
        <v>0</v>
      </c>
      <c r="L54">
        <f>L9*6.79555</f>
        <v>0</v>
      </c>
      <c r="M54">
        <f>M9*-105.71895</f>
        <v>0</v>
      </c>
      <c r="N54">
        <f>E54+F54+G54+H54+I54+J54+K54+L54</f>
        <v>0</v>
      </c>
      <c r="O54">
        <f>E54+F54+G54+H54+I54+J54+K54+M54</f>
        <v>0</v>
      </c>
    </row>
    <row r="55" spans="3:15">
      <c r="C55">
        <f>40.0</f>
        <v>0</v>
      </c>
      <c r="D55">
        <f>20.0</f>
        <v>0</v>
      </c>
      <c r="E55">
        <f>E9*-0.8062</f>
        <v>0</v>
      </c>
      <c r="F55">
        <f>F9*-8.287</f>
        <v>0</v>
      </c>
      <c r="G55">
        <f>G9*-1.1994</f>
        <v>0</v>
      </c>
      <c r="H55">
        <f>H9*0.0</f>
        <v>0</v>
      </c>
      <c r="I55">
        <f>I9*-0.4146</f>
        <v>0</v>
      </c>
      <c r="J55">
        <f>J9*87.8767</f>
        <v>0</v>
      </c>
      <c r="K55">
        <f>K9*-65.9075</f>
        <v>0</v>
      </c>
      <c r="L55">
        <f>L9*4.3148</f>
        <v>0</v>
      </c>
      <c r="M55">
        <f>M9*-12.4567</f>
        <v>0</v>
      </c>
      <c r="N55">
        <f>E55+F55+G55+H55+I55+J55+K55+L55</f>
        <v>0</v>
      </c>
      <c r="O55">
        <f>E55+F55+G55+H55+I55+J55+K55+M55</f>
        <v>0</v>
      </c>
    </row>
    <row r="56" spans="3:15">
      <c r="C56">
        <f>40.0</f>
        <v>0</v>
      </c>
      <c r="D56">
        <f>0.0</f>
        <v>0</v>
      </c>
      <c r="E56">
        <f>E9*-0.373</f>
        <v>0</v>
      </c>
      <c r="F56">
        <f>F9*-3.1846</f>
        <v>0</v>
      </c>
      <c r="G56">
        <f>G9*-0.4738</f>
        <v>0</v>
      </c>
      <c r="H56">
        <f>H9*0.0</f>
        <v>0</v>
      </c>
      <c r="I56">
        <f>I9*-4.8828</f>
        <v>0</v>
      </c>
      <c r="J56">
        <f>J9*85.7188</f>
        <v>0</v>
      </c>
      <c r="K56">
        <f>K9*-64.2891</f>
        <v>0</v>
      </c>
      <c r="L56">
        <f>L9*1.1995</f>
        <v>0</v>
      </c>
      <c r="M56">
        <f>M9*-8.3793</f>
        <v>0</v>
      </c>
      <c r="N56">
        <f>E56+F56+G56+H56+I56+J56+K56+L56</f>
        <v>0</v>
      </c>
      <c r="O56">
        <f>E56+F56+G56+H56+I56+J56+K56+M56</f>
        <v>0</v>
      </c>
    </row>
    <row r="57" spans="3:15">
      <c r="C57">
        <f>40.45</f>
        <v>0</v>
      </c>
      <c r="D57">
        <f>0.45</f>
        <v>0</v>
      </c>
      <c r="E57">
        <f>E9*0.7738</f>
        <v>0</v>
      </c>
      <c r="F57">
        <f>F9*-20.9439</f>
        <v>0</v>
      </c>
      <c r="G57">
        <f>G9*-3.1411999999999995</f>
        <v>0</v>
      </c>
      <c r="H57">
        <f>H9*0.0</f>
        <v>0</v>
      </c>
      <c r="I57">
        <f>I9*-2.7685000000000004</f>
        <v>0</v>
      </c>
      <c r="J57">
        <f>J9*71.2151</f>
        <v>0</v>
      </c>
      <c r="K57">
        <f>K9*-53.41135</f>
        <v>0</v>
      </c>
      <c r="L57">
        <f>L9*26.49995</f>
        <v>0</v>
      </c>
      <c r="M57">
        <f>M9*-53.05265</f>
        <v>0</v>
      </c>
      <c r="N57">
        <f>E57+F57+G57+H57+I57+J57+K57+L57</f>
        <v>0</v>
      </c>
      <c r="O57">
        <f>E57+F57+G57+H57+I57+J57+K57+M57</f>
        <v>0</v>
      </c>
    </row>
    <row r="58" spans="3:15">
      <c r="C58">
        <f>41.36</f>
        <v>0</v>
      </c>
      <c r="D58">
        <f>1.36</f>
        <v>0</v>
      </c>
      <c r="E58">
        <f>E9*5.2375</f>
        <v>0</v>
      </c>
      <c r="F58">
        <f>F9*77.83315</f>
        <v>0</v>
      </c>
      <c r="G58">
        <f>G9*11.8677</f>
        <v>0</v>
      </c>
      <c r="H58">
        <f>H9*0.0</f>
        <v>0</v>
      </c>
      <c r="I58">
        <f>I9*97.24855</f>
        <v>0</v>
      </c>
      <c r="J58">
        <f>J9*122.1786</f>
        <v>0</v>
      </c>
      <c r="K58">
        <f>K9*-91.634</f>
        <v>0</v>
      </c>
      <c r="L58">
        <f>L9*226.21744999999999</f>
        <v>0</v>
      </c>
      <c r="M58">
        <f>M9*-15.68765</f>
        <v>0</v>
      </c>
      <c r="N58">
        <f>E58+F58+G58+H58+I58+J58+K58+L58</f>
        <v>0</v>
      </c>
      <c r="O58">
        <f>E58+F58+G58+H58+I58+J58+K58+M58</f>
        <v>0</v>
      </c>
    </row>
    <row r="59" spans="3:15">
      <c r="C59">
        <f>42.27</f>
        <v>0</v>
      </c>
      <c r="D59">
        <f>2.27</f>
        <v>0</v>
      </c>
      <c r="E59">
        <f>E9*8.504999999999999</f>
        <v>0</v>
      </c>
      <c r="F59">
        <f>F9*158.1159</f>
        <v>0</v>
      </c>
      <c r="G59">
        <f>G9*23.8004</f>
        <v>0</v>
      </c>
      <c r="H59">
        <f>H9*0.0</f>
        <v>0</v>
      </c>
      <c r="I59">
        <f>I9*176.33305000000001</f>
        <v>0</v>
      </c>
      <c r="J59">
        <f>J9*168.35235</f>
        <v>0</v>
      </c>
      <c r="K59">
        <f>K9*-126.26425</f>
        <v>0</v>
      </c>
      <c r="L59">
        <f>L9*389.77655000000004</f>
        <v>0</v>
      </c>
      <c r="M59">
        <f>M9*-8.288499999999999</f>
        <v>0</v>
      </c>
      <c r="N59">
        <f>E59+F59+G59+H59+I59+J59+K59+L59</f>
        <v>0</v>
      </c>
      <c r="O59">
        <f>E59+F59+G59+H59+I59+J59+K59+M59</f>
        <v>0</v>
      </c>
    </row>
    <row r="60" spans="3:15">
      <c r="C60">
        <f>43.18</f>
        <v>0</v>
      </c>
      <c r="D60">
        <f>3.18</f>
        <v>0</v>
      </c>
      <c r="E60">
        <f>E9*12.1693</f>
        <v>0</v>
      </c>
      <c r="F60">
        <f>F9*220.58105</f>
        <v>0</v>
      </c>
      <c r="G60">
        <f>G9*32.72765</f>
        <v>0</v>
      </c>
      <c r="H60">
        <f>H9*0.0</f>
        <v>0</v>
      </c>
      <c r="I60">
        <f>I9*245.53629999999998</f>
        <v>0</v>
      </c>
      <c r="J60">
        <f>J9*206.1525</f>
        <v>0</v>
      </c>
      <c r="K60">
        <f>K9*-154.6144</f>
        <v>0</v>
      </c>
      <c r="L60">
        <f>L9*504.77305</f>
        <v>0</v>
      </c>
      <c r="M60">
        <f>M9*-7.7943</f>
        <v>0</v>
      </c>
      <c r="N60">
        <f>E60+F60+G60+H60+I60+J60+K60+L60</f>
        <v>0</v>
      </c>
      <c r="O60">
        <f>E60+F60+G60+H60+I60+J60+K60+M60</f>
        <v>0</v>
      </c>
    </row>
    <row r="61" spans="3:15">
      <c r="C61">
        <f>44.09</f>
        <v>0</v>
      </c>
      <c r="D61">
        <f>4.09</f>
        <v>0</v>
      </c>
      <c r="E61">
        <f>E9*15.8367</f>
        <v>0</v>
      </c>
      <c r="F61">
        <f>F9*262.46675</f>
        <v>0</v>
      </c>
      <c r="G61">
        <f>G9*38.2321</f>
        <v>0</v>
      </c>
      <c r="H61">
        <f>H9*0.0</f>
        <v>0</v>
      </c>
      <c r="I61">
        <f>I9*300.13395</f>
        <v>0</v>
      </c>
      <c r="J61">
        <f>J9*248.57935</f>
        <v>0</v>
      </c>
      <c r="K61">
        <f>K9*-186.4345</f>
        <v>0</v>
      </c>
      <c r="L61">
        <f>L9*567.26035</f>
        <v>0</v>
      </c>
      <c r="M61">
        <f>M9*-6.5398</f>
        <v>0</v>
      </c>
      <c r="N61">
        <f>E61+F61+G61+H61+I61+J61+K61+L61</f>
        <v>0</v>
      </c>
      <c r="O61">
        <f>E61+F61+G61+H61+I61+J61+K61+M61</f>
        <v>0</v>
      </c>
    </row>
    <row r="62" spans="3:15">
      <c r="C62">
        <f>45.0</f>
        <v>0</v>
      </c>
      <c r="D62">
        <f>5.0</f>
        <v>0</v>
      </c>
      <c r="E62">
        <f>E9*18.8696</f>
        <v>0</v>
      </c>
      <c r="F62">
        <f>F9*285.32715</f>
        <v>0</v>
      </c>
      <c r="G62">
        <f>G9*40.5417</f>
        <v>0</v>
      </c>
      <c r="H62">
        <f>H9*0.0</f>
        <v>0</v>
      </c>
      <c r="I62">
        <f>I9*340.50919999999996</f>
        <v>0</v>
      </c>
      <c r="J62">
        <f>J9*294.17359999999996</f>
        <v>0</v>
      </c>
      <c r="K62">
        <f>K9*-220.6302</f>
        <v>0</v>
      </c>
      <c r="L62">
        <f>L9*586.8207500000001</f>
        <v>0</v>
      </c>
      <c r="M62">
        <f>M9*-5.5901499999999995</f>
        <v>0</v>
      </c>
      <c r="N62">
        <f>E62+F62+G62+H62+I62+J62+K62+L62</f>
        <v>0</v>
      </c>
      <c r="O62">
        <f>E62+F62+G62+H62+I62+J62+K62+M62</f>
        <v>0</v>
      </c>
    </row>
    <row r="63" spans="3:15">
      <c r="C63">
        <f>46.0</f>
        <v>0</v>
      </c>
      <c r="D63">
        <f>6.0</f>
        <v>0</v>
      </c>
      <c r="E63">
        <f>E9*15.36995</f>
        <v>0</v>
      </c>
      <c r="F63">
        <f>F9*271.6338</f>
        <v>0</v>
      </c>
      <c r="G63">
        <f>G9*39.720299999999995</f>
        <v>0</v>
      </c>
      <c r="H63">
        <f>H9*0.0</f>
        <v>0</v>
      </c>
      <c r="I63">
        <f>I9*301.254</f>
        <v>0</v>
      </c>
      <c r="J63">
        <f>J9*255.423</f>
        <v>0</v>
      </c>
      <c r="K63">
        <f>K9*-191.56725</f>
        <v>0</v>
      </c>
      <c r="L63">
        <f>L9*582.8874000000001</f>
        <v>0</v>
      </c>
      <c r="M63">
        <f>M9*-3.97425</f>
        <v>0</v>
      </c>
      <c r="N63">
        <f>E63+F63+G63+H63+I63+J63+K63+L63</f>
        <v>0</v>
      </c>
      <c r="O63">
        <f>E63+F63+G63+H63+I63+J63+K63+M63</f>
        <v>0</v>
      </c>
    </row>
    <row r="64" spans="3:15">
      <c r="C64">
        <f>47.0</f>
        <v>0</v>
      </c>
      <c r="D64">
        <f>7.0</f>
        <v>0</v>
      </c>
      <c r="E64">
        <f>E9*11.527000000000001</f>
        <v>0</v>
      </c>
      <c r="F64">
        <f>F9*237.51659999999998</f>
        <v>0</v>
      </c>
      <c r="G64">
        <f>G9*35.3692</f>
        <v>0</v>
      </c>
      <c r="H64">
        <f>H9*0.0</f>
        <v>0</v>
      </c>
      <c r="I64">
        <f>I9*247.2373</f>
        <v>0</v>
      </c>
      <c r="J64">
        <f>J9*217.25975</f>
        <v>0</v>
      </c>
      <c r="K64">
        <f>K9*-162.94485</f>
        <v>0</v>
      </c>
      <c r="L64">
        <f>L9*534.2779499999999</f>
        <v>0</v>
      </c>
      <c r="M64">
        <f>M9*-3.2398499999999997</f>
        <v>0</v>
      </c>
      <c r="N64">
        <f>E64+F64+G64+H64+I64+J64+K64+L64</f>
        <v>0</v>
      </c>
      <c r="O64">
        <f>E64+F64+G64+H64+I64+J64+K64+M64</f>
        <v>0</v>
      </c>
    </row>
    <row r="65" spans="3:15">
      <c r="C65">
        <f>48.0</f>
        <v>0</v>
      </c>
      <c r="D65">
        <f>8.0</f>
        <v>0</v>
      </c>
      <c r="E65">
        <f>E9*7.7645</f>
        <v>0</v>
      </c>
      <c r="F65">
        <f>F9*181.4786</f>
        <v>0</v>
      </c>
      <c r="G65">
        <f>G9*27.3155</f>
        <v>0</v>
      </c>
      <c r="H65">
        <f>H9*0.0</f>
        <v>0</v>
      </c>
      <c r="I65">
        <f>I9*178.4336</f>
        <v>0</v>
      </c>
      <c r="J65">
        <f>J9*188.01515</f>
        <v>0</v>
      </c>
      <c r="K65">
        <f>K9*-141.01135</f>
        <v>0</v>
      </c>
      <c r="L65">
        <f>L9*428.62935</f>
        <v>0</v>
      </c>
      <c r="M65">
        <f>M9*-3.48165</f>
        <v>0</v>
      </c>
      <c r="N65">
        <f>E65+F65+G65+H65+I65+J65+K65+L65</f>
        <v>0</v>
      </c>
      <c r="O65">
        <f>E65+F65+G65+H65+I65+J65+K65+M65</f>
        <v>0</v>
      </c>
    </row>
    <row r="66" spans="3:15">
      <c r="C66">
        <f>49.0</f>
        <v>0</v>
      </c>
      <c r="D66">
        <f>9.0</f>
        <v>0</v>
      </c>
      <c r="E66">
        <f>E9*4.4059</f>
        <v>0</v>
      </c>
      <c r="F66">
        <f>F9*104.57485</f>
        <v>0</v>
      </c>
      <c r="G66">
        <f>G9*15.71655</f>
        <v>0</v>
      </c>
      <c r="H66">
        <f>H9*0.0</f>
        <v>0</v>
      </c>
      <c r="I66">
        <f>I9*99.0873</f>
        <v>0</v>
      </c>
      <c r="J66">
        <f>J9*147.0839</f>
        <v>0</v>
      </c>
      <c r="K66">
        <f>K9*-110.3129</f>
        <v>0</v>
      </c>
      <c r="L66">
        <f>L9*262.7897</f>
        <v>0</v>
      </c>
      <c r="M66">
        <f>M9*-3.65085</f>
        <v>0</v>
      </c>
      <c r="N66">
        <f>E66+F66+G66+H66+I66+J66+K66+L66</f>
        <v>0</v>
      </c>
      <c r="O66">
        <f>E66+F66+G66+H66+I66+J66+K66+M66</f>
        <v>0</v>
      </c>
    </row>
    <row r="74" spans="3:15"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</row>
    <row r="75" spans="3:15">
      <c r="C75">
        <f>0.0</f>
        <v>0</v>
      </c>
      <c r="D75">
        <f>0.0</f>
        <v>0</v>
      </c>
      <c r="E75">
        <f>E73*-10.707</f>
        <v>0</v>
      </c>
      <c r="F75">
        <f>F73*-258.967</f>
        <v>0</v>
      </c>
      <c r="G75">
        <f>G73*-37.96</f>
        <v>0</v>
      </c>
      <c r="H75">
        <f>H73*0.0</f>
        <v>0</v>
      </c>
      <c r="I75">
        <f>I73*-0.005790999999999999</f>
        <v>0</v>
      </c>
      <c r="J75">
        <f>J73*-139.374</f>
        <v>0</v>
      </c>
      <c r="K75">
        <f>K73*104.53</f>
        <v>0</v>
      </c>
      <c r="L75">
        <f>L73*6.284</f>
        <v>0</v>
      </c>
      <c r="M75">
        <f>M73*-439.236</f>
        <v>0</v>
      </c>
      <c r="N75">
        <f>E75+F75+G75+H75+I75+J75+K75+L75</f>
        <v>0</v>
      </c>
      <c r="O75">
        <f>E75+F75+G75+H75+I75+J75+K75+M75</f>
        <v>0</v>
      </c>
    </row>
    <row r="76" spans="3:15">
      <c r="C76">
        <f>1.0</f>
        <v>0</v>
      </c>
      <c r="D76">
        <f>1.0</f>
        <v>0</v>
      </c>
      <c r="E76">
        <f>E73*-11.205</f>
        <v>0</v>
      </c>
      <c r="F76">
        <f>F73*-231.80349999999999</f>
        <v>0</v>
      </c>
      <c r="G76">
        <f>G73*-34.493</f>
        <v>0</v>
      </c>
      <c r="H76">
        <f>H73*0.0</f>
        <v>0</v>
      </c>
      <c r="I76">
        <f>I73*-0.006087</f>
        <v>0</v>
      </c>
      <c r="J76">
        <f>J73*-124.178</f>
        <v>0</v>
      </c>
      <c r="K76">
        <f>K73*93.1335</f>
        <v>0</v>
      </c>
      <c r="L76">
        <f>L73*16.8855</f>
        <v>0</v>
      </c>
      <c r="M76">
        <f>M73*-406.18499999999995</f>
        <v>0</v>
      </c>
      <c r="N76">
        <f>E76+F76+G76+H76+I76+J76+K76+L76</f>
        <v>0</v>
      </c>
      <c r="O76">
        <f>E76+F76+G76+H76+I76+J76+K76+M76</f>
        <v>0</v>
      </c>
    </row>
    <row r="77" spans="3:15">
      <c r="C77">
        <f>2.0</f>
        <v>0</v>
      </c>
      <c r="D77">
        <f>2.0</f>
        <v>0</v>
      </c>
      <c r="E77">
        <f>E73*-12.1725</f>
        <v>0</v>
      </c>
      <c r="F77">
        <f>F73*-203.481</f>
        <v>0</v>
      </c>
      <c r="G77">
        <f>G73*-29.735</f>
        <v>0</v>
      </c>
      <c r="H77">
        <f>H73*0.0</f>
        <v>0</v>
      </c>
      <c r="I77">
        <f>I73*-0.0064884999999999995</f>
        <v>0</v>
      </c>
      <c r="J77">
        <f>J73*-103.97200000000001</f>
        <v>0</v>
      </c>
      <c r="K77">
        <f>K73*77.9795</f>
        <v>0</v>
      </c>
      <c r="L77">
        <f>L73*38.718</f>
        <v>0</v>
      </c>
      <c r="M77">
        <f>M73*-364.0955</f>
        <v>0</v>
      </c>
      <c r="N77">
        <f>E77+F77+G77+H77+I77+J77+K77+L77</f>
        <v>0</v>
      </c>
      <c r="O77">
        <f>E77+F77+G77+H77+I77+J77+K77+M77</f>
        <v>0</v>
      </c>
    </row>
    <row r="78" spans="3:15">
      <c r="C78">
        <f>3.0</f>
        <v>0</v>
      </c>
      <c r="D78">
        <f>3.0</f>
        <v>0</v>
      </c>
      <c r="E78">
        <f>E73*-12.712499999999999</f>
        <v>0</v>
      </c>
      <c r="F78">
        <f>F73*-175.348</f>
        <v>0</v>
      </c>
      <c r="G78">
        <f>G73*-25.037</f>
        <v>0</v>
      </c>
      <c r="H78">
        <f>H73*0.0</f>
        <v>0</v>
      </c>
      <c r="I78">
        <f>I73*-0.0063975</f>
        <v>0</v>
      </c>
      <c r="J78">
        <f>J73*-93.9145</f>
        <v>0</v>
      </c>
      <c r="K78">
        <f>K73*70.4355</f>
        <v>0</v>
      </c>
      <c r="L78">
        <f>L73*61.26349999999999</f>
        <v>0</v>
      </c>
      <c r="M78">
        <f>M73*-325.5485</f>
        <v>0</v>
      </c>
      <c r="N78">
        <f>E78+F78+G78+H78+I78+J78+K78+L78</f>
        <v>0</v>
      </c>
      <c r="O78">
        <f>E78+F78+G78+H78+I78+J78+K78+M78</f>
        <v>0</v>
      </c>
    </row>
    <row r="79" spans="3:15">
      <c r="C79">
        <f>4.0</f>
        <v>0</v>
      </c>
      <c r="D79">
        <f>4.0</f>
        <v>0</v>
      </c>
      <c r="E79">
        <f>E73*-13.1665</f>
        <v>0</v>
      </c>
      <c r="F79">
        <f>F73*-152.637</f>
        <v>0</v>
      </c>
      <c r="G79">
        <f>G73*-21.158</f>
        <v>0</v>
      </c>
      <c r="H79">
        <f>H73*0.0</f>
        <v>0</v>
      </c>
      <c r="I79">
        <f>I73*-0.005733</f>
        <v>0</v>
      </c>
      <c r="J79">
        <f>J73*-82.3065</f>
        <v>0</v>
      </c>
      <c r="K79">
        <f>K73*61.730000000000004</f>
        <v>0</v>
      </c>
      <c r="L79">
        <f>L73*89.81099999999999</f>
        <v>0</v>
      </c>
      <c r="M79">
        <f>M73*-296.4155</f>
        <v>0</v>
      </c>
      <c r="N79">
        <f>E79+F79+G79+H79+I79+J79+K79+L79</f>
        <v>0</v>
      </c>
      <c r="O79">
        <f>E79+F79+G79+H79+I79+J79+K79+M79</f>
        <v>0</v>
      </c>
    </row>
    <row r="80" spans="3:15">
      <c r="C80">
        <f>5.0</f>
        <v>0</v>
      </c>
      <c r="D80">
        <f>5.0</f>
        <v>0</v>
      </c>
      <c r="E80">
        <f>E73*-10.019</f>
        <v>0</v>
      </c>
      <c r="F80">
        <f>F73*-126.77300000000001</f>
        <v>0</v>
      </c>
      <c r="G80">
        <f>G73*-18.217</f>
        <v>0</v>
      </c>
      <c r="H80">
        <f>H73*0.0</f>
        <v>0</v>
      </c>
      <c r="I80">
        <f>I73*-0.004354</f>
        <v>0</v>
      </c>
      <c r="J80">
        <f>J73*-33.603</f>
        <v>0</v>
      </c>
      <c r="K80">
        <f>K73*25.2025</f>
        <v>0</v>
      </c>
      <c r="L80">
        <f>L73*91.763</f>
        <v>0</v>
      </c>
      <c r="M80">
        <f>M73*-281.8405</f>
        <v>0</v>
      </c>
      <c r="N80">
        <f>E80+F80+G80+H80+I80+J80+K80+L80</f>
        <v>0</v>
      </c>
      <c r="O80">
        <f>E80+F80+G80+H80+I80+J80+K80+M80</f>
        <v>0</v>
      </c>
    </row>
    <row r="81" spans="3:15">
      <c r="C81">
        <f>6.0</f>
        <v>0</v>
      </c>
      <c r="D81">
        <f>6.0</f>
        <v>0</v>
      </c>
      <c r="E81">
        <f>E73*-6.2935</f>
        <v>0</v>
      </c>
      <c r="F81">
        <f>F73*-97.3875</f>
        <v>0</v>
      </c>
      <c r="G81">
        <f>G73*-14.780999999999999</f>
        <v>0</v>
      </c>
      <c r="H81">
        <f>H73*0.0</f>
        <v>0</v>
      </c>
      <c r="I81">
        <f>I73*-0.003321</f>
        <v>0</v>
      </c>
      <c r="J81">
        <f>J73*5.8325</f>
        <v>0</v>
      </c>
      <c r="K81">
        <f>K73*-4.3740000000000006</f>
        <v>0</v>
      </c>
      <c r="L81">
        <f>L73*98.6655</f>
        <v>0</v>
      </c>
      <c r="M81">
        <f>M73*-262.887</f>
        <v>0</v>
      </c>
      <c r="N81">
        <f>E81+F81+G81+H81+I81+J81+K81+L81</f>
        <v>0</v>
      </c>
      <c r="O81">
        <f>E81+F81+G81+H81+I81+J81+K81+M81</f>
        <v>0</v>
      </c>
    </row>
    <row r="82" spans="3:15">
      <c r="C82">
        <f>7.0</f>
        <v>0</v>
      </c>
      <c r="D82">
        <f>7.0</f>
        <v>0</v>
      </c>
      <c r="E82">
        <f>E73*-5.931000000000001</f>
        <v>0</v>
      </c>
      <c r="F82">
        <f>F73*-73.018</f>
        <v>0</v>
      </c>
      <c r="G82">
        <f>G73*-10.704</f>
        <v>0</v>
      </c>
      <c r="H82">
        <f>H73*0.0</f>
        <v>0</v>
      </c>
      <c r="I82">
        <f>I73*-0.0029804999999999996</f>
        <v>0</v>
      </c>
      <c r="J82">
        <f>J73*1.9089999999999998</f>
        <v>0</v>
      </c>
      <c r="K82">
        <f>K73*-1.432</f>
        <v>0</v>
      </c>
      <c r="L82">
        <f>L73*122.9395</f>
        <v>0</v>
      </c>
      <c r="M82">
        <f>M73*-234.076</f>
        <v>0</v>
      </c>
      <c r="N82">
        <f>E82+F82+G82+H82+I82+J82+K82+L82</f>
        <v>0</v>
      </c>
      <c r="O82">
        <f>E82+F82+G82+H82+I82+J82+K82+M82</f>
        <v>0</v>
      </c>
    </row>
    <row r="83" spans="3:15">
      <c r="C83">
        <f>8.0</f>
        <v>0</v>
      </c>
      <c r="D83">
        <f>8.0</f>
        <v>0</v>
      </c>
      <c r="E83">
        <f>E73*-5.6739999999999995</f>
        <v>0</v>
      </c>
      <c r="F83">
        <f>F73*-48.831</f>
        <v>0</v>
      </c>
      <c r="G83">
        <f>G73*-6.648999999999999</f>
        <v>0</v>
      </c>
      <c r="H83">
        <f>H73*0.0</f>
        <v>0</v>
      </c>
      <c r="I83">
        <f>I73*-0.00238</f>
        <v>0</v>
      </c>
      <c r="J83">
        <f>J73*-5.0825</f>
        <v>0</v>
      </c>
      <c r="K83">
        <f>K73*3.8114999999999997</f>
        <v>0</v>
      </c>
      <c r="L83">
        <f>L73*150.74</f>
        <v>0</v>
      </c>
      <c r="M83">
        <f>M73*-206.613</f>
        <v>0</v>
      </c>
      <c r="N83">
        <f>E83+F83+G83+H83+I83+J83+K83+L83</f>
        <v>0</v>
      </c>
      <c r="O83">
        <f>E83+F83+G83+H83+I83+J83+K83+M83</f>
        <v>0</v>
      </c>
    </row>
    <row r="84" spans="3:15">
      <c r="C84">
        <f>9.0</f>
        <v>0</v>
      </c>
      <c r="D84">
        <f>9.0</f>
        <v>0</v>
      </c>
      <c r="E84">
        <f>E73*-5.162000000000001</f>
        <v>0</v>
      </c>
      <c r="F84">
        <f>F73*-24.838</f>
        <v>0</v>
      </c>
      <c r="G84">
        <f>G73*-2.6265</f>
        <v>0</v>
      </c>
      <c r="H84">
        <f>H73*0.0</f>
        <v>0</v>
      </c>
      <c r="I84">
        <f>I73*-0.0015305000000000002</f>
        <v>0</v>
      </c>
      <c r="J84">
        <f>J73*-11.499</f>
        <v>0</v>
      </c>
      <c r="K84">
        <f>K73*8.6245</f>
        <v>0</v>
      </c>
      <c r="L84">
        <f>L73*163.942</f>
        <v>0</v>
      </c>
      <c r="M84">
        <f>M73*-180.438</f>
        <v>0</v>
      </c>
      <c r="N84">
        <f>E84+F84+G84+H84+I84+J84+K84+L84</f>
        <v>0</v>
      </c>
      <c r="O84">
        <f>E84+F84+G84+H84+I84+J84+K84+M84</f>
        <v>0</v>
      </c>
    </row>
    <row r="85" spans="3:15">
      <c r="C85">
        <f>10.0</f>
        <v>0</v>
      </c>
      <c r="D85">
        <f>10.0</f>
        <v>0</v>
      </c>
      <c r="E85">
        <f>E73*0.5065</f>
        <v>0</v>
      </c>
      <c r="F85">
        <f>F73*3.0585</f>
        <v>0</v>
      </c>
      <c r="G85">
        <f>G73*0.4495</f>
        <v>0</v>
      </c>
      <c r="H85">
        <f>H73*0.0</f>
        <v>0</v>
      </c>
      <c r="I85">
        <f>I73*0.00024660000000000003</f>
        <v>0</v>
      </c>
      <c r="J85">
        <f>J73*-0.2450000000000001</f>
        <v>0</v>
      </c>
      <c r="K85">
        <f>K73*0.18350000000000044</f>
        <v>0</v>
      </c>
      <c r="L85">
        <f>L73*172.562</f>
        <v>0</v>
      </c>
      <c r="M85">
        <f>M73*-172.2595</f>
        <v>0</v>
      </c>
      <c r="N85">
        <f>E85+F85+G85+H85+I85+J85+K85+L85</f>
        <v>0</v>
      </c>
      <c r="O85">
        <f>E85+F85+G85+H85+I85+J85+K85+M85</f>
        <v>0</v>
      </c>
    </row>
    <row r="86" spans="3:15">
      <c r="C86">
        <f>11.0</f>
        <v>0</v>
      </c>
      <c r="D86">
        <f>11.0</f>
        <v>0</v>
      </c>
      <c r="E86">
        <f>E73*6.194500000000001</f>
        <v>0</v>
      </c>
      <c r="F86">
        <f>F73*30.929</f>
        <v>0</v>
      </c>
      <c r="G86">
        <f>G73*3.521</f>
        <v>0</v>
      </c>
      <c r="H86">
        <f>H73*0.0</f>
        <v>0</v>
      </c>
      <c r="I86">
        <f>I73*0.0019845</f>
        <v>0</v>
      </c>
      <c r="J86">
        <f>J73*10.747</f>
        <v>0</v>
      </c>
      <c r="K86">
        <f>K73*-8.059999999999999</f>
        <v>0</v>
      </c>
      <c r="L86">
        <f>L73*182.3105</f>
        <v>0</v>
      </c>
      <c r="M86">
        <f>M73*-164.795</f>
        <v>0</v>
      </c>
      <c r="N86">
        <f>E86+F86+G86+H86+I86+J86+K86+L86</f>
        <v>0</v>
      </c>
      <c r="O86">
        <f>E86+F86+G86+H86+I86+J86+K86+M86</f>
        <v>0</v>
      </c>
    </row>
    <row r="87" spans="3:15">
      <c r="C87">
        <f>12.0</f>
        <v>0</v>
      </c>
      <c r="D87">
        <f>12.0</f>
        <v>0</v>
      </c>
      <c r="E87">
        <f>E73*6.7575</f>
        <v>0</v>
      </c>
      <c r="F87">
        <f>F73*54.817499999999995</f>
        <v>0</v>
      </c>
      <c r="G87">
        <f>G73*7.5245</f>
        <v>0</v>
      </c>
      <c r="H87">
        <f>H73*0.0</f>
        <v>0</v>
      </c>
      <c r="I87">
        <f>I73*0.0028865</f>
        <v>0</v>
      </c>
      <c r="J87">
        <f>J73*3.637</f>
        <v>0</v>
      </c>
      <c r="K87">
        <f>K73*-2.7279999999999998</f>
        <v>0</v>
      </c>
      <c r="L87">
        <f>L73*208.07600000000002</f>
        <v>0</v>
      </c>
      <c r="M87">
        <f>M73*-140.71550000000002</f>
        <v>0</v>
      </c>
      <c r="N87">
        <f>E87+F87+G87+H87+I87+J87+K87+L87</f>
        <v>0</v>
      </c>
      <c r="O87">
        <f>E87+F87+G87+H87+I87+J87+K87+M87</f>
        <v>0</v>
      </c>
    </row>
    <row r="88" spans="3:15">
      <c r="C88">
        <f>13.0</f>
        <v>0</v>
      </c>
      <c r="D88">
        <f>13.0</f>
        <v>0</v>
      </c>
      <c r="E88">
        <f>E73*7.109999999999999</f>
        <v>0</v>
      </c>
      <c r="F88">
        <f>F73*78.86600000000001</f>
        <v>0</v>
      </c>
      <c r="G88">
        <f>G73*11.5535</f>
        <v>0</v>
      </c>
      <c r="H88">
        <f>H73*0.0</f>
        <v>0</v>
      </c>
      <c r="I88">
        <f>I73*0.004040500000000001</f>
        <v>0</v>
      </c>
      <c r="J88">
        <f>J73*-4.654</f>
        <v>0</v>
      </c>
      <c r="K88">
        <f>K73*3.4905</f>
        <v>0</v>
      </c>
      <c r="L88">
        <f>L73*236.2765</f>
        <v>0</v>
      </c>
      <c r="M88">
        <f>M73*-118.259</f>
        <v>0</v>
      </c>
      <c r="N88">
        <f>E88+F88+G88+H88+I88+J88+K88+L88</f>
        <v>0</v>
      </c>
      <c r="O88">
        <f>E88+F88+G88+H88+I88+J88+K88+M88</f>
        <v>0</v>
      </c>
    </row>
    <row r="89" spans="3:15">
      <c r="C89">
        <f>14.0</f>
        <v>0</v>
      </c>
      <c r="D89">
        <f>14.0</f>
        <v>0</v>
      </c>
      <c r="E89">
        <f>E73*7.6525</f>
        <v>0</v>
      </c>
      <c r="F89">
        <f>F73*103.20500000000001</f>
        <v>0</v>
      </c>
      <c r="G89">
        <f>G73*15.613</f>
        <v>0</v>
      </c>
      <c r="H89">
        <f>H73*0.0</f>
        <v>0</v>
      </c>
      <c r="I89">
        <f>I73*0.0051920000000000004</f>
        <v>0</v>
      </c>
      <c r="J89">
        <f>J73*-10.9535</f>
        <v>0</v>
      </c>
      <c r="K89">
        <f>K73*8.2145</f>
        <v>0</v>
      </c>
      <c r="L89">
        <f>L73*263.931</f>
        <v>0</v>
      </c>
      <c r="M89">
        <f>M73*-97.4085</f>
        <v>0</v>
      </c>
      <c r="N89">
        <f>E89+F89+G89+H89+I89+J89+K89+L89</f>
        <v>0</v>
      </c>
      <c r="O89">
        <f>E89+F89+G89+H89+I89+J89+K89+M89</f>
        <v>0</v>
      </c>
    </row>
    <row r="90" spans="3:15">
      <c r="C90">
        <f>15.0</f>
        <v>0</v>
      </c>
      <c r="D90">
        <f>15.0</f>
        <v>0</v>
      </c>
      <c r="E90">
        <f>E73*12.941</f>
        <v>0</v>
      </c>
      <c r="F90">
        <f>F73*136.9125</f>
        <v>0</v>
      </c>
      <c r="G90">
        <f>G73*19.496499999999997</f>
        <v>0</v>
      </c>
      <c r="H90">
        <f>H73*0.0</f>
        <v>0</v>
      </c>
      <c r="I90">
        <f>I73*-0.0005250000000000003</f>
        <v>0</v>
      </c>
      <c r="J90">
        <f>J73*9.436</f>
        <v>0</v>
      </c>
      <c r="K90">
        <f>K73*-7.0765</f>
        <v>0</v>
      </c>
      <c r="L90">
        <f>L73*282.883</f>
        <v>0</v>
      </c>
      <c r="M90">
        <f>M73*-100.6625</f>
        <v>0</v>
      </c>
      <c r="N90">
        <f>E90+F90+G90+H90+I90+J90+K90+L90</f>
        <v>0</v>
      </c>
      <c r="O90">
        <f>E90+F90+G90+H90+I90+J90+K90+M90</f>
        <v>0</v>
      </c>
    </row>
    <row r="91" spans="3:15">
      <c r="C91">
        <f>15.91</f>
        <v>0</v>
      </c>
      <c r="D91">
        <f>15.91</f>
        <v>0</v>
      </c>
      <c r="E91">
        <f>E73*17.884500000000003</f>
        <v>0</v>
      </c>
      <c r="F91">
        <f>F73*165.69349999999997</f>
        <v>0</v>
      </c>
      <c r="G91">
        <f>G73*22.711999999999996</f>
        <v>0</v>
      </c>
      <c r="H91">
        <f>H73*0.0</f>
        <v>0</v>
      </c>
      <c r="I91">
        <f>I73*-0.007435000000000001</f>
        <v>0</v>
      </c>
      <c r="J91">
        <f>J73*36.9085</f>
        <v>0</v>
      </c>
      <c r="K91">
        <f>K73*-27.6815</f>
        <v>0</v>
      </c>
      <c r="L91">
        <f>L73*294.363</f>
        <v>0</v>
      </c>
      <c r="M91">
        <f>M73*-102.39750000000001</f>
        <v>0</v>
      </c>
      <c r="N91">
        <f>E91+F91+G91+H91+I91+J91+K91+L91</f>
        <v>0</v>
      </c>
      <c r="O91">
        <f>E91+F91+G91+H91+I91+J91+K91+M91</f>
        <v>0</v>
      </c>
    </row>
    <row r="92" spans="3:15">
      <c r="C92">
        <f>16.82</f>
        <v>0</v>
      </c>
      <c r="D92">
        <f>16.82</f>
        <v>0</v>
      </c>
      <c r="E92">
        <f>E73*18.1025</f>
        <v>0</v>
      </c>
      <c r="F92">
        <f>F73*186.562</f>
        <v>0</v>
      </c>
      <c r="G92">
        <f>G73*26.223</f>
        <v>0</v>
      </c>
      <c r="H92">
        <f>H73*0.0</f>
        <v>0</v>
      </c>
      <c r="I92">
        <f>I73*-0.010021500000000001</f>
        <v>0</v>
      </c>
      <c r="J92">
        <f>J73*41.101</f>
        <v>0</v>
      </c>
      <c r="K92">
        <f>K73*-30.826</f>
        <v>0</v>
      </c>
      <c r="L92">
        <f>L73*319.114</f>
        <v>0</v>
      </c>
      <c r="M92">
        <f>M73*-78.159</f>
        <v>0</v>
      </c>
      <c r="N92">
        <f>E92+F92+G92+H92+I92+J92+K92+L92</f>
        <v>0</v>
      </c>
      <c r="O92">
        <f>E92+F92+G92+H92+I92+J92+K92+M92</f>
        <v>0</v>
      </c>
    </row>
    <row r="93" spans="3:15">
      <c r="C93">
        <f>17.73</f>
        <v>0</v>
      </c>
      <c r="D93">
        <f>17.73</f>
        <v>0</v>
      </c>
      <c r="E93">
        <f>E73*18.453</f>
        <v>0</v>
      </c>
      <c r="F93">
        <f>F73*212.644</f>
        <v>0</v>
      </c>
      <c r="G93">
        <f>G73*30.5</f>
        <v>0</v>
      </c>
      <c r="H93">
        <f>H73*0.0</f>
        <v>0</v>
      </c>
      <c r="I93">
        <f>I73*-0.016</f>
        <v>0</v>
      </c>
      <c r="J93">
        <f>J73*40.9225</f>
        <v>0</v>
      </c>
      <c r="K93">
        <f>K73*-30.692</f>
        <v>0</v>
      </c>
      <c r="L93">
        <f>L73*353.663</f>
        <v>0</v>
      </c>
      <c r="M93">
        <f>M73*-51.2125</f>
        <v>0</v>
      </c>
      <c r="N93">
        <f>E93+F93+G93+H93+I93+J93+K93+L93</f>
        <v>0</v>
      </c>
      <c r="O93">
        <f>E93+F93+G93+H93+I93+J93+K93+M93</f>
        <v>0</v>
      </c>
    </row>
    <row r="94" spans="3:15">
      <c r="C94">
        <f>18.64</f>
        <v>0</v>
      </c>
      <c r="D94">
        <f>18.64</f>
        <v>0</v>
      </c>
      <c r="E94">
        <f>E73*18.872500000000002</f>
        <v>0</v>
      </c>
      <c r="F94">
        <f>F73*241.5525</f>
        <v>0</v>
      </c>
      <c r="G94">
        <f>G73*35.174499999999995</f>
        <v>0</v>
      </c>
      <c r="H94">
        <f>H73*0.0</f>
        <v>0</v>
      </c>
      <c r="I94">
        <f>I73*-0.0275</f>
        <v>0</v>
      </c>
      <c r="J94">
        <f>J73*45.872</f>
        <v>0</v>
      </c>
      <c r="K94">
        <f>K73*-34.403999999999996</f>
        <v>0</v>
      </c>
      <c r="L94">
        <f>L73*396.8115</f>
        <v>0</v>
      </c>
      <c r="M94">
        <f>M73*-29.5655</f>
        <v>0</v>
      </c>
      <c r="N94">
        <f>E94+F94+G94+H94+I94+J94+K94+L94</f>
        <v>0</v>
      </c>
      <c r="O94">
        <f>E94+F94+G94+H94+I94+J94+K94+M94</f>
        <v>0</v>
      </c>
    </row>
    <row r="95" spans="3:15">
      <c r="C95">
        <f>19.55</f>
        <v>0</v>
      </c>
      <c r="D95">
        <f>19.55</f>
        <v>0</v>
      </c>
      <c r="E95">
        <f>E73*9.975</f>
        <v>0</v>
      </c>
      <c r="F95">
        <f>F73*123.45</f>
        <v>0</v>
      </c>
      <c r="G95">
        <f>G73*18.081999999999997</f>
        <v>0</v>
      </c>
      <c r="H95">
        <f>H73*0.0</f>
        <v>0</v>
      </c>
      <c r="I95">
        <f>I73*-0.007000000000000003</f>
        <v>0</v>
      </c>
      <c r="J95">
        <f>J73*20.286</f>
        <v>0</v>
      </c>
      <c r="K95">
        <f>K73*-15.215000000000003</f>
        <v>0</v>
      </c>
      <c r="L95">
        <f>L73*224.6065</f>
        <v>0</v>
      </c>
      <c r="M95">
        <f>M73*-117.04</f>
        <v>0</v>
      </c>
      <c r="N95">
        <f>E95+F95+G95+H95+I95+J95+K95+L95</f>
        <v>0</v>
      </c>
      <c r="O95">
        <f>E95+F95+G95+H95+I95+J95+K95+M95</f>
        <v>0</v>
      </c>
    </row>
    <row r="96" spans="3:15">
      <c r="C96">
        <f>20.0</f>
        <v>0</v>
      </c>
      <c r="D96">
        <f>20.0</f>
        <v>0</v>
      </c>
      <c r="E96">
        <f>E73*0.711</f>
        <v>0</v>
      </c>
      <c r="F96">
        <f>F73*-12.083</f>
        <v>0</v>
      </c>
      <c r="G96">
        <f>G73*-2.728</f>
        <v>0</v>
      </c>
      <c r="H96">
        <f>H73*0.0</f>
        <v>0</v>
      </c>
      <c r="I96">
        <f>I73*0.027999999999999997</f>
        <v>0</v>
      </c>
      <c r="J96">
        <f>J73*-17.738</f>
        <v>0</v>
      </c>
      <c r="K96">
        <f>K73*13.302999999999999</f>
        <v>0</v>
      </c>
      <c r="L96">
        <f>L73*12.984000000000002</f>
        <v>0</v>
      </c>
      <c r="M96">
        <f>M73*-219.47</f>
        <v>0</v>
      </c>
      <c r="N96">
        <f>E96+F96+G96+H96+I96+J96+K96+L96</f>
        <v>0</v>
      </c>
      <c r="O96">
        <f>E96+F96+G96+H96+I96+J96+K96+M96</f>
        <v>0</v>
      </c>
    </row>
    <row r="97" spans="3:15">
      <c r="C97">
        <f>20.0</f>
        <v>0</v>
      </c>
      <c r="D97">
        <f>0.0</f>
        <v>0</v>
      </c>
      <c r="E97">
        <f>E73*-0.581</f>
        <v>0</v>
      </c>
      <c r="F97">
        <f>F73*11.365</f>
        <v>0</v>
      </c>
      <c r="G97">
        <f>G73*2.617</f>
        <v>0</v>
      </c>
      <c r="H97">
        <f>H73*0.0</f>
        <v>0</v>
      </c>
      <c r="I97">
        <f>I73*0.242</f>
        <v>0</v>
      </c>
      <c r="J97">
        <f>J73*15.716</f>
        <v>0</v>
      </c>
      <c r="K97">
        <f>K73*-11.787</f>
        <v>0</v>
      </c>
      <c r="L97">
        <f>L73*27.201</f>
        <v>0</v>
      </c>
      <c r="M97">
        <f>M73*-13.525</f>
        <v>0</v>
      </c>
      <c r="N97">
        <f>E97+F97+G97+H97+I97+J97+K97+L97</f>
        <v>0</v>
      </c>
      <c r="O97">
        <f>E97+F97+G97+H97+I97+J97+K97+M97</f>
        <v>0</v>
      </c>
    </row>
    <row r="98" spans="3:15">
      <c r="C98">
        <f>20.45</f>
        <v>0</v>
      </c>
      <c r="D98">
        <f>0.45</f>
        <v>0</v>
      </c>
      <c r="E98">
        <f>E73*-9.350999999999999</f>
        <v>0</v>
      </c>
      <c r="F98">
        <f>F73*-123.59000000000002</f>
        <v>0</v>
      </c>
      <c r="G98">
        <f>G73*-18.1215</f>
        <v>0</v>
      </c>
      <c r="H98">
        <f>H73*0.0</f>
        <v>0</v>
      </c>
      <c r="I98">
        <f>I73*-0.37</f>
        <v>0</v>
      </c>
      <c r="J98">
        <f>J73*-25.8565</f>
        <v>0</v>
      </c>
      <c r="K98">
        <f>K73*19.3925</f>
        <v>0</v>
      </c>
      <c r="L98">
        <f>L73*18.756</f>
        <v>0</v>
      </c>
      <c r="M98">
        <f>M73*-228.46849999999998</f>
        <v>0</v>
      </c>
      <c r="N98">
        <f>E98+F98+G98+H98+I98+J98+K98+L98</f>
        <v>0</v>
      </c>
      <c r="O98">
        <f>E98+F98+G98+H98+I98+J98+K98+M98</f>
        <v>0</v>
      </c>
    </row>
    <row r="99" spans="3:15">
      <c r="C99">
        <f>21.36</f>
        <v>0</v>
      </c>
      <c r="D99">
        <f>1.36</f>
        <v>0</v>
      </c>
      <c r="E99">
        <f>E73*-17.8215</f>
        <v>0</v>
      </c>
      <c r="F99">
        <f>F73*-240.676</f>
        <v>0</v>
      </c>
      <c r="G99">
        <f>G73*-35.075</f>
        <v>0</v>
      </c>
      <c r="H99">
        <f>H73*0.0</f>
        <v>0</v>
      </c>
      <c r="I99">
        <f>I73*-0.845</f>
        <v>0</v>
      </c>
      <c r="J99">
        <f>J73*-53.974</f>
        <v>0</v>
      </c>
      <c r="K99">
        <f>K73*40.4805</f>
        <v>0</v>
      </c>
      <c r="L99">
        <f>L73*23.6355</f>
        <v>0</v>
      </c>
      <c r="M99">
        <f>M73*-404.59749999999997</f>
        <v>0</v>
      </c>
      <c r="N99">
        <f>E99+F99+G99+H99+I99+J99+K99+L99</f>
        <v>0</v>
      </c>
      <c r="O99">
        <f>E99+F99+G99+H99+I99+J99+K99+M99</f>
        <v>0</v>
      </c>
    </row>
    <row r="100" spans="3:15">
      <c r="C100">
        <f>22.27</f>
        <v>0</v>
      </c>
      <c r="D100">
        <f>2.27</f>
        <v>0</v>
      </c>
      <c r="E100">
        <f>E73*-17.503500000000003</f>
        <v>0</v>
      </c>
      <c r="F100">
        <f>F73*-211.2135</f>
        <v>0</v>
      </c>
      <c r="G100">
        <f>G73*-30.3155</f>
        <v>0</v>
      </c>
      <c r="H100">
        <f>H73*0.0</f>
        <v>0</v>
      </c>
      <c r="I100">
        <f>I73*-0.7315</f>
        <v>0</v>
      </c>
      <c r="J100">
        <f>J73*-47.528</f>
        <v>0</v>
      </c>
      <c r="K100">
        <f>K73*35.646</f>
        <v>0</v>
      </c>
      <c r="L100">
        <f>L73*44.7735</f>
        <v>0</v>
      </c>
      <c r="M100">
        <f>M73*-360.376</f>
        <v>0</v>
      </c>
      <c r="N100">
        <f>E100+F100+G100+H100+I100+J100+K100+L100</f>
        <v>0</v>
      </c>
      <c r="O100">
        <f>E100+F100+G100+H100+I100+J100+K100+M100</f>
        <v>0</v>
      </c>
    </row>
    <row r="101" spans="3:15">
      <c r="C101">
        <f>23.18</f>
        <v>0</v>
      </c>
      <c r="D101">
        <f>3.18</f>
        <v>0</v>
      </c>
      <c r="E101">
        <f>E73*-17.238999999999997</f>
        <v>0</v>
      </c>
      <c r="F101">
        <f>F73*-184.69400000000002</f>
        <v>0</v>
      </c>
      <c r="G101">
        <f>G73*-25.97</f>
        <v>0</v>
      </c>
      <c r="H101">
        <f>H73*0.0</f>
        <v>0</v>
      </c>
      <c r="I101">
        <f>I73*-0.6744999999999999</f>
        <v>0</v>
      </c>
      <c r="J101">
        <f>J73*-46.4255</f>
        <v>0</v>
      </c>
      <c r="K101">
        <f>K73*34.8185</f>
        <v>0</v>
      </c>
      <c r="L101">
        <f>L73*70.2175</f>
        <v>0</v>
      </c>
      <c r="M101">
        <f>M73*-323.97900000000004</f>
        <v>0</v>
      </c>
      <c r="N101">
        <f>E101+F101+G101+H101+I101+J101+K101+L101</f>
        <v>0</v>
      </c>
      <c r="O101">
        <f>E101+F101+G101+H101+I101+J101+K101+M101</f>
        <v>0</v>
      </c>
    </row>
    <row r="102" spans="3:15">
      <c r="C102">
        <f>24.09</f>
        <v>0</v>
      </c>
      <c r="D102">
        <f>4.09</f>
        <v>0</v>
      </c>
      <c r="E102">
        <f>E73*-17.088</f>
        <v>0</v>
      </c>
      <c r="F102">
        <f>F73*-163.38349999999997</f>
        <v>0</v>
      </c>
      <c r="G102">
        <f>G73*-22.39</f>
        <v>0</v>
      </c>
      <c r="H102">
        <f>H73*0.0</f>
        <v>0</v>
      </c>
      <c r="I102">
        <f>I73*-0.6655</f>
        <v>0</v>
      </c>
      <c r="J102">
        <f>J73*-41.084</f>
        <v>0</v>
      </c>
      <c r="K102">
        <f>K73*30.8135</f>
        <v>0</v>
      </c>
      <c r="L102">
        <f>L73*95.58049999999999</f>
        <v>0</v>
      </c>
      <c r="M102">
        <f>M73*-297.3825</f>
        <v>0</v>
      </c>
      <c r="N102">
        <f>E102+F102+G102+H102+I102+J102+K102+L102</f>
        <v>0</v>
      </c>
      <c r="O102">
        <f>E102+F102+G102+H102+I102+J102+K102+M102</f>
        <v>0</v>
      </c>
    </row>
    <row r="103" spans="3:15">
      <c r="C103">
        <f>25.0</f>
        <v>0</v>
      </c>
      <c r="D103">
        <f>5.0</f>
        <v>0</v>
      </c>
      <c r="E103">
        <f>E73*-12.293500000000002</f>
        <v>0</v>
      </c>
      <c r="F103">
        <f>F73*-133.8445</f>
        <v>0</v>
      </c>
      <c r="G103">
        <f>G73*-19.0545</f>
        <v>0</v>
      </c>
      <c r="H103">
        <f>H73*0.0</f>
        <v>0</v>
      </c>
      <c r="I103">
        <f>I73*-0.843</f>
        <v>0</v>
      </c>
      <c r="J103">
        <f>J73*-11.244499999999999</f>
        <v>0</v>
      </c>
      <c r="K103">
        <f>K73*8.4335</f>
        <v>0</v>
      </c>
      <c r="L103">
        <f>L73*96.80449999999999</f>
        <v>0</v>
      </c>
      <c r="M103">
        <f>M73*-281.9375</f>
        <v>0</v>
      </c>
      <c r="N103">
        <f>E103+F103+G103+H103+I103+J103+K103+L103</f>
        <v>0</v>
      </c>
      <c r="O103">
        <f>E103+F103+G103+H103+I103+J103+K103+M103</f>
        <v>0</v>
      </c>
    </row>
    <row r="104" spans="3:15">
      <c r="C104">
        <f>26.0</f>
        <v>0</v>
      </c>
      <c r="D104">
        <f>6.0</f>
        <v>0</v>
      </c>
      <c r="E104">
        <f>E73*-7.15</f>
        <v>0</v>
      </c>
      <c r="F104">
        <f>F73*-99.5885</f>
        <v>0</v>
      </c>
      <c r="G104">
        <f>G73*-15.082</f>
        <v>0</v>
      </c>
      <c r="H104">
        <f>H73*0.0</f>
        <v>0</v>
      </c>
      <c r="I104">
        <f>I73*-1.086</f>
        <v>0</v>
      </c>
      <c r="J104">
        <f>J73*11.3095</f>
        <v>0</v>
      </c>
      <c r="K104">
        <f>K73*-8.482</f>
        <v>0</v>
      </c>
      <c r="L104">
        <f>L73*96.38150000000002</f>
        <v>0</v>
      </c>
      <c r="M104">
        <f>M73*-261.5385</f>
        <v>0</v>
      </c>
      <c r="N104">
        <f>E104+F104+G104+H104+I104+J104+K104+L104</f>
        <v>0</v>
      </c>
      <c r="O104">
        <f>E104+F104+G104+H104+I104+J104+K104+M104</f>
        <v>0</v>
      </c>
    </row>
    <row r="105" spans="3:15">
      <c r="C105">
        <f>27.0</f>
        <v>0</v>
      </c>
      <c r="D105">
        <f>7.0</f>
        <v>0</v>
      </c>
      <c r="E105">
        <f>E73*-6.654</f>
        <v>0</v>
      </c>
      <c r="F105">
        <f>F73*-75.219</f>
        <v>0</v>
      </c>
      <c r="G105">
        <f>G73*-11.014</f>
        <v>0</v>
      </c>
      <c r="H105">
        <f>H73*0.0</f>
        <v>0</v>
      </c>
      <c r="I105">
        <f>I73*-1.2565</f>
        <v>0</v>
      </c>
      <c r="J105">
        <f>J73*5.674</f>
        <v>0</v>
      </c>
      <c r="K105">
        <f>K73*-4.2555000000000005</f>
        <v>0</v>
      </c>
      <c r="L105">
        <f>L73*117.8185</f>
        <v>0</v>
      </c>
      <c r="M105">
        <f>M73*-232.591</f>
        <v>0</v>
      </c>
      <c r="N105">
        <f>E105+F105+G105+H105+I105+J105+K105+L105</f>
        <v>0</v>
      </c>
      <c r="O105">
        <f>E105+F105+G105+H105+I105+J105+K105+M105</f>
        <v>0</v>
      </c>
    </row>
    <row r="106" spans="3:15">
      <c r="C106">
        <f>28.0</f>
        <v>0</v>
      </c>
      <c r="D106">
        <f>8.0</f>
        <v>0</v>
      </c>
      <c r="E106">
        <f>E73*-6.3375</f>
        <v>0</v>
      </c>
      <c r="F106">
        <f>F73*-51.2275</f>
        <v>0</v>
      </c>
      <c r="G106">
        <f>G73*-6.989</f>
        <v>0</v>
      </c>
      <c r="H106">
        <f>H73*0.0</f>
        <v>0</v>
      </c>
      <c r="I106">
        <f>I73*-1.4805000000000001</f>
        <v>0</v>
      </c>
      <c r="J106">
        <f>J73*-2.0915</f>
        <v>0</v>
      </c>
      <c r="K106">
        <f>K73*1.5685</f>
        <v>0</v>
      </c>
      <c r="L106">
        <f>L73*140.4845</f>
        <v>0</v>
      </c>
      <c r="M106">
        <f>M73*-205.55599999999998</f>
        <v>0</v>
      </c>
      <c r="N106">
        <f>E106+F106+G106+H106+I106+J106+K106+L106</f>
        <v>0</v>
      </c>
      <c r="O106">
        <f>E106+F106+G106+H106+I106+J106+K106+M106</f>
        <v>0</v>
      </c>
    </row>
    <row r="107" spans="3:15">
      <c r="C107">
        <f>29.0</f>
        <v>0</v>
      </c>
      <c r="D107">
        <f>9.0</f>
        <v>0</v>
      </c>
      <c r="E107">
        <f>E73*-5.798500000000001</f>
        <v>0</v>
      </c>
      <c r="F107">
        <f>F73*-27.4725</f>
        <v>0</v>
      </c>
      <c r="G107">
        <f>G73*-3.002</f>
        <v>0</v>
      </c>
      <c r="H107">
        <f>H73*0.0</f>
        <v>0</v>
      </c>
      <c r="I107">
        <f>I73*-1.7545000000000002</f>
        <v>0</v>
      </c>
      <c r="J107">
        <f>J73*-8.871500000000001</f>
        <v>0</v>
      </c>
      <c r="K107">
        <f>K73*6.653499999999999</f>
        <v>0</v>
      </c>
      <c r="L107">
        <f>L73*165.81550000000001</f>
        <v>0</v>
      </c>
      <c r="M107">
        <f>M73*-179.7905</f>
        <v>0</v>
      </c>
      <c r="N107">
        <f>E107+F107+G107+H107+I107+J107+K107+L107</f>
        <v>0</v>
      </c>
      <c r="O107">
        <f>E107+F107+G107+H107+I107+J107+K107+M107</f>
        <v>0</v>
      </c>
    </row>
    <row r="108" spans="3:15">
      <c r="C108">
        <f>30.0</f>
        <v>0</v>
      </c>
      <c r="D108">
        <f>10.0</f>
        <v>0</v>
      </c>
      <c r="E108">
        <f>E73*0.08800000000000008</f>
        <v>0</v>
      </c>
      <c r="F108">
        <f>F73*0.2579999999999998</f>
        <v>0</v>
      </c>
      <c r="G108">
        <f>G73*0.034499999999999996</f>
        <v>0</v>
      </c>
      <c r="H108">
        <f>H73*0.0</f>
        <v>0</v>
      </c>
      <c r="I108">
        <f>I73*-2.3185000000000002</f>
        <v>0</v>
      </c>
      <c r="J108">
        <f>J73*-0.5510000000000002</f>
        <v>0</v>
      </c>
      <c r="K108">
        <f>K73*0.4134999999999991</f>
        <v>0</v>
      </c>
      <c r="L108">
        <f>L73*170.792</f>
        <v>0</v>
      </c>
      <c r="M108">
        <f>M73*-172.0405</f>
        <v>0</v>
      </c>
      <c r="N108">
        <f>E108+F108+G108+H108+I108+J108+K108+L108</f>
        <v>0</v>
      </c>
      <c r="O108">
        <f>E108+F108+G108+H108+I108+J108+K108+M108</f>
        <v>0</v>
      </c>
    </row>
    <row r="109" spans="3:15">
      <c r="C109">
        <f>31.0</f>
        <v>0</v>
      </c>
      <c r="D109">
        <f>11.0</f>
        <v>0</v>
      </c>
      <c r="E109">
        <f>E73*5.978</f>
        <v>0</v>
      </c>
      <c r="F109">
        <f>F73*27.9685</f>
        <v>0</v>
      </c>
      <c r="G109">
        <f>G73*3.068</f>
        <v>0</v>
      </c>
      <c r="H109">
        <f>H73*0.0</f>
        <v>0</v>
      </c>
      <c r="I109">
        <f>I73*-2.962</f>
        <v>0</v>
      </c>
      <c r="J109">
        <f>J73*7.724500000000001</f>
        <v>0</v>
      </c>
      <c r="K109">
        <f>K73*-5.793</f>
        <v>0</v>
      </c>
      <c r="L109">
        <f>L73*179.45850000000002</f>
        <v>0</v>
      </c>
      <c r="M109">
        <f>M73*-166.835</f>
        <v>0</v>
      </c>
      <c r="N109">
        <f>E109+F109+G109+H109+I109+J109+K109+L109</f>
        <v>0</v>
      </c>
      <c r="O109">
        <f>E109+F109+G109+H109+I109+J109+K109+M109</f>
        <v>0</v>
      </c>
    </row>
    <row r="110" spans="3:15">
      <c r="C110">
        <f>32.0</f>
        <v>0</v>
      </c>
      <c r="D110">
        <f>12.0</f>
        <v>0</v>
      </c>
      <c r="E110">
        <f>E73*6.5255</f>
        <v>0</v>
      </c>
      <c r="F110">
        <f>F73*51.6755</f>
        <v>0</v>
      </c>
      <c r="G110">
        <f>G73*7.047499999999999</f>
        <v>0</v>
      </c>
      <c r="H110">
        <f>H73*0.0</f>
        <v>0</v>
      </c>
      <c r="I110">
        <f>I73*-3.4699999999999998</f>
        <v>0</v>
      </c>
      <c r="J110">
        <f>J73*0.8195</f>
        <v>0</v>
      </c>
      <c r="K110">
        <f>K73*-0.6145</f>
        <v>0</v>
      </c>
      <c r="L110">
        <f>L73*205.098</f>
        <v>0</v>
      </c>
      <c r="M110">
        <f>M73*-140.9995</f>
        <v>0</v>
      </c>
      <c r="N110">
        <f>E110+F110+G110+H110+I110+J110+K110+L110</f>
        <v>0</v>
      </c>
      <c r="O110">
        <f>E110+F110+G110+H110+I110+J110+K110+M110</f>
        <v>0</v>
      </c>
    </row>
    <row r="111" spans="3:15">
      <c r="C111">
        <f>33.0</f>
        <v>0</v>
      </c>
      <c r="D111">
        <f>13.0</f>
        <v>0</v>
      </c>
      <c r="E111">
        <f>E73*6.857</f>
        <v>0</v>
      </c>
      <c r="F111">
        <f>F73*75.5735</f>
        <v>0</v>
      </c>
      <c r="G111">
        <f>G73*11.058</f>
        <v>0</v>
      </c>
      <c r="H111">
        <f>H73*0.0</f>
        <v>0</v>
      </c>
      <c r="I111">
        <f>I73*-3.9850000000000003</f>
        <v>0</v>
      </c>
      <c r="J111">
        <f>J73*-7.1715</f>
        <v>0</v>
      </c>
      <c r="K111">
        <f>K73*5.3785</f>
        <v>0</v>
      </c>
      <c r="L111">
        <f>L73*231.86450000000002</f>
        <v>0</v>
      </c>
      <c r="M111">
        <f>M73*-118.40100000000001</f>
        <v>0</v>
      </c>
      <c r="N111">
        <f>E111+F111+G111+H111+I111+J111+K111+L111</f>
        <v>0</v>
      </c>
      <c r="O111">
        <f>E111+F111+G111+H111+I111+J111+K111+M111</f>
        <v>0</v>
      </c>
    </row>
    <row r="112" spans="3:15">
      <c r="C112">
        <f>34.0</f>
        <v>0</v>
      </c>
      <c r="D112">
        <f>14.0</f>
        <v>0</v>
      </c>
      <c r="E112">
        <f>E73*7.374</f>
        <v>0</v>
      </c>
      <c r="F112">
        <f>F73*99.7475</f>
        <v>0</v>
      </c>
      <c r="G112">
        <f>G73*15.0965</f>
        <v>0</v>
      </c>
      <c r="H112">
        <f>H73*0.0</f>
        <v>0</v>
      </c>
      <c r="I112">
        <f>I73*-4.349</f>
        <v>0</v>
      </c>
      <c r="J112">
        <f>J73*-13.178</f>
        <v>0</v>
      </c>
      <c r="K112">
        <f>K73*9.883500000000002</f>
        <v>0</v>
      </c>
      <c r="L112">
        <f>L73*261.2495</f>
        <v>0</v>
      </c>
      <c r="M112">
        <f>M73*-97.266</f>
        <v>0</v>
      </c>
      <c r="N112">
        <f>E112+F112+G112+H112+I112+J112+K112+L112</f>
        <v>0</v>
      </c>
      <c r="O112">
        <f>E112+F112+G112+H112+I112+J112+K112+M112</f>
        <v>0</v>
      </c>
    </row>
    <row r="113" spans="3:15">
      <c r="C113">
        <f>35.0</f>
        <v>0</v>
      </c>
      <c r="D113">
        <f>15.0</f>
        <v>0</v>
      </c>
      <c r="E113">
        <f>E73*12.5375</f>
        <v>0</v>
      </c>
      <c r="F113">
        <f>F73*131.938</f>
        <v>0</v>
      </c>
      <c r="G113">
        <f>G73*18.765</f>
        <v>0</v>
      </c>
      <c r="H113">
        <f>H73*0.0</f>
        <v>0</v>
      </c>
      <c r="I113">
        <f>I73*-0.4375000000000002</f>
        <v>0</v>
      </c>
      <c r="J113">
        <f>J73*7.2285</f>
        <v>0</v>
      </c>
      <c r="K113">
        <f>K73*-5.421499999999999</f>
        <v>0</v>
      </c>
      <c r="L113">
        <f>L73*278.885</f>
        <v>0</v>
      </c>
      <c r="M113">
        <f>M73*-100.426</f>
        <v>0</v>
      </c>
      <c r="N113">
        <f>E113+F113+G113+H113+I113+J113+K113+L113</f>
        <v>0</v>
      </c>
      <c r="O113">
        <f>E113+F113+G113+H113+I113+J113+K113+M113</f>
        <v>0</v>
      </c>
    </row>
    <row r="114" spans="3:15">
      <c r="C114">
        <f>35.91</f>
        <v>0</v>
      </c>
      <c r="D114">
        <f>15.91</f>
        <v>0</v>
      </c>
      <c r="E114">
        <f>E73*17.362000000000002</f>
        <v>0</v>
      </c>
      <c r="F114">
        <f>F73*159.264</f>
        <v>0</v>
      </c>
      <c r="G114">
        <f>G73*21.774</f>
        <v>0</v>
      </c>
      <c r="H114">
        <f>H73*0.0</f>
        <v>0</v>
      </c>
      <c r="I114">
        <f>I73*3.9764999999999997</f>
        <v>0</v>
      </c>
      <c r="J114">
        <f>J73*34.687</f>
        <v>0</v>
      </c>
      <c r="K114">
        <f>K73*-26.0155</f>
        <v>0</v>
      </c>
      <c r="L114">
        <f>L73*291.7675</f>
        <v>0</v>
      </c>
      <c r="M114">
        <f>M73*-102.24350000000001</f>
        <v>0</v>
      </c>
      <c r="N114">
        <f>E114+F114+G114+H114+I114+J114+K114+L114</f>
        <v>0</v>
      </c>
      <c r="O114">
        <f>E114+F114+G114+H114+I114+J114+K114+M114</f>
        <v>0</v>
      </c>
    </row>
    <row r="115" spans="3:15">
      <c r="C115">
        <f>36.82</f>
        <v>0</v>
      </c>
      <c r="D115">
        <f>16.82</f>
        <v>0</v>
      </c>
      <c r="E115">
        <f>E73*17.5565</f>
        <v>0</v>
      </c>
      <c r="F115">
        <f>F73*179.9475</f>
        <v>0</v>
      </c>
      <c r="G115">
        <f>G73*25.259500000000003</f>
        <v>0</v>
      </c>
      <c r="H115">
        <f>H73*0.0</f>
        <v>0</v>
      </c>
      <c r="I115">
        <f>I73*5.324</f>
        <v>0</v>
      </c>
      <c r="J115">
        <f>J73*39.013999999999996</f>
        <v>0</v>
      </c>
      <c r="K115">
        <f>K73*-29.2605</f>
        <v>0</v>
      </c>
      <c r="L115">
        <f>L73*316.65250000000003</f>
        <v>0</v>
      </c>
      <c r="M115">
        <f>M73*-78.03450000000001</f>
        <v>0</v>
      </c>
      <c r="N115">
        <f>E115+F115+G115+H115+I115+J115+K115+L115</f>
        <v>0</v>
      </c>
      <c r="O115">
        <f>E115+F115+G115+H115+I115+J115+K115+M115</f>
        <v>0</v>
      </c>
    </row>
    <row r="116" spans="3:15">
      <c r="C116">
        <f>37.73</f>
        <v>0</v>
      </c>
      <c r="D116">
        <f>17.73</f>
        <v>0</v>
      </c>
      <c r="E116">
        <f>E73*17.866</f>
        <v>0</v>
      </c>
      <c r="F116">
        <f>F73*205.613</f>
        <v>0</v>
      </c>
      <c r="G116">
        <f>G73*29.477999999999998</f>
        <v>0</v>
      </c>
      <c r="H116">
        <f>H73*0.0</f>
        <v>0</v>
      </c>
      <c r="I116">
        <f>I73*8.3365</f>
        <v>0</v>
      </c>
      <c r="J116">
        <f>J73*38.852000000000004</f>
        <v>0</v>
      </c>
      <c r="K116">
        <f>K73*-29.1385</f>
        <v>0</v>
      </c>
      <c r="L116">
        <f>L73*351.269</f>
        <v>0</v>
      </c>
      <c r="M116">
        <f>M73*-51.176500000000004</f>
        <v>0</v>
      </c>
      <c r="N116">
        <f>E116+F116+G116+H116+I116+J116+K116+L116</f>
        <v>0</v>
      </c>
      <c r="O116">
        <f>E116+F116+G116+H116+I116+J116+K116+M116</f>
        <v>0</v>
      </c>
    </row>
    <row r="117" spans="3:15">
      <c r="C117">
        <f>38.64</f>
        <v>0</v>
      </c>
      <c r="D117">
        <f>18.64</f>
        <v>0</v>
      </c>
      <c r="E117">
        <f>E73*18.2195</f>
        <v>0</v>
      </c>
      <c r="F117">
        <f>F73*233.786</f>
        <v>0</v>
      </c>
      <c r="G117">
        <f>G73*34.046499999999995</f>
        <v>0</v>
      </c>
      <c r="H117">
        <f>H73*0.0</f>
        <v>0</v>
      </c>
      <c r="I117">
        <f>I73*14.2375</f>
        <v>0</v>
      </c>
      <c r="J117">
        <f>J73*43.673500000000004</f>
        <v>0</v>
      </c>
      <c r="K117">
        <f>K73*-32.754999999999995</f>
        <v>0</v>
      </c>
      <c r="L117">
        <f>L73*394.125</f>
        <v>0</v>
      </c>
      <c r="M117">
        <f>M73*-28.590000000000003</f>
        <v>0</v>
      </c>
      <c r="N117">
        <f>E117+F117+G117+H117+I117+J117+K117+L117</f>
        <v>0</v>
      </c>
      <c r="O117">
        <f>E117+F117+G117+H117+I117+J117+K117+M117</f>
        <v>0</v>
      </c>
    </row>
    <row r="118" spans="3:15">
      <c r="C118">
        <f>39.55</f>
        <v>0</v>
      </c>
      <c r="D118">
        <f>19.55</f>
        <v>0</v>
      </c>
      <c r="E118">
        <f>E73*9.7015</f>
        <v>0</v>
      </c>
      <c r="F118">
        <f>F73*120.13999999999999</f>
        <v>0</v>
      </c>
      <c r="G118">
        <f>G73*17.6005</f>
        <v>0</v>
      </c>
      <c r="H118">
        <f>H73*0.0</f>
        <v>0</v>
      </c>
      <c r="I118">
        <f>I73*3.7685000000000004</f>
        <v>0</v>
      </c>
      <c r="J118">
        <f>J73*19.3305</f>
        <v>0</v>
      </c>
      <c r="K118">
        <f>K73*-14.498000000000003</f>
        <v>0</v>
      </c>
      <c r="L118">
        <f>L73*224.0215</f>
        <v>0</v>
      </c>
      <c r="M118">
        <f>M73*-116.2335</f>
        <v>0</v>
      </c>
      <c r="N118">
        <f>E118+F118+G118+H118+I118+J118+K118+L118</f>
        <v>0</v>
      </c>
      <c r="O118">
        <f>E118+F118+G118+H118+I118+J118+K118+M118</f>
        <v>0</v>
      </c>
    </row>
    <row r="119" spans="3:15">
      <c r="C119">
        <f>40.0</f>
        <v>0</v>
      </c>
      <c r="D119">
        <f>20.0</f>
        <v>0</v>
      </c>
      <c r="E119">
        <f>E73*0.897</f>
        <v>0</v>
      </c>
      <c r="F119">
        <f>F73*-9.979</f>
        <v>0</v>
      </c>
      <c r="G119">
        <f>G73*-2.425</f>
        <v>0</v>
      </c>
      <c r="H119">
        <f>H73*0.0</f>
        <v>0</v>
      </c>
      <c r="I119">
        <f>I73*-14.321</f>
        <v>0</v>
      </c>
      <c r="J119">
        <f>J73*-17.192999999999998</f>
        <v>0</v>
      </c>
      <c r="K119">
        <f>K73*12.895</f>
        <v>0</v>
      </c>
      <c r="L119">
        <f>L73*15.094000000000001</f>
        <v>0</v>
      </c>
      <c r="M119">
        <f>M73*-219.273</f>
        <v>0</v>
      </c>
      <c r="N119">
        <f>E119+F119+G119+H119+I119+J119+K119+L119</f>
        <v>0</v>
      </c>
      <c r="O119">
        <f>E119+F119+G119+H119+I119+J119+K119+M119</f>
        <v>0</v>
      </c>
    </row>
    <row r="120" spans="3:15">
      <c r="C120">
        <f>40.0</f>
        <v>0</v>
      </c>
      <c r="D120">
        <f>0.0</f>
        <v>0</v>
      </c>
      <c r="E120">
        <f>E73*-0.41200000000000003</f>
        <v>0</v>
      </c>
      <c r="F120">
        <f>F73*9.449</f>
        <v>0</v>
      </c>
      <c r="G120">
        <f>G73*2.329</f>
        <v>0</v>
      </c>
      <c r="H120">
        <f>H73*0.0</f>
        <v>0</v>
      </c>
      <c r="I120">
        <f>I73*2.156</f>
        <v>0</v>
      </c>
      <c r="J120">
        <f>J73*-0.375</f>
        <v>0</v>
      </c>
      <c r="K120">
        <f>K73*0.281</f>
        <v>0</v>
      </c>
      <c r="L120">
        <f>L73*24.857</f>
        <v>0</v>
      </c>
      <c r="M120">
        <f>M73*-11.427</f>
        <v>0</v>
      </c>
      <c r="N120">
        <f>E120+F120+G120+H120+I120+J120+K120+L120</f>
        <v>0</v>
      </c>
      <c r="O120">
        <f>E120+F120+G120+H120+I120+J120+K120+M120</f>
        <v>0</v>
      </c>
    </row>
    <row r="121" spans="3:15">
      <c r="C121">
        <f>40.45</f>
        <v>0</v>
      </c>
      <c r="D121">
        <f>0.45</f>
        <v>0</v>
      </c>
      <c r="E121">
        <f>E73*-2.4305</f>
        <v>0</v>
      </c>
      <c r="F121">
        <f>F73*-60.491</f>
        <v>0</v>
      </c>
      <c r="G121">
        <f>G73*-9.1805</f>
        <v>0</v>
      </c>
      <c r="H121">
        <f>H73*0.0</f>
        <v>0</v>
      </c>
      <c r="I121">
        <f>I73*-58.012</f>
        <v>0</v>
      </c>
      <c r="J121">
        <f>J73*-45.468</f>
        <v>0</v>
      </c>
      <c r="K121">
        <f>K73*34.101000000000006</f>
        <v>0</v>
      </c>
      <c r="L121">
        <f>L73*18.814</f>
        <v>0</v>
      </c>
      <c r="M121">
        <f>M73*-174.9645</f>
        <v>0</v>
      </c>
      <c r="N121">
        <f>E121+F121+G121+H121+I121+J121+K121+L121</f>
        <v>0</v>
      </c>
      <c r="O121">
        <f>E121+F121+G121+H121+I121+J121+K121+M121</f>
        <v>0</v>
      </c>
    </row>
    <row r="122" spans="3:15">
      <c r="C122">
        <f>41.36</f>
        <v>0</v>
      </c>
      <c r="D122">
        <f>1.36</f>
        <v>0</v>
      </c>
      <c r="E122">
        <f>E73*-4.311</f>
        <v>0</v>
      </c>
      <c r="F122">
        <f>F73*-114.5315</f>
        <v>0</v>
      </c>
      <c r="G122">
        <f>G73*-17.1865</f>
        <v>0</v>
      </c>
      <c r="H122">
        <f>H73*0.0</f>
        <v>0</v>
      </c>
      <c r="I122">
        <f>I73*-107.2495</f>
        <v>0</v>
      </c>
      <c r="J122">
        <f>J73*-73.89099999999999</f>
        <v>0</v>
      </c>
      <c r="K122">
        <f>K73*55.4185</f>
        <v>0</v>
      </c>
      <c r="L122">
        <f>L73*25.7085</f>
        <v>0</v>
      </c>
      <c r="M122">
        <f>M73*-294.5485</f>
        <v>0</v>
      </c>
      <c r="N122">
        <f>E122+F122+G122+H122+I122+J122+K122+L122</f>
        <v>0</v>
      </c>
      <c r="O122">
        <f>E122+F122+G122+H122+I122+J122+K122+M122</f>
        <v>0</v>
      </c>
    </row>
    <row r="123" spans="3:15">
      <c r="C123">
        <f>42.27</f>
        <v>0</v>
      </c>
      <c r="D123">
        <f>2.27</f>
        <v>0</v>
      </c>
      <c r="E123">
        <f>E73*-4.2490000000000006</f>
        <v>0</v>
      </c>
      <c r="F123">
        <f>F73*-89.006</f>
        <v>0</v>
      </c>
      <c r="G123">
        <f>G73*-13.0015</f>
        <v>0</v>
      </c>
      <c r="H123">
        <f>H73*0.0</f>
        <v>0</v>
      </c>
      <c r="I123">
        <f>I73*-90.73750000000001</f>
        <v>0</v>
      </c>
      <c r="J123">
        <f>J73*-57.435500000000005</f>
        <v>0</v>
      </c>
      <c r="K123">
        <f>K73*43.076499999999996</f>
        <v>0</v>
      </c>
      <c r="L123">
        <f>L73*50.6235</f>
        <v>0</v>
      </c>
      <c r="M123">
        <f>M73*-247.78050000000002</f>
        <v>0</v>
      </c>
      <c r="N123">
        <f>E123+F123+G123+H123+I123+J123+K123+L123</f>
        <v>0</v>
      </c>
      <c r="O123">
        <f>E123+F123+G123+H123+I123+J123+K123+M123</f>
        <v>0</v>
      </c>
    </row>
    <row r="124" spans="3:15">
      <c r="C124">
        <f>43.18</f>
        <v>0</v>
      </c>
      <c r="D124">
        <f>3.18</f>
        <v>0</v>
      </c>
      <c r="E124">
        <f>E73*-4.1325</f>
        <v>0</v>
      </c>
      <c r="F124">
        <f>F73*-65.19550000000001</f>
        <v>0</v>
      </c>
      <c r="G124">
        <f>G73*-9.057500000000001</f>
        <v>0</v>
      </c>
      <c r="H124">
        <f>H73*0.0</f>
        <v>0</v>
      </c>
      <c r="I124">
        <f>I73*-73.464</f>
        <v>0</v>
      </c>
      <c r="J124">
        <f>J73*-50.3595</f>
        <v>0</v>
      </c>
      <c r="K124">
        <f>K73*37.769999999999996</f>
        <v>0</v>
      </c>
      <c r="L124">
        <f>L73*80.364</f>
        <v>0</v>
      </c>
      <c r="M124">
        <f>M73*-209.824</f>
        <v>0</v>
      </c>
      <c r="N124">
        <f>E124+F124+G124+H124+I124+J124+K124+L124</f>
        <v>0</v>
      </c>
      <c r="O124">
        <f>E124+F124+G124+H124+I124+J124+K124+M124</f>
        <v>0</v>
      </c>
    </row>
    <row r="125" spans="3:15">
      <c r="C125">
        <f>44.09</f>
        <v>0</v>
      </c>
      <c r="D125">
        <f>4.09</f>
        <v>0</v>
      </c>
      <c r="E125">
        <f>E73*-3.6965</f>
        <v>0</v>
      </c>
      <c r="F125">
        <f>F73*-41.056</f>
        <v>0</v>
      </c>
      <c r="G125">
        <f>G73*-5.0715</f>
        <v>0</v>
      </c>
      <c r="H125">
        <f>H73*0.0</f>
        <v>0</v>
      </c>
      <c r="I125">
        <f>I73*-54.9515</f>
        <v>0</v>
      </c>
      <c r="J125">
        <f>J73*-51.024</f>
        <v>0</v>
      </c>
      <c r="K125">
        <f>K73*38.2675</f>
        <v>0</v>
      </c>
      <c r="L125">
        <f>L73*117.635</f>
        <v>0</v>
      </c>
      <c r="M125">
        <f>M73*-174.1655</f>
        <v>0</v>
      </c>
      <c r="N125">
        <f>E125+F125+G125+H125+I125+J125+K125+L125</f>
        <v>0</v>
      </c>
      <c r="O125">
        <f>E125+F125+G125+H125+I125+J125+K125+M125</f>
        <v>0</v>
      </c>
    </row>
    <row r="126" spans="3:15">
      <c r="C126">
        <f>45.0</f>
        <v>0</v>
      </c>
      <c r="D126">
        <f>5.0</f>
        <v>0</v>
      </c>
      <c r="E126">
        <f>E73*0.02750000000000008</f>
        <v>0</v>
      </c>
      <c r="F126">
        <f>F73*-8.2855</f>
        <v>0</v>
      </c>
      <c r="G126">
        <f>G73*-1.1935</f>
        <v>0</v>
      </c>
      <c r="H126">
        <f>H73*0.0</f>
        <v>0</v>
      </c>
      <c r="I126">
        <f>I73*-3.770000000000003</f>
        <v>0</v>
      </c>
      <c r="J126">
        <f>J73*-6.7230000000000025</f>
        <v>0</v>
      </c>
      <c r="K126">
        <f>K73*5.041999999999996</f>
        <v>0</v>
      </c>
      <c r="L126">
        <f>L73*133.318</f>
        <v>0</v>
      </c>
      <c r="M126">
        <f>M73*-152.065</f>
        <v>0</v>
      </c>
      <c r="N126">
        <f>E126+F126+G126+H126+I126+J126+K126+L126</f>
        <v>0</v>
      </c>
      <c r="O126">
        <f>E126+F126+G126+H126+I126+J126+K126+M126</f>
        <v>0</v>
      </c>
    </row>
    <row r="127" spans="3:15">
      <c r="C127">
        <f>46.0</f>
        <v>0</v>
      </c>
      <c r="D127">
        <f>6.0</f>
        <v>0</v>
      </c>
      <c r="E127">
        <f>E73*3.7345</f>
        <v>0</v>
      </c>
      <c r="F127">
        <f>F73*26.444000000000003</f>
        <v>0</v>
      </c>
      <c r="G127">
        <f>G73*2.9270000000000005</f>
        <v>0</v>
      </c>
      <c r="H127">
        <f>H73*0.0</f>
        <v>0</v>
      </c>
      <c r="I127">
        <f>I73*48.3035</f>
        <v>0</v>
      </c>
      <c r="J127">
        <f>J73*37.4475</f>
        <v>0</v>
      </c>
      <c r="K127">
        <f>K73*-28.085</f>
        <v>0</v>
      </c>
      <c r="L127">
        <f>L73*157.0485</f>
        <v>0</v>
      </c>
      <c r="M127">
        <f>M73*-129.5695</f>
        <v>0</v>
      </c>
      <c r="N127">
        <f>E127+F127+G127+H127+I127+J127+K127+L127</f>
        <v>0</v>
      </c>
      <c r="O127">
        <f>E127+F127+G127+H127+I127+J127+K127+M127</f>
        <v>0</v>
      </c>
    </row>
    <row r="128" spans="3:15">
      <c r="C128">
        <f>47.0</f>
        <v>0</v>
      </c>
      <c r="D128">
        <f>7.0</f>
        <v>0</v>
      </c>
      <c r="E128">
        <f>E73*4.074</f>
        <v>0</v>
      </c>
      <c r="F128">
        <f>F73*51.975</f>
        <v>0</v>
      </c>
      <c r="G128">
        <f>G73*7.179</f>
        <v>0</v>
      </c>
      <c r="H128">
        <f>H73*0.0</f>
        <v>0</v>
      </c>
      <c r="I128">
        <f>I73*67.3</f>
        <v>0</v>
      </c>
      <c r="J128">
        <f>J73*36.8215</f>
        <v>0</v>
      </c>
      <c r="K128">
        <f>K73*-27.6165</f>
        <v>0</v>
      </c>
      <c r="L128">
        <f>L73*193.29699999999997</f>
        <v>0</v>
      </c>
      <c r="M128">
        <f>M73*-95.2345</f>
        <v>0</v>
      </c>
      <c r="N128">
        <f>E128+F128+G128+H128+I128+J128+K128+L128</f>
        <v>0</v>
      </c>
      <c r="O128">
        <f>E128+F128+G128+H128+I128+J128+K128+M128</f>
        <v>0</v>
      </c>
    </row>
    <row r="129" spans="3:15">
      <c r="C129">
        <f>48.0</f>
        <v>0</v>
      </c>
      <c r="D129">
        <f>8.0</f>
        <v>0</v>
      </c>
      <c r="E129">
        <f>E73*3.9455</f>
        <v>0</v>
      </c>
      <c r="F129">
        <f>F73*75.576</f>
        <v>0</v>
      </c>
      <c r="G129">
        <f>G73*11.1615</f>
        <v>0</v>
      </c>
      <c r="H129">
        <f>H73*0.0</f>
        <v>0</v>
      </c>
      <c r="I129">
        <f>I73*82.358</f>
        <v>0</v>
      </c>
      <c r="J129">
        <f>J73*48.14</f>
        <v>0</v>
      </c>
      <c r="K129">
        <f>K73*-36.1045</f>
        <v>0</v>
      </c>
      <c r="L129">
        <f>L73*228.54500000000002</f>
        <v>0</v>
      </c>
      <c r="M129">
        <f>M73*-61.715</f>
        <v>0</v>
      </c>
      <c r="N129">
        <f>E129+F129+G129+H129+I129+J129+K129+L129</f>
        <v>0</v>
      </c>
      <c r="O129">
        <f>E129+F129+G129+H129+I129+J129+K129+M129</f>
        <v>0</v>
      </c>
    </row>
    <row r="130" spans="3:15">
      <c r="C130">
        <f>49.0</f>
        <v>0</v>
      </c>
      <c r="D130">
        <f>9.0</f>
        <v>0</v>
      </c>
      <c r="E130">
        <f>E73*3.6065</f>
        <v>0</v>
      </c>
      <c r="F130">
        <f>F73*100.578</f>
        <v>0</v>
      </c>
      <c r="G130">
        <f>G73*15.370500000000002</f>
        <v>0</v>
      </c>
      <c r="H130">
        <f>H73*0.0</f>
        <v>0</v>
      </c>
      <c r="I130">
        <f>I73*94.2645</f>
        <v>0</v>
      </c>
      <c r="J130">
        <f>J73*69.205</f>
        <v>0</v>
      </c>
      <c r="K130">
        <f>K73*-51.903499999999994</f>
        <v>0</v>
      </c>
      <c r="L130">
        <f>L73*274.598</f>
        <v>0</v>
      </c>
      <c r="M130">
        <f>M73*-31.9125</f>
        <v>0</v>
      </c>
      <c r="N130">
        <f>E130+F130+G130+H130+I130+J130+K130+L130</f>
        <v>0</v>
      </c>
      <c r="O130">
        <f>E130+F130+G130+H130+I130+J130+K130+M130</f>
        <v>0</v>
      </c>
    </row>
    <row r="138" spans="3:15"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11</v>
      </c>
      <c r="O138" t="s">
        <v>12</v>
      </c>
    </row>
    <row r="139" spans="3:15">
      <c r="C139">
        <f>0.0</f>
        <v>0</v>
      </c>
      <c r="D139">
        <f>0.0</f>
        <v>0</v>
      </c>
      <c r="E139">
        <f>E137*-0.9056</f>
        <v>0</v>
      </c>
      <c r="F139">
        <f>F137*-2.8163</f>
        <v>0</v>
      </c>
      <c r="G139">
        <f>G137*-0.3824</f>
        <v>0</v>
      </c>
      <c r="H139">
        <f>H137*0.0</f>
        <v>0</v>
      </c>
      <c r="I139">
        <f>I137*0.0121</f>
        <v>0</v>
      </c>
      <c r="J139">
        <f>J137*80.9675</f>
        <v>0</v>
      </c>
      <c r="K139">
        <f>K137*-60.7256</f>
        <v>0</v>
      </c>
      <c r="L139">
        <f>L137*24.8262</f>
        <v>0</v>
      </c>
      <c r="M139">
        <f>M137*-29.4432</f>
        <v>0</v>
      </c>
      <c r="N139">
        <f>E139+F139+G139+H139+I139+J139+K139+L139</f>
        <v>0</v>
      </c>
      <c r="O139">
        <f>E139+F139+G139+H139+I139+J139+K139+M139</f>
        <v>0</v>
      </c>
    </row>
    <row r="140" spans="3:15">
      <c r="C140">
        <f>1.0</f>
        <v>0</v>
      </c>
      <c r="D140">
        <f>1.0</f>
        <v>0</v>
      </c>
      <c r="E140">
        <f>E137*0.41910000000000003</f>
        <v>0</v>
      </c>
      <c r="F140">
        <f>F137*-0.21505000000000019</f>
        <v>0</v>
      </c>
      <c r="G140">
        <f>G137*0.030549999999999966</f>
        <v>0</v>
      </c>
      <c r="H140">
        <f>H137*0.0</f>
        <v>0</v>
      </c>
      <c r="I140">
        <f>I137*0.011</f>
        <v>0</v>
      </c>
      <c r="J140">
        <f>J137*-99.20345</f>
        <v>0</v>
      </c>
      <c r="K140">
        <f>K137*74.4026</f>
        <v>0</v>
      </c>
      <c r="L140">
        <f>L137*45.94255</f>
        <v>0</v>
      </c>
      <c r="M140">
        <f>M137*-47.630250000000004</f>
        <v>0</v>
      </c>
      <c r="N140">
        <f>E140+F140+G140+H140+I140+J140+K140+L140</f>
        <v>0</v>
      </c>
      <c r="O140">
        <f>E140+F140+G140+H140+I140+J140+K140+M140</f>
        <v>0</v>
      </c>
    </row>
    <row r="141" spans="3:15">
      <c r="C141">
        <f>2.0</f>
        <v>0</v>
      </c>
      <c r="D141">
        <f>2.0</f>
        <v>0</v>
      </c>
      <c r="E141">
        <f>E137*-1.6724</f>
        <v>0</v>
      </c>
      <c r="F141">
        <f>F137*-3.48215</f>
        <v>0</v>
      </c>
      <c r="G141">
        <f>G137*-0.32145</f>
        <v>0</v>
      </c>
      <c r="H141">
        <f>H137*0.0</f>
        <v>0</v>
      </c>
      <c r="I141">
        <f>I137*0.0058000000000000005</f>
        <v>0</v>
      </c>
      <c r="J141">
        <f>J137*-46.171150000000004</f>
        <v>0</v>
      </c>
      <c r="K141">
        <f>K137*34.62835</f>
        <v>0</v>
      </c>
      <c r="L141">
        <f>L137*61.0592</f>
        <v>0</v>
      </c>
      <c r="M141">
        <f>M137*-60.19265</f>
        <v>0</v>
      </c>
      <c r="N141">
        <f>E141+F141+G141+H141+I141+J141+K141+L141</f>
        <v>0</v>
      </c>
      <c r="O141">
        <f>E141+F141+G141+H141+I141+J141+K141+M141</f>
        <v>0</v>
      </c>
    </row>
    <row r="142" spans="3:15">
      <c r="C142">
        <f>3.0</f>
        <v>0</v>
      </c>
      <c r="D142">
        <f>3.0</f>
        <v>0</v>
      </c>
      <c r="E142">
        <f>E137*-3.7512</f>
        <v>0</v>
      </c>
      <c r="F142">
        <f>F137*-5.05515</f>
        <v>0</v>
      </c>
      <c r="G142">
        <f>G137*-0.45115</f>
        <v>0</v>
      </c>
      <c r="H142">
        <f>H137*0.0</f>
        <v>0</v>
      </c>
      <c r="I142">
        <f>I137*0.00455</f>
        <v>0</v>
      </c>
      <c r="J142">
        <f>J137*-27.30645</f>
        <v>0</v>
      </c>
      <c r="K142">
        <f>K137*20.4798</f>
        <v>0</v>
      </c>
      <c r="L142">
        <f>L137*84.5656</f>
        <v>0</v>
      </c>
      <c r="M142">
        <f>M137*-84.83705</f>
        <v>0</v>
      </c>
      <c r="N142">
        <f>E142+F142+G142+H142+I142+J142+K142+L142</f>
        <v>0</v>
      </c>
      <c r="O142">
        <f>E142+F142+G142+H142+I142+J142+K142+M142</f>
        <v>0</v>
      </c>
    </row>
    <row r="143" spans="3:15">
      <c r="C143">
        <f>4.0</f>
        <v>0</v>
      </c>
      <c r="D143">
        <f>4.0</f>
        <v>0</v>
      </c>
      <c r="E143">
        <f>E137*-5.330500000000001</f>
        <v>0</v>
      </c>
      <c r="F143">
        <f>F137*-5.3198</f>
        <v>0</v>
      </c>
      <c r="G143">
        <f>G137*-0.41789999999999994</f>
        <v>0</v>
      </c>
      <c r="H143">
        <f>H137*0.0</f>
        <v>0</v>
      </c>
      <c r="I143">
        <f>I137*0.0014999999999999996</f>
        <v>0</v>
      </c>
      <c r="J143">
        <f>J137*-28.67295</f>
        <v>0</v>
      </c>
      <c r="K143">
        <f>K137*21.5047</f>
        <v>0</v>
      </c>
      <c r="L143">
        <f>L137*105.5291</f>
        <v>0</v>
      </c>
      <c r="M143">
        <f>M137*-107.19305</f>
        <v>0</v>
      </c>
      <c r="N143">
        <f>E143+F143+G143+H143+I143+J143+K143+L143</f>
        <v>0</v>
      </c>
      <c r="O143">
        <f>E143+F143+G143+H143+I143+J143+K143+M143</f>
        <v>0</v>
      </c>
    </row>
    <row r="144" spans="3:15">
      <c r="C144">
        <f>5.0</f>
        <v>0</v>
      </c>
      <c r="D144">
        <f>5.0</f>
        <v>0</v>
      </c>
      <c r="E144">
        <f>E137*-1.29985</f>
        <v>0</v>
      </c>
      <c r="F144">
        <f>F137*-10.4698</f>
        <v>0</v>
      </c>
      <c r="G144">
        <f>G137*-1.4955999999999998</f>
        <v>0</v>
      </c>
      <c r="H144">
        <f>H137*0.0</f>
        <v>0</v>
      </c>
      <c r="I144">
        <f>I137*0.0011970000000000001</f>
        <v>0</v>
      </c>
      <c r="J144">
        <f>J137*31.042949999999998</f>
        <v>0</v>
      </c>
      <c r="K144">
        <f>K137*-23.2822</f>
        <v>0</v>
      </c>
      <c r="L144">
        <f>L137*101.2575</f>
        <v>0</v>
      </c>
      <c r="M144">
        <f>M137*-114.98145</f>
        <v>0</v>
      </c>
      <c r="N144">
        <f>E144+F144+G144+H144+I144+J144+K144+L144</f>
        <v>0</v>
      </c>
      <c r="O144">
        <f>E144+F144+G144+H144+I144+J144+K144+M144</f>
        <v>0</v>
      </c>
    </row>
    <row r="145" spans="3:15">
      <c r="C145">
        <f>6.0</f>
        <v>0</v>
      </c>
      <c r="D145">
        <f>6.0</f>
        <v>0</v>
      </c>
      <c r="E145">
        <f>E137*-4.946149999999999</f>
        <v>0</v>
      </c>
      <c r="F145">
        <f>F137*-4.88095</f>
        <v>0</v>
      </c>
      <c r="G145">
        <f>G137*-0.38809999999999995</f>
        <v>0</v>
      </c>
      <c r="H145">
        <f>H137*0.0</f>
        <v>0</v>
      </c>
      <c r="I145">
        <f>I137*0.0016500000000000004</f>
        <v>0</v>
      </c>
      <c r="J145">
        <f>J137*-19.814349999999997</f>
        <v>0</v>
      </c>
      <c r="K145">
        <f>K137*14.860699999999998</f>
        <v>0</v>
      </c>
      <c r="L145">
        <f>L137*133.43045</f>
        <v>0</v>
      </c>
      <c r="M145">
        <f>M137*-136.5908</f>
        <v>0</v>
      </c>
      <c r="N145">
        <f>E145+F145+G145+H145+I145+J145+K145+L145</f>
        <v>0</v>
      </c>
      <c r="O145">
        <f>E145+F145+G145+H145+I145+J145+K145+M145</f>
        <v>0</v>
      </c>
    </row>
    <row r="146" spans="3:15">
      <c r="C146">
        <f>7.0</f>
        <v>0</v>
      </c>
      <c r="D146">
        <f>7.0</f>
        <v>0</v>
      </c>
      <c r="E146">
        <f>E137*-3.8874999999999997</f>
        <v>0</v>
      </c>
      <c r="F146">
        <f>F137*-4.447</f>
        <v>0</v>
      </c>
      <c r="G146">
        <f>G137*-0.38180000000000003</f>
        <v>0</v>
      </c>
      <c r="H146">
        <f>H137*0.0</f>
        <v>0</v>
      </c>
      <c r="I146">
        <f>I137*-0.00115</f>
        <v>0</v>
      </c>
      <c r="J146">
        <f>J137*-4.9590000000000005</f>
        <v>0</v>
      </c>
      <c r="K146">
        <f>K137*3.7192499999999997</f>
        <v>0</v>
      </c>
      <c r="L146">
        <f>L137*148.41930000000002</f>
        <v>0</v>
      </c>
      <c r="M146">
        <f>M137*-152.04165</f>
        <v>0</v>
      </c>
      <c r="N146">
        <f>E146+F146+G146+H146+I146+J146+K146+L146</f>
        <v>0</v>
      </c>
      <c r="O146">
        <f>E146+F146+G146+H146+I146+J146+K146+M146</f>
        <v>0</v>
      </c>
    </row>
    <row r="147" spans="3:15">
      <c r="C147">
        <f>8.0</f>
        <v>0</v>
      </c>
      <c r="D147">
        <f>8.0</f>
        <v>0</v>
      </c>
      <c r="E147">
        <f>E137*-3.4463500000000002</f>
        <v>0</v>
      </c>
      <c r="F147">
        <f>F137*-4.1753</f>
        <v>0</v>
      </c>
      <c r="G147">
        <f>G137*-0.36745000000000005</f>
        <v>0</v>
      </c>
      <c r="H147">
        <f>H137*0.0</f>
        <v>0</v>
      </c>
      <c r="I147">
        <f>I137*-0.0019499999999999995</f>
        <v>0</v>
      </c>
      <c r="J147">
        <f>J137*-4.19665</f>
        <v>0</v>
      </c>
      <c r="K147">
        <f>K137*3.14745</f>
        <v>0</v>
      </c>
      <c r="L147">
        <f>L137*156.1647</f>
        <v>0</v>
      </c>
      <c r="M147">
        <f>M137*-159.72435000000002</f>
        <v>0</v>
      </c>
      <c r="N147">
        <f>E147+F147+G147+H147+I147+J147+K147+L147</f>
        <v>0</v>
      </c>
      <c r="O147">
        <f>E147+F147+G147+H147+I147+J147+K147+M147</f>
        <v>0</v>
      </c>
    </row>
    <row r="148" spans="3:15">
      <c r="C148">
        <f>9.0</f>
        <v>0</v>
      </c>
      <c r="D148">
        <f>9.0</f>
        <v>0</v>
      </c>
      <c r="E148">
        <f>E137*-3.70475</f>
        <v>0</v>
      </c>
      <c r="F148">
        <f>F137*-4.22985</f>
        <v>0</v>
      </c>
      <c r="G148">
        <f>G137*-0.36495</f>
        <v>0</v>
      </c>
      <c r="H148">
        <f>H137*0.0</f>
        <v>0</v>
      </c>
      <c r="I148">
        <f>I137*-0.004900000000000001</f>
        <v>0</v>
      </c>
      <c r="J148">
        <f>J137*-17.1457</f>
        <v>0</v>
      </c>
      <c r="K148">
        <f>K137*12.85925</f>
        <v>0</v>
      </c>
      <c r="L148">
        <f>L137*158.39975</f>
        <v>0</v>
      </c>
      <c r="M148">
        <f>M137*-162.1129</f>
        <v>0</v>
      </c>
      <c r="N148">
        <f>E148+F148+G148+H148+I148+J148+K148+L148</f>
        <v>0</v>
      </c>
      <c r="O148">
        <f>E148+F148+G148+H148+I148+J148+K148+M148</f>
        <v>0</v>
      </c>
    </row>
    <row r="149" spans="3:15">
      <c r="C149">
        <f>10.0</f>
        <v>0</v>
      </c>
      <c r="D149">
        <f>10.0</f>
        <v>0</v>
      </c>
      <c r="E149">
        <f>E137*3.36805</f>
        <v>0</v>
      </c>
      <c r="F149">
        <f>F137*-11.4604</f>
        <v>0</v>
      </c>
      <c r="G149">
        <f>G137*-1.94735</f>
        <v>0</v>
      </c>
      <c r="H149">
        <f>H137*0.0</f>
        <v>0</v>
      </c>
      <c r="I149">
        <f>I137*-0.00435</f>
        <v>0</v>
      </c>
      <c r="J149">
        <f>J137*-4.30635</f>
        <v>0</v>
      </c>
      <c r="K149">
        <f>K137*3.2297</f>
        <v>0</v>
      </c>
      <c r="L149">
        <f>L137*140.8526</f>
        <v>0</v>
      </c>
      <c r="M149">
        <f>M137*-157.35755</f>
        <v>0</v>
      </c>
      <c r="N149">
        <f>E149+F149+G149+H149+I149+J149+K149+L149</f>
        <v>0</v>
      </c>
      <c r="O149">
        <f>E149+F149+G149+H149+I149+J149+K149+M149</f>
        <v>0</v>
      </c>
    </row>
    <row r="150" spans="3:15">
      <c r="C150">
        <f>11.0</f>
        <v>0</v>
      </c>
      <c r="D150">
        <f>11.0</f>
        <v>0</v>
      </c>
      <c r="E150">
        <f>E137*-3.3455500000000002</f>
        <v>0</v>
      </c>
      <c r="F150">
        <f>F137*-4.645300000000001</f>
        <v>0</v>
      </c>
      <c r="G150">
        <f>G137*-0.4487</f>
        <v>0</v>
      </c>
      <c r="H150">
        <f>H137*0.0</f>
        <v>0</v>
      </c>
      <c r="I150">
        <f>I137*-0.0021000000000000003</f>
        <v>0</v>
      </c>
      <c r="J150">
        <f>J137*-21.86515</f>
        <v>0</v>
      </c>
      <c r="K150">
        <f>K137*16.3989</f>
        <v>0</v>
      </c>
      <c r="L150">
        <f>L137*158.2172</f>
        <v>0</v>
      </c>
      <c r="M150">
        <f>M137*-162.0887</f>
        <v>0</v>
      </c>
      <c r="N150">
        <f>E150+F150+G150+H150+I150+J150+K150+L150</f>
        <v>0</v>
      </c>
      <c r="O150">
        <f>E150+F150+G150+H150+I150+J150+K150+M150</f>
        <v>0</v>
      </c>
    </row>
    <row r="151" spans="3:15">
      <c r="C151">
        <f>12.0</f>
        <v>0</v>
      </c>
      <c r="D151">
        <f>12.0</f>
        <v>0</v>
      </c>
      <c r="E151">
        <f>E137*-2.81765</f>
        <v>0</v>
      </c>
      <c r="F151">
        <f>F137*-5.3197</f>
        <v>0</v>
      </c>
      <c r="G151">
        <f>G137*-0.5726</f>
        <v>0</v>
      </c>
      <c r="H151">
        <f>H137*0.0</f>
        <v>0</v>
      </c>
      <c r="I151">
        <f>I137*-0.004399999999999999</f>
        <v>0</v>
      </c>
      <c r="J151">
        <f>J137*-12.34545</f>
        <v>0</v>
      </c>
      <c r="K151">
        <f>K137*9.2591</f>
        <v>0</v>
      </c>
      <c r="L151">
        <f>L137*155.277</f>
        <v>0</v>
      </c>
      <c r="M151">
        <f>M137*-160.65555</f>
        <v>0</v>
      </c>
      <c r="N151">
        <f>E151+F151+G151+H151+I151+J151+K151+L151</f>
        <v>0</v>
      </c>
      <c r="O151">
        <f>E151+F151+G151+H151+I151+J151+K151+M151</f>
        <v>0</v>
      </c>
    </row>
    <row r="152" spans="3:15">
      <c r="C152">
        <f>13.0</f>
        <v>0</v>
      </c>
      <c r="D152">
        <f>13.0</f>
        <v>0</v>
      </c>
      <c r="E152">
        <f>E137*-3.0368</f>
        <v>0</v>
      </c>
      <c r="F152">
        <f>F137*-6.4704</f>
        <v>0</v>
      </c>
      <c r="G152">
        <f>G137*-0.72575</f>
        <v>0</v>
      </c>
      <c r="H152">
        <f>H137*0.0</f>
        <v>0</v>
      </c>
      <c r="I152">
        <f>I137*-0.004150000000000001</f>
        <v>0</v>
      </c>
      <c r="J152">
        <f>J137*-15.338799999999999</f>
        <v>0</v>
      </c>
      <c r="K152">
        <f>K137*11.5041</f>
        <v>0</v>
      </c>
      <c r="L152">
        <f>L137*146.93535</f>
        <v>0</v>
      </c>
      <c r="M152">
        <f>M137*-153.72865000000002</f>
        <v>0</v>
      </c>
      <c r="N152">
        <f>E152+F152+G152+H152+I152+J152+K152+L152</f>
        <v>0</v>
      </c>
      <c r="O152">
        <f>E152+F152+G152+H152+I152+J152+K152+M152</f>
        <v>0</v>
      </c>
    </row>
    <row r="153" spans="3:15">
      <c r="C153">
        <f>14.0</f>
        <v>0</v>
      </c>
      <c r="D153">
        <f>14.0</f>
        <v>0</v>
      </c>
      <c r="E153">
        <f>E137*-3.927</f>
        <v>0</v>
      </c>
      <c r="F153">
        <f>F137*-8.00745</f>
        <v>0</v>
      </c>
      <c r="G153">
        <f>G137*-0.8986500000000001</f>
        <v>0</v>
      </c>
      <c r="H153">
        <f>H137*0.0</f>
        <v>0</v>
      </c>
      <c r="I153">
        <f>I137*-0.006</f>
        <v>0</v>
      </c>
      <c r="J153">
        <f>J137*-30.62805</f>
        <v>0</v>
      </c>
      <c r="K153">
        <f>K137*22.971049999999998</f>
        <v>0</v>
      </c>
      <c r="L153">
        <f>L137*130.607</f>
        <v>0</v>
      </c>
      <c r="M153">
        <f>M137*-138.5923</f>
        <v>0</v>
      </c>
      <c r="N153">
        <f>E153+F153+G153+H153+I153+J153+K153+L153</f>
        <v>0</v>
      </c>
      <c r="O153">
        <f>E153+F153+G153+H153+I153+J153+K153+M153</f>
        <v>0</v>
      </c>
    </row>
    <row r="154" spans="3:15">
      <c r="C154">
        <f>15.0</f>
        <v>0</v>
      </c>
      <c r="D154">
        <f>15.0</f>
        <v>0</v>
      </c>
      <c r="E154">
        <f>E137*2.01035</f>
        <v>0</v>
      </c>
      <c r="F154">
        <f>F137*-7.466200000000001</f>
        <v>0</v>
      </c>
      <c r="G154">
        <f>G137*-1.3087</f>
        <v>0</v>
      </c>
      <c r="H154">
        <f>H137*0.0</f>
        <v>0</v>
      </c>
      <c r="I154">
        <f>I137*-0.00315</f>
        <v>0</v>
      </c>
      <c r="J154">
        <f>J137*-4.7955499999999995</f>
        <v>0</v>
      </c>
      <c r="K154">
        <f>K137*3.5966500000000003</f>
        <v>0</v>
      </c>
      <c r="L154">
        <f>L137*103.79704999999998</f>
        <v>0</v>
      </c>
      <c r="M154">
        <f>M137*-116.5427</f>
        <v>0</v>
      </c>
      <c r="N154">
        <f>E154+F154+G154+H154+I154+J154+K154+L154</f>
        <v>0</v>
      </c>
      <c r="O154">
        <f>E154+F154+G154+H154+I154+J154+K154+M154</f>
        <v>0</v>
      </c>
    </row>
    <row r="155" spans="3:15">
      <c r="C155">
        <f>15.91</f>
        <v>0</v>
      </c>
      <c r="D155">
        <f>15.91</f>
        <v>0</v>
      </c>
      <c r="E155">
        <f>E137*-4.27415</f>
        <v>0</v>
      </c>
      <c r="F155">
        <f>F137*-10.09865</f>
        <v>0</v>
      </c>
      <c r="G155">
        <f>G137*-1.16945</f>
        <v>0</v>
      </c>
      <c r="H155">
        <f>H137*0.0</f>
        <v>0</v>
      </c>
      <c r="I155">
        <f>I137*-0.0015999999999999999</f>
        <v>0</v>
      </c>
      <c r="J155">
        <f>J137*-34.9281</f>
        <v>0</v>
      </c>
      <c r="K155">
        <f>K137*26.19605</f>
        <v>0</v>
      </c>
      <c r="L155">
        <f>L137*102.34045</f>
        <v>0</v>
      </c>
      <c r="M155">
        <f>M137*-111.51965000000001</f>
        <v>0</v>
      </c>
      <c r="N155">
        <f>E155+F155+G155+H155+I155+J155+K155+L155</f>
        <v>0</v>
      </c>
      <c r="O155">
        <f>E155+F155+G155+H155+I155+J155+K155+M155</f>
        <v>0</v>
      </c>
    </row>
    <row r="156" spans="3:15">
      <c r="C156">
        <f>16.82</f>
        <v>0</v>
      </c>
      <c r="D156">
        <f>16.82</f>
        <v>0</v>
      </c>
      <c r="E156">
        <f>E137*-3.5882</f>
        <v>0</v>
      </c>
      <c r="F156">
        <f>F137*-12.1095</f>
        <v>0</v>
      </c>
      <c r="G156">
        <f>G137*-1.4696</f>
        <v>0</v>
      </c>
      <c r="H156">
        <f>H137*0.0</f>
        <v>0</v>
      </c>
      <c r="I156">
        <f>I137*-0.0058</f>
        <v>0</v>
      </c>
      <c r="J156">
        <f>J137*-25.67175</f>
        <v>0</v>
      </c>
      <c r="K156">
        <f>K137*19.2538</f>
        <v>0</v>
      </c>
      <c r="L156">
        <f>L137*82.6948</f>
        <v>0</v>
      </c>
      <c r="M156">
        <f>M137*-92.27085</f>
        <v>0</v>
      </c>
      <c r="N156">
        <f>E156+F156+G156+H156+I156+J156+K156+L156</f>
        <v>0</v>
      </c>
      <c r="O156">
        <f>E156+F156+G156+H156+I156+J156+K156+M156</f>
        <v>0</v>
      </c>
    </row>
    <row r="157" spans="3:15">
      <c r="C157">
        <f>17.73</f>
        <v>0</v>
      </c>
      <c r="D157">
        <f>17.73</f>
        <v>0</v>
      </c>
      <c r="E157">
        <f>E137*-2.77905</f>
        <v>0</v>
      </c>
      <c r="F157">
        <f>F137*-13.57425</f>
        <v>0</v>
      </c>
      <c r="G157">
        <f>G137*-1.6997</f>
        <v>0</v>
      </c>
      <c r="H157">
        <f>H137*0.0</f>
        <v>0</v>
      </c>
      <c r="I157">
        <f>I137*-0.008100000000000001</f>
        <v>0</v>
      </c>
      <c r="J157">
        <f>J137*-25.056150000000002</f>
        <v>0</v>
      </c>
      <c r="K157">
        <f>K137*18.792099999999998</f>
        <v>0</v>
      </c>
      <c r="L157">
        <f>L137*59.78274999999999</f>
        <v>0</v>
      </c>
      <c r="M157">
        <f>M137*-70.77265</f>
        <v>0</v>
      </c>
      <c r="N157">
        <f>E157+F157+G157+H157+I157+J157+K157+L157</f>
        <v>0</v>
      </c>
      <c r="O157">
        <f>E157+F157+G157+H157+I157+J157+K157+M157</f>
        <v>0</v>
      </c>
    </row>
    <row r="158" spans="3:15">
      <c r="C158">
        <f>18.64</f>
        <v>0</v>
      </c>
      <c r="D158">
        <f>18.64</f>
        <v>0</v>
      </c>
      <c r="E158">
        <f>E137*-1.9308</f>
        <v>0</v>
      </c>
      <c r="F158">
        <f>F137*-13.567900000000002</f>
        <v>0</v>
      </c>
      <c r="G158">
        <f>G137*-1.74025</f>
        <v>0</v>
      </c>
      <c r="H158">
        <f>H137*0.0</f>
        <v>0</v>
      </c>
      <c r="I158">
        <f>I137*-0.0132285</f>
        <v>0</v>
      </c>
      <c r="J158">
        <f>J137*-30.373450000000002</f>
        <v>0</v>
      </c>
      <c r="K158">
        <f>K137*22.78015</f>
        <v>0</v>
      </c>
      <c r="L158">
        <f>L137*27.59</f>
        <v>0</v>
      </c>
      <c r="M158">
        <f>M137*-41.2645</f>
        <v>0</v>
      </c>
      <c r="N158">
        <f>E158+F158+G158+H158+I158+J158+K158+L158</f>
        <v>0</v>
      </c>
      <c r="O158">
        <f>E158+F158+G158+H158+I158+J158+K158+M158</f>
        <v>0</v>
      </c>
    </row>
    <row r="159" spans="3:15">
      <c r="C159">
        <f>19.55</f>
        <v>0</v>
      </c>
      <c r="D159">
        <f>19.55</f>
        <v>0</v>
      </c>
      <c r="E159">
        <f>E137*1.9857500000000001</f>
        <v>0</v>
      </c>
      <c r="F159">
        <f>F137*11.912949999999999</f>
        <v>0</v>
      </c>
      <c r="G159">
        <f>G137*1.5110999999999999</f>
        <v>0</v>
      </c>
      <c r="H159">
        <f>H137*0.0</f>
        <v>0</v>
      </c>
      <c r="I159">
        <f>I137*0.0057061</f>
        <v>0</v>
      </c>
      <c r="J159">
        <f>J137*54.884</f>
        <v>0</v>
      </c>
      <c r="K159">
        <f>K137*-41.163</f>
        <v>0</v>
      </c>
      <c r="L159">
        <f>L137*36.6327</f>
        <v>0</v>
      </c>
      <c r="M159">
        <f>M137*-25.134149999999998</f>
        <v>0</v>
      </c>
      <c r="N159">
        <f>E159+F159+G159+H159+I159+J159+K159+L159</f>
        <v>0</v>
      </c>
      <c r="O159">
        <f>E159+F159+G159+H159+I159+J159+K159+M159</f>
        <v>0</v>
      </c>
    </row>
    <row r="160" spans="3:15">
      <c r="C160">
        <f>20.0</f>
        <v>0</v>
      </c>
      <c r="D160">
        <f>20.0</f>
        <v>0</v>
      </c>
      <c r="E160">
        <f>E137*0.5895</f>
        <v>0</v>
      </c>
      <c r="F160">
        <f>F137*3.8851</f>
        <v>0</v>
      </c>
      <c r="G160">
        <f>G137*0.5048</f>
        <v>0</v>
      </c>
      <c r="H160">
        <f>H137*0.0</f>
        <v>0</v>
      </c>
      <c r="I160">
        <f>I137*0.0083</f>
        <v>0</v>
      </c>
      <c r="J160">
        <f>J137*22.4102</f>
        <v>0</v>
      </c>
      <c r="K160">
        <f>K137*-16.8076</f>
        <v>0</v>
      </c>
      <c r="L160">
        <f>L137*6.3292</f>
        <v>0</v>
      </c>
      <c r="M160">
        <f>M137*-3.4607</f>
        <v>0</v>
      </c>
      <c r="N160">
        <f>E160+F160+G160+H160+I160+J160+K160+L160</f>
        <v>0</v>
      </c>
      <c r="O160">
        <f>E160+F160+G160+H160+I160+J160+K160+M160</f>
        <v>0</v>
      </c>
    </row>
    <row r="161" spans="3:15">
      <c r="C161">
        <f>20.0</f>
        <v>0</v>
      </c>
      <c r="D161">
        <f>0.0</f>
        <v>0</v>
      </c>
      <c r="E161">
        <f>E137*0.4956</f>
        <v>0</v>
      </c>
      <c r="F161">
        <f>F137*4.2477</f>
        <v>0</v>
      </c>
      <c r="G161">
        <f>G137*0.5627</f>
        <v>0</v>
      </c>
      <c r="H161">
        <f>H137*0.0</f>
        <v>0</v>
      </c>
      <c r="I161">
        <f>I137*-0.253</f>
        <v>0</v>
      </c>
      <c r="J161">
        <f>J137*23.7894</f>
        <v>0</v>
      </c>
      <c r="K161">
        <f>K137*-17.842</f>
        <v>0</v>
      </c>
      <c r="L161">
        <f>L137*12.8801</f>
        <v>0</v>
      </c>
      <c r="M161">
        <f>M137*-9.4973</f>
        <v>0</v>
      </c>
      <c r="N161">
        <f>E161+F161+G161+H161+I161+J161+K161+L161</f>
        <v>0</v>
      </c>
      <c r="O161">
        <f>E161+F161+G161+H161+I161+J161+K161+M161</f>
        <v>0</v>
      </c>
    </row>
    <row r="162" spans="3:15">
      <c r="C162">
        <f>20.45</f>
        <v>0</v>
      </c>
      <c r="D162">
        <f>0.45</f>
        <v>0</v>
      </c>
      <c r="E162">
        <f>E137*1.8313</f>
        <v>0</v>
      </c>
      <c r="F162">
        <f>F137*12.75955</f>
        <v>0</v>
      </c>
      <c r="G162">
        <f>G137*1.6424500000000002</f>
        <v>0</v>
      </c>
      <c r="H162">
        <f>H137*0.0</f>
        <v>0</v>
      </c>
      <c r="I162">
        <f>I137*-0.10994999999999999</f>
        <v>0</v>
      </c>
      <c r="J162">
        <f>J137*57.27974999999999</f>
        <v>0</v>
      </c>
      <c r="K162">
        <f>K137*-42.9598</f>
        <v>0</v>
      </c>
      <c r="L162">
        <f>L137*26.32985</f>
        <v>0</v>
      </c>
      <c r="M162">
        <f>M137*-15.41465</f>
        <v>0</v>
      </c>
      <c r="N162">
        <f>E162+F162+G162+H162+I162+J162+K162+L162</f>
        <v>0</v>
      </c>
      <c r="O162">
        <f>E162+F162+G162+H162+I162+J162+K162+M162</f>
        <v>0</v>
      </c>
    </row>
    <row r="163" spans="3:15">
      <c r="C163">
        <f>21.36</f>
        <v>0</v>
      </c>
      <c r="D163">
        <f>1.36</f>
        <v>0</v>
      </c>
      <c r="E163">
        <f>E137*-1.95945</f>
        <v>0</v>
      </c>
      <c r="F163">
        <f>F137*-13.2872</f>
        <v>0</v>
      </c>
      <c r="G163">
        <f>G137*-1.6975</f>
        <v>0</v>
      </c>
      <c r="H163">
        <f>H137*0.0</f>
        <v>0</v>
      </c>
      <c r="I163">
        <f>I137*0.2657</f>
        <v>0</v>
      </c>
      <c r="J163">
        <f>J137*-29.839499999999997</f>
        <v>0</v>
      </c>
      <c r="K163">
        <f>K137*22.379649999999998</f>
        <v>0</v>
      </c>
      <c r="L163">
        <f>L137*28.5619</f>
        <v>0</v>
      </c>
      <c r="M163">
        <f>M137*-38.825900000000004</f>
        <v>0</v>
      </c>
      <c r="N163">
        <f>E163+F163+G163+H163+I163+J163+K163+L163</f>
        <v>0</v>
      </c>
      <c r="O163">
        <f>E163+F163+G163+H163+I163+J163+K163+M163</f>
        <v>0</v>
      </c>
    </row>
    <row r="164" spans="3:15">
      <c r="C164">
        <f>22.27</f>
        <v>0</v>
      </c>
      <c r="D164">
        <f>2.27</f>
        <v>0</v>
      </c>
      <c r="E164">
        <f>E137*-2.7969999999999997</f>
        <v>0</v>
      </c>
      <c r="F164">
        <f>F137*-13.576049999999999</f>
        <v>0</v>
      </c>
      <c r="G164">
        <f>G137*-1.69715</f>
        <v>0</v>
      </c>
      <c r="H164">
        <f>H137*0.0</f>
        <v>0</v>
      </c>
      <c r="I164">
        <f>I137*0.1357</f>
        <v>0</v>
      </c>
      <c r="J164">
        <f>J137*-24.733449999999998</f>
        <v>0</v>
      </c>
      <c r="K164">
        <f>K137*18.55005</f>
        <v>0</v>
      </c>
      <c r="L164">
        <f>L137*53.03665</f>
        <v>0</v>
      </c>
      <c r="M164">
        <f>M137*-63.91935</f>
        <v>0</v>
      </c>
      <c r="N164">
        <f>E164+F164+G164+H164+I164+J164+K164+L164</f>
        <v>0</v>
      </c>
      <c r="O164">
        <f>E164+F164+G164+H164+I164+J164+K164+M164</f>
        <v>0</v>
      </c>
    </row>
    <row r="165" spans="3:15">
      <c r="C165">
        <f>23.18</f>
        <v>0</v>
      </c>
      <c r="D165">
        <f>3.18</f>
        <v>0</v>
      </c>
      <c r="E165">
        <f>E137*-3.6485499999999997</f>
        <v>0</v>
      </c>
      <c r="F165">
        <f>F137*-11.8239</f>
        <v>0</v>
      </c>
      <c r="G165">
        <f>G137*-1.42195</f>
        <v>0</v>
      </c>
      <c r="H165">
        <f>H137*0.0</f>
        <v>0</v>
      </c>
      <c r="I165">
        <f>I137*-0.014599999999999998</f>
        <v>0</v>
      </c>
      <c r="J165">
        <f>J137*-24.6308</f>
        <v>0</v>
      </c>
      <c r="K165">
        <f>K137*18.473100000000002</f>
        <v>0</v>
      </c>
      <c r="L165">
        <f>L137*76.16665</f>
        <v>0</v>
      </c>
      <c r="M165">
        <f>M137*-84.85495</f>
        <v>0</v>
      </c>
      <c r="N165">
        <f>E165+F165+G165+H165+I165+J165+K165+L165</f>
        <v>0</v>
      </c>
      <c r="O165">
        <f>E165+F165+G165+H165+I165+J165+K165+M165</f>
        <v>0</v>
      </c>
    </row>
    <row r="166" spans="3:15">
      <c r="C166">
        <f>24.09</f>
        <v>0</v>
      </c>
      <c r="D166">
        <f>4.09</f>
        <v>0</v>
      </c>
      <c r="E166">
        <f>E137*-4.3917</f>
        <v>0</v>
      </c>
      <c r="F166">
        <f>F137*-9.52995</f>
        <v>0</v>
      </c>
      <c r="G166">
        <f>G137*-1.0764</f>
        <v>0</v>
      </c>
      <c r="H166">
        <f>H137*0.0</f>
        <v>0</v>
      </c>
      <c r="I166">
        <f>I137*-0.29605000000000004</f>
        <v>0</v>
      </c>
      <c r="J166">
        <f>J137*-33.00645</f>
        <v>0</v>
      </c>
      <c r="K166">
        <f>K137*24.75485</f>
        <v>0</v>
      </c>
      <c r="L166">
        <f>L137*95.8</f>
        <v>0</v>
      </c>
      <c r="M166">
        <f>M137*-102.79035</f>
        <v>0</v>
      </c>
      <c r="N166">
        <f>E166+F166+G166+H166+I166+J166+K166+L166</f>
        <v>0</v>
      </c>
      <c r="O166">
        <f>E166+F166+G166+H166+I166+J166+K166+M166</f>
        <v>0</v>
      </c>
    </row>
    <row r="167" spans="3:15">
      <c r="C167">
        <f>25.0</f>
        <v>0</v>
      </c>
      <c r="D167">
        <f>5.0</f>
        <v>0</v>
      </c>
      <c r="E167">
        <f>E137*1.7423</f>
        <v>0</v>
      </c>
      <c r="F167">
        <f>F137*-5.9804</f>
        <v>0</v>
      </c>
      <c r="G167">
        <f>G137*-1.07265</f>
        <v>0</v>
      </c>
      <c r="H167">
        <f>H137*0.0</f>
        <v>0</v>
      </c>
      <c r="I167">
        <f>I137*-0.57</f>
        <v>0</v>
      </c>
      <c r="J167">
        <f>J137*-0.4942500000000001</f>
        <v>0</v>
      </c>
      <c r="K167">
        <f>K137*0.3706499999999999</f>
        <v>0</v>
      </c>
      <c r="L167">
        <f>L137*95.0933</f>
        <v>0</v>
      </c>
      <c r="M167">
        <f>M137*-107.96815000000001</f>
        <v>0</v>
      </c>
      <c r="N167">
        <f>E167+F167+G167+H167+I167+J167+K167+L167</f>
        <v>0</v>
      </c>
      <c r="O167">
        <f>E167+F167+G167+H167+I167+J167+K167+M167</f>
        <v>0</v>
      </c>
    </row>
    <row r="168" spans="3:15">
      <c r="C168">
        <f>26.0</f>
        <v>0</v>
      </c>
      <c r="D168">
        <f>6.0</f>
        <v>0</v>
      </c>
      <c r="E168">
        <f>E137*-4.03335</f>
        <v>0</v>
      </c>
      <c r="F168">
        <f>F137*-7.54155</f>
        <v>0</v>
      </c>
      <c r="G168">
        <f>G137*-0.8197</f>
        <v>0</v>
      </c>
      <c r="H168">
        <f>H137*0.0</f>
        <v>0</v>
      </c>
      <c r="I168">
        <f>I137*-0.4925</f>
        <v>0</v>
      </c>
      <c r="J168">
        <f>J137*-28.98245</f>
        <v>0</v>
      </c>
      <c r="K168">
        <f>K137*21.7368</f>
        <v>0</v>
      </c>
      <c r="L168">
        <f>L137*120.50475</f>
        <v>0</v>
      </c>
      <c r="M168">
        <f>M137*-126.47485</f>
        <v>0</v>
      </c>
      <c r="N168">
        <f>E168+F168+G168+H168+I168+J168+K168+L168</f>
        <v>0</v>
      </c>
      <c r="O168">
        <f>E168+F168+G168+H168+I168+J168+K168+M168</f>
        <v>0</v>
      </c>
    </row>
    <row r="169" spans="3:15">
      <c r="C169">
        <f>27.0</f>
        <v>0</v>
      </c>
      <c r="D169">
        <f>7.0</f>
        <v>0</v>
      </c>
      <c r="E169">
        <f>E137*-3.10485</f>
        <v>0</v>
      </c>
      <c r="F169">
        <f>F137*-6.37285</f>
        <v>0</v>
      </c>
      <c r="G169">
        <f>G137*-0.7017</f>
        <v>0</v>
      </c>
      <c r="H169">
        <f>H137*0.0</f>
        <v>0</v>
      </c>
      <c r="I169">
        <f>I137*-0.75125</f>
        <v>0</v>
      </c>
      <c r="J169">
        <f>J137*-14.44515</f>
        <v>0</v>
      </c>
      <c r="K169">
        <f>K137*10.83385</f>
        <v>0</v>
      </c>
      <c r="L169">
        <f>L137*135.82940000000002</f>
        <v>0</v>
      </c>
      <c r="M169">
        <f>M137*-141.32805000000002</f>
        <v>0</v>
      </c>
      <c r="N169">
        <f>E169+F169+G169+H169+I169+J169+K169+L169</f>
        <v>0</v>
      </c>
      <c r="O169">
        <f>E169+F169+G169+H169+I169+J169+K169+M169</f>
        <v>0</v>
      </c>
    </row>
    <row r="170" spans="3:15">
      <c r="C170">
        <f>28.0</f>
        <v>0</v>
      </c>
      <c r="D170">
        <f>8.0</f>
        <v>0</v>
      </c>
      <c r="E170">
        <f>E137*-2.81415</f>
        <v>0</v>
      </c>
      <c r="F170">
        <f>F137*-5.6444</f>
        <v>0</v>
      </c>
      <c r="G170">
        <f>G137*-0.6131</f>
        <v>0</v>
      </c>
      <c r="H170">
        <f>H137*0.0</f>
        <v>0</v>
      </c>
      <c r="I170">
        <f>I137*-0.921</f>
        <v>0</v>
      </c>
      <c r="J170">
        <f>J137*-12.639</f>
        <v>0</v>
      </c>
      <c r="K170">
        <f>K137*9.4793</f>
        <v>0</v>
      </c>
      <c r="L170">
        <f>L137*143.34199999999998</f>
        <v>0</v>
      </c>
      <c r="M170">
        <f>M137*-148.04655</f>
        <v>0</v>
      </c>
      <c r="N170">
        <f>E170+F170+G170+H170+I170+J170+K170+L170</f>
        <v>0</v>
      </c>
      <c r="O170">
        <f>E170+F170+G170+H170+I170+J170+K170+M170</f>
        <v>0</v>
      </c>
    </row>
    <row r="171" spans="3:15">
      <c r="C171">
        <f>29.0</f>
        <v>0</v>
      </c>
      <c r="D171">
        <f>9.0</f>
        <v>0</v>
      </c>
      <c r="E171">
        <f>E137*-3.2407</f>
        <v>0</v>
      </c>
      <c r="F171">
        <f>F137*-5.4460999999999995</f>
        <v>0</v>
      </c>
      <c r="G171">
        <f>G137*-0.5632</f>
        <v>0</v>
      </c>
      <c r="H171">
        <f>H137*0.0</f>
        <v>0</v>
      </c>
      <c r="I171">
        <f>I137*-1.182</f>
        <v>0</v>
      </c>
      <c r="J171">
        <f>J137*-23.70525</f>
        <v>0</v>
      </c>
      <c r="K171">
        <f>K137*17.77895</f>
        <v>0</v>
      </c>
      <c r="L171">
        <f>L137*145.60725</f>
        <v>0</v>
      </c>
      <c r="M171">
        <f>M137*-149.86149999999998</f>
        <v>0</v>
      </c>
      <c r="N171">
        <f>E171+F171+G171+H171+I171+J171+K171+L171</f>
        <v>0</v>
      </c>
      <c r="O171">
        <f>E171+F171+G171+H171+I171+J171+K171+M171</f>
        <v>0</v>
      </c>
    </row>
    <row r="172" spans="3:15">
      <c r="C172">
        <f>30.0</f>
        <v>0</v>
      </c>
      <c r="D172">
        <f>10.0</f>
        <v>0</v>
      </c>
      <c r="E172">
        <f>E137*4.018050000000001</f>
        <v>0</v>
      </c>
      <c r="F172">
        <f>F137*-12.37655</f>
        <v>0</v>
      </c>
      <c r="G172">
        <f>G137*-2.1186</f>
        <v>0</v>
      </c>
      <c r="H172">
        <f>H137*0.0</f>
        <v>0</v>
      </c>
      <c r="I172">
        <f>I137*-0.87715</f>
        <v>0</v>
      </c>
      <c r="J172">
        <f>J137*-13.40005</f>
        <v>0</v>
      </c>
      <c r="K172">
        <f>K137*10.050049999999999</f>
        <v>0</v>
      </c>
      <c r="L172">
        <f>L137*127.86045</f>
        <v>0</v>
      </c>
      <c r="M172">
        <f>M137*-145.9941</f>
        <v>0</v>
      </c>
      <c r="N172">
        <f>E172+F172+G172+H172+I172+J172+K172+L172</f>
        <v>0</v>
      </c>
      <c r="O172">
        <f>E172+F172+G172+H172+I172+J172+K172+M172</f>
        <v>0</v>
      </c>
    </row>
    <row r="173" spans="3:15">
      <c r="C173">
        <f>31.0</f>
        <v>0</v>
      </c>
      <c r="D173">
        <f>11.0</f>
        <v>0</v>
      </c>
      <c r="E173">
        <f>E137*-3.192</f>
        <v>0</v>
      </c>
      <c r="F173">
        <f>F137*-5.72145</f>
        <v>0</v>
      </c>
      <c r="G173">
        <f>G137*-0.60555</f>
        <v>0</v>
      </c>
      <c r="H173">
        <f>H137*0.0</f>
        <v>0</v>
      </c>
      <c r="I173">
        <f>I137*-1.1913</f>
        <v>0</v>
      </c>
      <c r="J173">
        <f>J137*-24.40695</f>
        <v>0</v>
      </c>
      <c r="K173">
        <f>K137*18.3052</f>
        <v>0</v>
      </c>
      <c r="L173">
        <f>L137*146.13275</f>
        <v>0</v>
      </c>
      <c r="M173">
        <f>M137*-150.7052</f>
        <v>0</v>
      </c>
      <c r="N173">
        <f>E173+F173+G173+H173+I173+J173+K173+L173</f>
        <v>0</v>
      </c>
      <c r="O173">
        <f>E173+F173+G173+H173+I173+J173+K173+M173</f>
        <v>0</v>
      </c>
    </row>
    <row r="174" spans="3:15">
      <c r="C174">
        <f>32.0</f>
        <v>0</v>
      </c>
      <c r="D174">
        <f>12.0</f>
        <v>0</v>
      </c>
      <c r="E174">
        <f>E137*-2.71645</f>
        <v>0</v>
      </c>
      <c r="F174">
        <f>F137*-6.060600000000001</f>
        <v>0</v>
      </c>
      <c r="G174">
        <f>G137*-0.6780499999999999</f>
        <v>0</v>
      </c>
      <c r="H174">
        <f>H137*0.0</f>
        <v>0</v>
      </c>
      <c r="I174">
        <f>I137*-1.4171</f>
        <v>0</v>
      </c>
      <c r="J174">
        <f>J137*-13.92005</f>
        <v>0</v>
      </c>
      <c r="K174">
        <f>K137*10.44005</f>
        <v>0</v>
      </c>
      <c r="L174">
        <f>L137*144.4679</f>
        <v>0</v>
      </c>
      <c r="M174">
        <f>M137*-149.7975</f>
        <v>0</v>
      </c>
      <c r="N174">
        <f>E174+F174+G174+H174+I174+J174+K174+L174</f>
        <v>0</v>
      </c>
      <c r="O174">
        <f>E174+F174+G174+H174+I174+J174+K174+M174</f>
        <v>0</v>
      </c>
    </row>
    <row r="175" spans="3:15">
      <c r="C175">
        <f>33.0</f>
        <v>0</v>
      </c>
      <c r="D175">
        <f>13.0</f>
        <v>0</v>
      </c>
      <c r="E175">
        <f>E137*-2.9602000000000004</f>
        <v>0</v>
      </c>
      <c r="F175">
        <f>F137*-6.8175</f>
        <v>0</v>
      </c>
      <c r="G175">
        <f>G137*-0.77265</f>
        <v>0</v>
      </c>
      <c r="H175">
        <f>H137*0.0</f>
        <v>0</v>
      </c>
      <c r="I175">
        <f>I137*-1.6442999999999999</f>
        <v>0</v>
      </c>
      <c r="J175">
        <f>J137*-16.18245</f>
        <v>0</v>
      </c>
      <c r="K175">
        <f>K137*12.136849999999999</f>
        <v>0</v>
      </c>
      <c r="L175">
        <f>L137*137.4915</f>
        <v>0</v>
      </c>
      <c r="M175">
        <f>M137*-143.95409999999998</f>
        <v>0</v>
      </c>
      <c r="N175">
        <f>E175+F175+G175+H175+I175+J175+K175+L175</f>
        <v>0</v>
      </c>
      <c r="O175">
        <f>E175+F175+G175+H175+I175+J175+K175+M175</f>
        <v>0</v>
      </c>
    </row>
    <row r="176" spans="3:15">
      <c r="C176">
        <f>34.0</f>
        <v>0</v>
      </c>
      <c r="D176">
        <f>14.0</f>
        <v>0</v>
      </c>
      <c r="E176">
        <f>E137*-3.84535</f>
        <v>0</v>
      </c>
      <c r="F176">
        <f>F137*-7.8575</f>
        <v>0</v>
      </c>
      <c r="G176">
        <f>G137*-0.87345</f>
        <v>0</v>
      </c>
      <c r="H176">
        <f>H137*0.0</f>
        <v>0</v>
      </c>
      <c r="I176">
        <f>I137*-2.16875</f>
        <v>0</v>
      </c>
      <c r="J176">
        <f>J137*-30.997249999999998</f>
        <v>0</v>
      </c>
      <c r="K176">
        <f>K137*23.2479</f>
        <v>0</v>
      </c>
      <c r="L176">
        <f>L137*122.51530000000001</f>
        <v>0</v>
      </c>
      <c r="M176">
        <f>M137*-129.76069999999999</f>
        <v>0</v>
      </c>
      <c r="N176">
        <f>E176+F176+G176+H176+I176+J176+K176+L176</f>
        <v>0</v>
      </c>
      <c r="O176">
        <f>E176+F176+G176+H176+I176+J176+K176+M176</f>
        <v>0</v>
      </c>
    </row>
    <row r="177" spans="3:15">
      <c r="C177">
        <f>35.0</f>
        <v>0</v>
      </c>
      <c r="D177">
        <f>15.0</f>
        <v>0</v>
      </c>
      <c r="E177">
        <f>E137*1.9188999999999998</f>
        <v>0</v>
      </c>
      <c r="F177">
        <f>F137*-9.18025</f>
        <v>0</v>
      </c>
      <c r="G177">
        <f>G137*-1.5488499999999998</f>
        <v>0</v>
      </c>
      <c r="H177">
        <f>H137*0.0</f>
        <v>0</v>
      </c>
      <c r="I177">
        <f>I137*0.037799999999999945</f>
        <v>0</v>
      </c>
      <c r="J177">
        <f>J137*-5.02885</f>
        <v>0</v>
      </c>
      <c r="K177">
        <f>K137*3.77165</f>
        <v>0</v>
      </c>
      <c r="L177">
        <f>L137*96.84565</f>
        <v>0</v>
      </c>
      <c r="M177">
        <f>M137*-110.70205</f>
        <v>0</v>
      </c>
      <c r="N177">
        <f>E177+F177+G177+H177+I177+J177+K177+L177</f>
        <v>0</v>
      </c>
      <c r="O177">
        <f>E177+F177+G177+H177+I177+J177+K177+M177</f>
        <v>0</v>
      </c>
    </row>
    <row r="178" spans="3:15">
      <c r="C178">
        <f>35.91</f>
        <v>0</v>
      </c>
      <c r="D178">
        <f>15.91</f>
        <v>0</v>
      </c>
      <c r="E178">
        <f>E137*-4.1816</f>
        <v>0</v>
      </c>
      <c r="F178">
        <f>F137*-9.281899999999998</f>
        <v>0</v>
      </c>
      <c r="G178">
        <f>G137*-1.04835</f>
        <v>0</v>
      </c>
      <c r="H178">
        <f>H137*0.0</f>
        <v>0</v>
      </c>
      <c r="I178">
        <f>I137*-1.8003</f>
        <v>0</v>
      </c>
      <c r="J178">
        <f>J137*-34.71825</f>
        <v>0</v>
      </c>
      <c r="K178">
        <f>K137*26.0387</f>
        <v>0</v>
      </c>
      <c r="L178">
        <f>L137*98.6663</f>
        <v>0</v>
      </c>
      <c r="M178">
        <f>M137*-107.491</f>
        <v>0</v>
      </c>
      <c r="N178">
        <f>E178+F178+G178+H178+I178+J178+K178+L178</f>
        <v>0</v>
      </c>
      <c r="O178">
        <f>E178+F178+G178+H178+I178+J178+K178+M178</f>
        <v>0</v>
      </c>
    </row>
    <row r="179" spans="3:15">
      <c r="C179">
        <f>36.82</f>
        <v>0</v>
      </c>
      <c r="D179">
        <f>16.82</f>
        <v>0</v>
      </c>
      <c r="E179">
        <f>E137*-3.43105</f>
        <v>0</v>
      </c>
      <c r="F179">
        <f>F137*-10.607600000000001</f>
        <v>0</v>
      </c>
      <c r="G179">
        <f>G137*-1.2524</f>
        <v>0</v>
      </c>
      <c r="H179">
        <f>H137*0.0</f>
        <v>0</v>
      </c>
      <c r="I179">
        <f>I137*-1.5732</f>
        <v>0</v>
      </c>
      <c r="J179">
        <f>J137*-25.54285</f>
        <v>0</v>
      </c>
      <c r="K179">
        <f>K137*19.1571</f>
        <v>0</v>
      </c>
      <c r="L179">
        <f>L137*79.84774999999999</f>
        <v>0</v>
      </c>
      <c r="M179">
        <f>M137*-89.3764</f>
        <v>0</v>
      </c>
      <c r="N179">
        <f>E179+F179+G179+H179+I179+J179+K179+L179</f>
        <v>0</v>
      </c>
      <c r="O179">
        <f>E179+F179+G179+H179+I179+J179+K179+M179</f>
        <v>0</v>
      </c>
    </row>
    <row r="180" spans="3:15">
      <c r="C180">
        <f>37.73</f>
        <v>0</v>
      </c>
      <c r="D180">
        <f>17.73</f>
        <v>0</v>
      </c>
      <c r="E180">
        <f>E137*-2.5557</f>
        <v>0</v>
      </c>
      <c r="F180">
        <f>F137*-11.3821</f>
        <v>0</v>
      </c>
      <c r="G180">
        <f>G137*-1.3853</f>
        <v>0</v>
      </c>
      <c r="H180">
        <f>H137*0.0</f>
        <v>0</v>
      </c>
      <c r="I180">
        <f>I137*-1.07925</f>
        <v>0</v>
      </c>
      <c r="J180">
        <f>J137*-24.9931</f>
        <v>0</v>
      </c>
      <c r="K180">
        <f>K137*18.74485</f>
        <v>0</v>
      </c>
      <c r="L180">
        <f>L137*56.772949999999994</f>
        <v>0</v>
      </c>
      <c r="M180">
        <f>M137*-67.5889</f>
        <v>0</v>
      </c>
      <c r="N180">
        <f>E180+F180+G180+H180+I180+J180+K180+L180</f>
        <v>0</v>
      </c>
      <c r="O180">
        <f>E180+F180+G180+H180+I180+J180+K180+M180</f>
        <v>0</v>
      </c>
    </row>
    <row r="181" spans="3:15">
      <c r="C181">
        <f>38.64</f>
        <v>0</v>
      </c>
      <c r="D181">
        <f>18.64</f>
        <v>0</v>
      </c>
      <c r="E181">
        <f>E137*-1.6432</f>
        <v>0</v>
      </c>
      <c r="F181">
        <f>F137*-10.7737</f>
        <v>0</v>
      </c>
      <c r="G181">
        <f>G137*-1.34175</f>
        <v>0</v>
      </c>
      <c r="H181">
        <f>H137*0.0</f>
        <v>0</v>
      </c>
      <c r="I181">
        <f>I137*-1.1954499999999997</f>
        <v>0</v>
      </c>
      <c r="J181">
        <f>J137*-30.5073</f>
        <v>0</v>
      </c>
      <c r="K181">
        <f>K137*22.88045</f>
        <v>0</v>
      </c>
      <c r="L181">
        <f>L137*27.0116</f>
        <v>0</v>
      </c>
      <c r="M181">
        <f>M137*-37.70935</f>
        <v>0</v>
      </c>
      <c r="N181">
        <f>E181+F181+G181+H181+I181+J181+K181+L181</f>
        <v>0</v>
      </c>
      <c r="O181">
        <f>E181+F181+G181+H181+I181+J181+K181+M181</f>
        <v>0</v>
      </c>
    </row>
    <row r="182" spans="3:15">
      <c r="C182">
        <f>39.55</f>
        <v>0</v>
      </c>
      <c r="D182">
        <f>19.55</f>
        <v>0</v>
      </c>
      <c r="E182">
        <f>E137*1.6309500000000001</f>
        <v>0</v>
      </c>
      <c r="F182">
        <f>F137*8.4273</f>
        <v>0</v>
      </c>
      <c r="G182">
        <f>G137*1.0154</f>
        <v>0</v>
      </c>
      <c r="H182">
        <f>H137*0.0</f>
        <v>0</v>
      </c>
      <c r="I182">
        <f>I137*2.1028000000000002</f>
        <v>0</v>
      </c>
      <c r="J182">
        <f>J137*55.2152</f>
        <v>0</v>
      </c>
      <c r="K182">
        <f>K137*-41.4114</f>
        <v>0</v>
      </c>
      <c r="L182">
        <f>L137*28.256700000000002</f>
        <v>0</v>
      </c>
      <c r="M182">
        <f>M137*-18.64235</f>
        <v>0</v>
      </c>
      <c r="N182">
        <f>E182+F182+G182+H182+I182+J182+K182+L182</f>
        <v>0</v>
      </c>
      <c r="O182">
        <f>E182+F182+G182+H182+I182+J182+K182+M182</f>
        <v>0</v>
      </c>
    </row>
    <row r="183" spans="3:15">
      <c r="C183">
        <f>40.0</f>
        <v>0</v>
      </c>
      <c r="D183">
        <f>20.0</f>
        <v>0</v>
      </c>
      <c r="E183">
        <f>E137*0.4505</f>
        <v>0</v>
      </c>
      <c r="F183">
        <f>F137*2.6401</f>
        <v>0</v>
      </c>
      <c r="G183">
        <f>G137*0.3288</f>
        <v>0</v>
      </c>
      <c r="H183">
        <f>H137*0.0</f>
        <v>0</v>
      </c>
      <c r="I183">
        <f>I137*1.5201</f>
        <v>0</v>
      </c>
      <c r="J183">
        <f>J137*22.741</f>
        <v>0</v>
      </c>
      <c r="K183">
        <f>K137*-17.0558</f>
        <v>0</v>
      </c>
      <c r="L183">
        <f>L137*10.5195</f>
        <v>0</v>
      </c>
      <c r="M183">
        <f>M137*-8.1619</f>
        <v>0</v>
      </c>
      <c r="N183">
        <f>E183+F183+G183+H183+I183+J183+K183+L183</f>
        <v>0</v>
      </c>
      <c r="O183">
        <f>E183+F183+G183+H183+I183+J183+K183+M183</f>
        <v>0</v>
      </c>
    </row>
    <row r="184" spans="3:15">
      <c r="C184">
        <f>40.0</f>
        <v>0</v>
      </c>
      <c r="D184">
        <f>0.0</f>
        <v>0</v>
      </c>
      <c r="E184">
        <f>E137*0.4799</f>
        <v>0</v>
      </c>
      <c r="F184">
        <f>F137*3.6114</f>
        <v>0</v>
      </c>
      <c r="G184">
        <f>G137*0.4708</f>
        <v>0</v>
      </c>
      <c r="H184">
        <f>H137*0.0</f>
        <v>0</v>
      </c>
      <c r="I184">
        <f>I137*-2.4642</f>
        <v>0</v>
      </c>
      <c r="J184">
        <f>J137*23.8693</f>
        <v>0</v>
      </c>
      <c r="K184">
        <f>K137*-17.9019</f>
        <v>0</v>
      </c>
      <c r="L184">
        <f>L137*6.0956</f>
        <v>0</v>
      </c>
      <c r="M184">
        <f>M137*-2.7163</f>
        <v>0</v>
      </c>
      <c r="N184">
        <f>E184+F184+G184+H184+I184+J184+K184+L184</f>
        <v>0</v>
      </c>
      <c r="O184">
        <f>E184+F184+G184+H184+I184+J184+K184+M184</f>
        <v>0</v>
      </c>
    </row>
    <row r="185" spans="3:15">
      <c r="C185">
        <f>40.45</f>
        <v>0</v>
      </c>
      <c r="D185">
        <f>0.45</f>
        <v>0</v>
      </c>
      <c r="E185">
        <f>E137*1.4352</f>
        <v>0</v>
      </c>
      <c r="F185">
        <f>F137*10.4814</f>
        <v>0</v>
      </c>
      <c r="G185">
        <f>G137*1.3302999999999998</f>
        <v>0</v>
      </c>
      <c r="H185">
        <f>H137*0.0</f>
        <v>0</v>
      </c>
      <c r="I185">
        <f>I137*-2.60675</f>
        <v>0</v>
      </c>
      <c r="J185">
        <f>J137*60.12175</f>
        <v>0</v>
      </c>
      <c r="K185">
        <f>K137*-45.0913</f>
        <v>0</v>
      </c>
      <c r="L185">
        <f>L137*18.33485</f>
        <v>0</v>
      </c>
      <c r="M185">
        <f>M137*-7.1355</f>
        <v>0</v>
      </c>
      <c r="N185">
        <f>E185+F185+G185+H185+I185+J185+K185+L185</f>
        <v>0</v>
      </c>
      <c r="O185">
        <f>E185+F185+G185+H185+I185+J185+K185+M185</f>
        <v>0</v>
      </c>
    </row>
    <row r="186" spans="3:15">
      <c r="C186">
        <f>41.36</f>
        <v>0</v>
      </c>
      <c r="D186">
        <f>1.36</f>
        <v>0</v>
      </c>
      <c r="E186">
        <f>E137*-2.1397500000000003</f>
        <v>0</v>
      </c>
      <c r="F186">
        <f>F137*-8.9443</f>
        <v>0</v>
      </c>
      <c r="G186">
        <f>G137*-1.0428</f>
        <v>0</v>
      </c>
      <c r="H186">
        <f>H137*0.0</f>
        <v>0</v>
      </c>
      <c r="I186">
        <f>I137*-37.59535</f>
        <v>0</v>
      </c>
      <c r="J186">
        <f>J137*-26.67925</f>
        <v>0</v>
      </c>
      <c r="K186">
        <f>K137*20.0094</f>
        <v>0</v>
      </c>
      <c r="L186">
        <f>L137*23.90635</f>
        <v>0</v>
      </c>
      <c r="M186">
        <f>M137*-32.522800000000004</f>
        <v>0</v>
      </c>
      <c r="N186">
        <f>E186+F186+G186+H186+I186+J186+K186+L186</f>
        <v>0</v>
      </c>
      <c r="O186">
        <f>E186+F186+G186+H186+I186+J186+K186+M186</f>
        <v>0</v>
      </c>
    </row>
    <row r="187" spans="3:15">
      <c r="C187">
        <f>42.27</f>
        <v>0</v>
      </c>
      <c r="D187">
        <f>2.27</f>
        <v>0</v>
      </c>
      <c r="E187">
        <f>E137*-3.2123999999999997</f>
        <v>0</v>
      </c>
      <c r="F187">
        <f>F137*-8.0183</f>
        <v>0</v>
      </c>
      <c r="G187">
        <f>G137*-0.852</f>
        <v>0</v>
      </c>
      <c r="H187">
        <f>H137*0.0</f>
        <v>0</v>
      </c>
      <c r="I187">
        <f>I137*-76.8159</f>
        <v>0</v>
      </c>
      <c r="J187">
        <f>J137*-23.3367</f>
        <v>0</v>
      </c>
      <c r="K187">
        <f>K137*17.5025</f>
        <v>0</v>
      </c>
      <c r="L187">
        <f>L137*44.5285</f>
        <v>0</v>
      </c>
      <c r="M187">
        <f>M137*-49.1832</f>
        <v>0</v>
      </c>
      <c r="N187">
        <f>E187+F187+G187+H187+I187+J187+K187+L187</f>
        <v>0</v>
      </c>
      <c r="O187">
        <f>E187+F187+G187+H187+I187+J187+K187+M187</f>
        <v>0</v>
      </c>
    </row>
    <row r="188" spans="3:15">
      <c r="C188">
        <f>43.18</f>
        <v>0</v>
      </c>
      <c r="D188">
        <f>3.18</f>
        <v>0</v>
      </c>
      <c r="E188">
        <f>E137*-4.22495</f>
        <v>0</v>
      </c>
      <c r="F188">
        <f>F137*-5.7447</f>
        <v>0</v>
      </c>
      <c r="G188">
        <f>G137*-0.49495</f>
        <v>0</v>
      </c>
      <c r="H188">
        <f>H137*0.0</f>
        <v>0</v>
      </c>
      <c r="I188">
        <f>I137*-106.71799999999999</f>
        <v>0</v>
      </c>
      <c r="J188">
        <f>J137*-28.01335</f>
        <v>0</v>
      </c>
      <c r="K188">
        <f>K137*21.01005</f>
        <v>0</v>
      </c>
      <c r="L188">
        <f>L137*57.51865</f>
        <v>0</v>
      </c>
      <c r="M188">
        <f>M137*-60.8066</f>
        <v>0</v>
      </c>
      <c r="N188">
        <f>E188+F188+G188+H188+I188+J188+K188+L188</f>
        <v>0</v>
      </c>
      <c r="O188">
        <f>E188+F188+G188+H188+I188+J188+K188+M188</f>
        <v>0</v>
      </c>
    </row>
    <row r="189" spans="3:15">
      <c r="C189">
        <f>44.09</f>
        <v>0</v>
      </c>
      <c r="D189">
        <f>4.09</f>
        <v>0</v>
      </c>
      <c r="E189">
        <f>E137*-5.1456</f>
        <v>0</v>
      </c>
      <c r="F189">
        <f>F137*-3.32445</f>
        <v>0</v>
      </c>
      <c r="G189">
        <f>G137*-0.12475</f>
        <v>0</v>
      </c>
      <c r="H189">
        <f>H137*0.0</f>
        <v>0</v>
      </c>
      <c r="I189">
        <f>I137*-125.45085</f>
        <v>0</v>
      </c>
      <c r="J189">
        <f>J137*-42.15035</f>
        <v>0</v>
      </c>
      <c r="K189">
        <f>K137*31.6128</f>
        <v>0</v>
      </c>
      <c r="L189">
        <f>L137*63.255649999999996</f>
        <v>0</v>
      </c>
      <c r="M189">
        <f>M137*-64.16290000000001</f>
        <v>0</v>
      </c>
      <c r="N189">
        <f>E189+F189+G189+H189+I189+J189+K189+L189</f>
        <v>0</v>
      </c>
      <c r="O189">
        <f>E189+F189+G189+H189+I189+J189+K189+M189</f>
        <v>0</v>
      </c>
    </row>
    <row r="190" spans="3:15">
      <c r="C190">
        <f>45.0</f>
        <v>0</v>
      </c>
      <c r="D190">
        <f>5.0</f>
        <v>0</v>
      </c>
      <c r="E190">
        <f>E137*-1.4446499999999998</f>
        <v>0</v>
      </c>
      <c r="F190">
        <f>F137*0.7739999999999999</f>
        <v>0</v>
      </c>
      <c r="G190">
        <f>G137*0.10715</f>
        <v>0</v>
      </c>
      <c r="H190">
        <f>H137*0.0</f>
        <v>0</v>
      </c>
      <c r="I190">
        <f>I137*-106.77475</f>
        <v>0</v>
      </c>
      <c r="J190">
        <f>J137*17.8235</f>
        <v>0</v>
      </c>
      <c r="K190">
        <f>K137*-13.3676</f>
        <v>0</v>
      </c>
      <c r="L190">
        <f>L137*51.3036</f>
        <v>0</v>
      </c>
      <c r="M190">
        <f>M137*-54.9677</f>
        <v>0</v>
      </c>
      <c r="N190">
        <f>E190+F190+G190+H190+I190+J190+K190+L190</f>
        <v>0</v>
      </c>
      <c r="O190">
        <f>E190+F190+G190+H190+I190+J190+K190+M190</f>
        <v>0</v>
      </c>
    </row>
    <row r="191" spans="3:15">
      <c r="C191">
        <f>46.0</f>
        <v>0</v>
      </c>
      <c r="D191">
        <f>6.0</f>
        <v>0</v>
      </c>
      <c r="E191">
        <f>E137*-5.1273</f>
        <v>0</v>
      </c>
      <c r="F191">
        <f>F137*-1.3985</f>
        <v>0</v>
      </c>
      <c r="G191">
        <f>G137*0.1485</f>
        <v>0</v>
      </c>
      <c r="H191">
        <f>H137*0.0</f>
        <v>0</v>
      </c>
      <c r="I191">
        <f>I137*-130.45495</f>
        <v>0</v>
      </c>
      <c r="J191">
        <f>J137*-46.79815</f>
        <v>0</v>
      </c>
      <c r="K191">
        <f>K137*35.09865</f>
        <v>0</v>
      </c>
      <c r="L191">
        <f>L137*66.81935</f>
        <v>0</v>
      </c>
      <c r="M191">
        <f>M137*-65.3617</f>
        <v>0</v>
      </c>
      <c r="N191">
        <f>E191+F191+G191+H191+I191+J191+K191+L191</f>
        <v>0</v>
      </c>
      <c r="O191">
        <f>E191+F191+G191+H191+I191+J191+K191+M191</f>
        <v>0</v>
      </c>
    </row>
    <row r="192" spans="3:15">
      <c r="C192">
        <f>47.0</f>
        <v>0</v>
      </c>
      <c r="D192">
        <f>7.0</f>
        <v>0</v>
      </c>
      <c r="E192">
        <f>E137*-3.70695</f>
        <v>0</v>
      </c>
      <c r="F192">
        <f>F137*-0.70965</f>
        <v>0</v>
      </c>
      <c r="G192">
        <f>G137*0.18214999999999998</f>
        <v>0</v>
      </c>
      <c r="H192">
        <f>H137*0.0</f>
        <v>0</v>
      </c>
      <c r="I192">
        <f>I137*-111.7426</f>
        <v>0</v>
      </c>
      <c r="J192">
        <f>J137*-37.50920000000001</f>
        <v>0</v>
      </c>
      <c r="K192">
        <f>K137*28.1319</f>
        <v>0</v>
      </c>
      <c r="L192">
        <f>L137*62.6259</f>
        <v>0</v>
      </c>
      <c r="M192">
        <f>M137*-59.713300000000004</f>
        <v>0</v>
      </c>
      <c r="N192">
        <f>E192+F192+G192+H192+I192+J192+K192+L192</f>
        <v>0</v>
      </c>
      <c r="O192">
        <f>E192+F192+G192+H192+I192+J192+K192+M192</f>
        <v>0</v>
      </c>
    </row>
    <row r="193" spans="3:15">
      <c r="C193">
        <f>48.0</f>
        <v>0</v>
      </c>
      <c r="D193">
        <f>8.0</f>
        <v>0</v>
      </c>
      <c r="E193">
        <f>E137*-1.83015</f>
        <v>0</v>
      </c>
      <c r="F193">
        <f>F137*-0.36839999999999995</f>
        <v>0</v>
      </c>
      <c r="G193">
        <f>G137*0.14079999999999998</f>
        <v>0</v>
      </c>
      <c r="H193">
        <f>H137*0.0</f>
        <v>0</v>
      </c>
      <c r="I193">
        <f>I137*-76.14734999999999</f>
        <v>0</v>
      </c>
      <c r="J193">
        <f>J137*-49.387899999999995</f>
        <v>0</v>
      </c>
      <c r="K193">
        <f>K137*37.0409</f>
        <v>0</v>
      </c>
      <c r="L193">
        <f>L137*48.239850000000004</f>
        <v>0</v>
      </c>
      <c r="M193">
        <f>M137*-45.20795</f>
        <v>0</v>
      </c>
      <c r="N193">
        <f>E193+F193+G193+H193+I193+J193+K193+L193</f>
        <v>0</v>
      </c>
      <c r="O193">
        <f>E193+F193+G193+H193+I193+J193+K193+M193</f>
        <v>0</v>
      </c>
    </row>
    <row r="194" spans="3:15">
      <c r="C194">
        <f>49.0</f>
        <v>0</v>
      </c>
      <c r="D194">
        <f>9.0</f>
        <v>0</v>
      </c>
      <c r="E194">
        <f>E137*0.6895</f>
        <v>0</v>
      </c>
      <c r="F194">
        <f>F137*-0.5334</f>
        <v>0</v>
      </c>
      <c r="G194">
        <f>G137*-0.04435</f>
        <v>0</v>
      </c>
      <c r="H194">
        <f>H137*0.0</f>
        <v>0</v>
      </c>
      <c r="I194">
        <f>I137*-18.760800000000003</f>
        <v>0</v>
      </c>
      <c r="J194">
        <f>J137*-106.29679999999999</f>
        <v>0</v>
      </c>
      <c r="K194">
        <f>K137*79.7226</f>
        <v>0</v>
      </c>
      <c r="L194">
        <f>L137*21.112099999999998</f>
        <v>0</v>
      </c>
      <c r="M194">
        <f>M137*-26.084000000000003</f>
        <v>0</v>
      </c>
      <c r="N194">
        <f>E194+F194+G194+H194+I194+J194+K194+L194</f>
        <v>0</v>
      </c>
      <c r="O194">
        <f>E194+F194+G194+H194+I194+J194+K194+M194</f>
        <v>0</v>
      </c>
    </row>
    <row r="202" spans="3:15"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 t="s">
        <v>8</v>
      </c>
      <c r="L202" t="s">
        <v>9</v>
      </c>
      <c r="M202" t="s">
        <v>10</v>
      </c>
      <c r="N202" t="s">
        <v>11</v>
      </c>
      <c r="O202" t="s">
        <v>12</v>
      </c>
    </row>
    <row r="203" spans="3:15">
      <c r="C203">
        <f>0.0</f>
        <v>0</v>
      </c>
      <c r="D203">
        <f>0.0</f>
        <v>0</v>
      </c>
      <c r="E203">
        <f>E201*-5.41</f>
        <v>0</v>
      </c>
      <c r="F203">
        <f>F201*-9.64</f>
        <v>0</v>
      </c>
      <c r="G203">
        <f>G201*-1.215</f>
        <v>0</v>
      </c>
      <c r="H203">
        <f>H201*0.0</f>
        <v>0</v>
      </c>
      <c r="I203">
        <f>I201*-0.027000000000000003</f>
        <v>0</v>
      </c>
      <c r="J203">
        <f>J201*414.869</f>
        <v>0</v>
      </c>
      <c r="K203">
        <f>K201*-311.152</f>
        <v>0</v>
      </c>
      <c r="L203">
        <f>L201*72.0</f>
        <v>0</v>
      </c>
      <c r="M203">
        <f>M201*-70.686</f>
        <v>0</v>
      </c>
      <c r="N203">
        <f>E203+F203+G203+H203+I203+J203+K203+L203</f>
        <v>0</v>
      </c>
      <c r="O203">
        <f>E203+F203+G203+H203+I203+J203+K203+M203</f>
        <v>0</v>
      </c>
    </row>
    <row r="204" spans="3:15">
      <c r="C204">
        <f>1.0</f>
        <v>0</v>
      </c>
      <c r="D204">
        <f>1.0</f>
        <v>0</v>
      </c>
      <c r="E204">
        <f>E201*-6.362500000000001</f>
        <v>0</v>
      </c>
      <c r="F204">
        <f>F201*-17.947</f>
        <v>0</v>
      </c>
      <c r="G204">
        <f>G201*-2.242</f>
        <v>0</v>
      </c>
      <c r="H204">
        <f>H201*0.0</f>
        <v>0</v>
      </c>
      <c r="I204">
        <f>I201*-0.037000000000000005</f>
        <v>0</v>
      </c>
      <c r="J204">
        <f>J201*305.7255</f>
        <v>0</v>
      </c>
      <c r="K204">
        <f>K201*-229.29449999999997</f>
        <v>0</v>
      </c>
      <c r="L204">
        <f>L201*59.20099999999999</f>
        <v>0</v>
      </c>
      <c r="M204">
        <f>M201*-76.476</f>
        <v>0</v>
      </c>
      <c r="N204">
        <f>E204+F204+G204+H204+I204+J204+K204+L204</f>
        <v>0</v>
      </c>
      <c r="O204">
        <f>E204+F204+G204+H204+I204+J204+K204+M204</f>
        <v>0</v>
      </c>
    </row>
    <row r="205" spans="3:15">
      <c r="C205">
        <f>2.0</f>
        <v>0</v>
      </c>
      <c r="D205">
        <f>2.0</f>
        <v>0</v>
      </c>
      <c r="E205">
        <f>E201*-9.469000000000001</f>
        <v>0</v>
      </c>
      <c r="F205">
        <f>F201*-26.774</f>
        <v>0</v>
      </c>
      <c r="G205">
        <f>G201*-3.3120000000000003</f>
        <v>0</v>
      </c>
      <c r="H205">
        <f>H201*0.0</f>
        <v>0</v>
      </c>
      <c r="I205">
        <f>I201*-0.0385</f>
        <v>0</v>
      </c>
      <c r="J205">
        <f>J201*168.0255</f>
        <v>0</v>
      </c>
      <c r="K205">
        <f>K201*-126.0195</f>
        <v>0</v>
      </c>
      <c r="L205">
        <f>L201*56.0005</f>
        <v>0</v>
      </c>
      <c r="M205">
        <f>M201*-83.863</f>
        <v>0</v>
      </c>
      <c r="N205">
        <f>E205+F205+G205+H205+I205+J205+K205+L205</f>
        <v>0</v>
      </c>
      <c r="O205">
        <f>E205+F205+G205+H205+I205+J205+K205+M205</f>
        <v>0</v>
      </c>
    </row>
    <row r="206" spans="3:15">
      <c r="C206">
        <f>3.0</f>
        <v>0</v>
      </c>
      <c r="D206">
        <f>3.0</f>
        <v>0</v>
      </c>
      <c r="E206">
        <f>E201*-13.061</f>
        <v>0</v>
      </c>
      <c r="F206">
        <f>F201*-29.7835</f>
        <v>0</v>
      </c>
      <c r="G206">
        <f>G201*-3.5475</f>
        <v>0</v>
      </c>
      <c r="H206">
        <f>H201*0.0</f>
        <v>0</v>
      </c>
      <c r="I206">
        <f>I201*-0.0385</f>
        <v>0</v>
      </c>
      <c r="J206">
        <f>J201*52.6505</f>
        <v>0</v>
      </c>
      <c r="K206">
        <f>K201*-39.488</f>
        <v>0</v>
      </c>
      <c r="L206">
        <f>L201*61.7035</f>
        <v>0</v>
      </c>
      <c r="M206">
        <f>M201*-90.47549999999998</f>
        <v>0</v>
      </c>
      <c r="N206">
        <f>E206+F206+G206+H206+I206+J206+K206+L206</f>
        <v>0</v>
      </c>
      <c r="O206">
        <f>E206+F206+G206+H206+I206+J206+K206+M206</f>
        <v>0</v>
      </c>
    </row>
    <row r="207" spans="3:15">
      <c r="C207">
        <f>4.0</f>
        <v>0</v>
      </c>
      <c r="D207">
        <f>4.0</f>
        <v>0</v>
      </c>
      <c r="E207">
        <f>E201*-15.432</f>
        <v>0</v>
      </c>
      <c r="F207">
        <f>F201*-27.095999999999997</f>
        <v>0</v>
      </c>
      <c r="G207">
        <f>G201*-3.005</f>
        <v>0</v>
      </c>
      <c r="H207">
        <f>H201*0.0</f>
        <v>0</v>
      </c>
      <c r="I207">
        <f>I201*-0.038</f>
        <v>0</v>
      </c>
      <c r="J207">
        <f>J201*-31.305</f>
        <v>0</v>
      </c>
      <c r="K207">
        <f>K201*23.479</f>
        <v>0</v>
      </c>
      <c r="L207">
        <f>L201*77.5825</f>
        <v>0</v>
      </c>
      <c r="M207">
        <f>M201*-101.76149999999998</f>
        <v>0</v>
      </c>
      <c r="N207">
        <f>E207+F207+G207+H207+I207+J207+K207+L207</f>
        <v>0</v>
      </c>
      <c r="O207">
        <f>E207+F207+G207+H207+I207+J207+K207+M207</f>
        <v>0</v>
      </c>
    </row>
    <row r="208" spans="3:15">
      <c r="C208">
        <f>5.0</f>
        <v>0</v>
      </c>
      <c r="D208">
        <f>5.0</f>
        <v>0</v>
      </c>
      <c r="E208">
        <f>E201*-9.2525</f>
        <v>0</v>
      </c>
      <c r="F208">
        <f>F201*-29.043</f>
        <v>0</v>
      </c>
      <c r="G208">
        <f>G201*-3.7395000000000005</f>
        <v>0</v>
      </c>
      <c r="H208">
        <f>H201*0.0</f>
        <v>0</v>
      </c>
      <c r="I208">
        <f>I201*-0.037500000000000006</f>
        <v>0</v>
      </c>
      <c r="J208">
        <f>J201*28.35049999999999</f>
        <v>0</v>
      </c>
      <c r="K208">
        <f>K201*-21.263</f>
        <v>0</v>
      </c>
      <c r="L208">
        <f>L201*75.24549999999999</f>
        <v>0</v>
      </c>
      <c r="M208">
        <f>M201*-112.983</f>
        <v>0</v>
      </c>
      <c r="N208">
        <f>E208+F208+G208+H208+I208+J208+K208+L208</f>
        <v>0</v>
      </c>
      <c r="O208">
        <f>E208+F208+G208+H208+I208+J208+K208+M208</f>
        <v>0</v>
      </c>
    </row>
    <row r="209" spans="3:15">
      <c r="C209">
        <f>6.0</f>
        <v>0</v>
      </c>
      <c r="D209">
        <f>6.0</f>
        <v>0</v>
      </c>
      <c r="E209">
        <f>E201*-2.8855000000000004</f>
        <v>0</v>
      </c>
      <c r="F209">
        <f>F201*-28.453500000000002</f>
        <v>0</v>
      </c>
      <c r="G209">
        <f>G201*-4.1</f>
        <v>0</v>
      </c>
      <c r="H209">
        <f>H201*0.0</f>
        <v>0</v>
      </c>
      <c r="I209">
        <f>I201*-0.038</f>
        <v>0</v>
      </c>
      <c r="J209">
        <f>J201*99.479</f>
        <v>0</v>
      </c>
      <c r="K209">
        <f>K201*-74.6095</f>
        <v>0</v>
      </c>
      <c r="L209">
        <f>L201*55.66</f>
        <v>0</v>
      </c>
      <c r="M209">
        <f>M201*-94.006</f>
        <v>0</v>
      </c>
      <c r="N209">
        <f>E209+F209+G209+H209+I209+J209+K209+L209</f>
        <v>0</v>
      </c>
      <c r="O209">
        <f>E209+F209+G209+H209+I209+J209+K209+M209</f>
        <v>0</v>
      </c>
    </row>
    <row r="210" spans="3:15">
      <c r="C210">
        <f>7.0</f>
        <v>0</v>
      </c>
      <c r="D210">
        <f>7.0</f>
        <v>0</v>
      </c>
      <c r="E210">
        <f>E201*-4.7235</f>
        <v>0</v>
      </c>
      <c r="F210">
        <f>F201*-17.826999999999998</f>
        <v>0</v>
      </c>
      <c r="G210">
        <f>G201*-2.384</f>
        <v>0</v>
      </c>
      <c r="H210">
        <f>H201*0.0</f>
        <v>0</v>
      </c>
      <c r="I210">
        <f>I201*-0.038</f>
        <v>0</v>
      </c>
      <c r="J210">
        <f>J201*54.0775</f>
        <v>0</v>
      </c>
      <c r="K210">
        <f>K201*-40.558</f>
        <v>0</v>
      </c>
      <c r="L210">
        <f>L201*68.77000000000001</f>
        <v>0</v>
      </c>
      <c r="M210">
        <f>M201*-88.875</f>
        <v>0</v>
      </c>
      <c r="N210">
        <f>E210+F210+G210+H210+I210+J210+K210+L210</f>
        <v>0</v>
      </c>
      <c r="O210">
        <f>E210+F210+G210+H210+I210+J210+K210+M210</f>
        <v>0</v>
      </c>
    </row>
    <row r="211" spans="3:15">
      <c r="C211">
        <f>8.0</f>
        <v>0</v>
      </c>
      <c r="D211">
        <f>8.0</f>
        <v>0</v>
      </c>
      <c r="E211">
        <f>E201*-7.121499999999999</f>
        <v>0</v>
      </c>
      <c r="F211">
        <f>F201*-6.907500000000001</f>
        <v>0</v>
      </c>
      <c r="G211">
        <f>G201*-0.592</f>
        <v>0</v>
      </c>
      <c r="H211">
        <f>H201*0.0</f>
        <v>0</v>
      </c>
      <c r="I211">
        <f>I201*-0.038</f>
        <v>0</v>
      </c>
      <c r="J211">
        <f>J201*5.18</f>
        <v>0</v>
      </c>
      <c r="K211">
        <f>K201*-3.8849999999999993</f>
        <v>0</v>
      </c>
      <c r="L211">
        <f>L201*88.6245</f>
        <v>0</v>
      </c>
      <c r="M211">
        <f>M201*-91.2955</f>
        <v>0</v>
      </c>
      <c r="N211">
        <f>E211+F211+G211+H211+I211+J211+K211+L211</f>
        <v>0</v>
      </c>
      <c r="O211">
        <f>E211+F211+G211+H211+I211+J211+K211+M211</f>
        <v>0</v>
      </c>
    </row>
    <row r="212" spans="3:15">
      <c r="C212">
        <f>9.0</f>
        <v>0</v>
      </c>
      <c r="D212">
        <f>9.0</f>
        <v>0</v>
      </c>
      <c r="E212">
        <f>E201*-9.962499999999999</f>
        <v>0</v>
      </c>
      <c r="F212">
        <f>F201*5.276000000000001</f>
        <v>0</v>
      </c>
      <c r="G212">
        <f>G201*1.4265</f>
        <v>0</v>
      </c>
      <c r="H212">
        <f>H201*0.0</f>
        <v>0</v>
      </c>
      <c r="I212">
        <f>I201*-0.038</f>
        <v>0</v>
      </c>
      <c r="J212">
        <f>J201*-24.284999999999997</f>
        <v>0</v>
      </c>
      <c r="K212">
        <f>K201*18.214</f>
        <v>0</v>
      </c>
      <c r="L212">
        <f>L201*118.804</f>
        <v>0</v>
      </c>
      <c r="M212">
        <f>M201*-101.06299999999999</f>
        <v>0</v>
      </c>
      <c r="N212">
        <f>E212+F212+G212+H212+I212+J212+K212+L212</f>
        <v>0</v>
      </c>
      <c r="O212">
        <f>E212+F212+G212+H212+I212+J212+K212+M212</f>
        <v>0</v>
      </c>
    </row>
    <row r="213" spans="3:15">
      <c r="C213">
        <f>10.0</f>
        <v>0</v>
      </c>
      <c r="D213">
        <f>10.0</f>
        <v>0</v>
      </c>
      <c r="E213">
        <f>E201*-0.8120000000000003</f>
        <v>0</v>
      </c>
      <c r="F213">
        <f>F201*6.281499999999999</f>
        <v>0</v>
      </c>
      <c r="G213">
        <f>G201*0.9499999999999998</f>
        <v>0</v>
      </c>
      <c r="H213">
        <f>H201*0.0</f>
        <v>0</v>
      </c>
      <c r="I213">
        <f>I201*-0.039</f>
        <v>0</v>
      </c>
      <c r="J213">
        <f>J201*14.7105</f>
        <v>0</v>
      </c>
      <c r="K213">
        <f>K201*-11.032999999999998</f>
        <v>0</v>
      </c>
      <c r="L213">
        <f>L201*123.306</f>
        <v>0</v>
      </c>
      <c r="M213">
        <f>M201*-117.5405</f>
        <v>0</v>
      </c>
      <c r="N213">
        <f>E213+F213+G213+H213+I213+J213+K213+L213</f>
        <v>0</v>
      </c>
      <c r="O213">
        <f>E213+F213+G213+H213+I213+J213+K213+M213</f>
        <v>0</v>
      </c>
    </row>
    <row r="214" spans="3:15">
      <c r="C214">
        <f>11.0</f>
        <v>0</v>
      </c>
      <c r="D214">
        <f>11.0</f>
        <v>0</v>
      </c>
      <c r="E214">
        <f>E201*8.118500000000001</f>
        <v>0</v>
      </c>
      <c r="F214">
        <f>F201*6.862</f>
        <v>0</v>
      </c>
      <c r="G214">
        <f>G201*0.4285</f>
        <v>0</v>
      </c>
      <c r="H214">
        <f>H201*0.0</f>
        <v>0</v>
      </c>
      <c r="I214">
        <f>I201*-0.0385</f>
        <v>0</v>
      </c>
      <c r="J214">
        <f>J201*55.933499999999995</f>
        <v>0</v>
      </c>
      <c r="K214">
        <f>K201*-41.95</f>
        <v>0</v>
      </c>
      <c r="L214">
        <f>L201*101.7825</f>
        <v>0</v>
      </c>
      <c r="M214">
        <f>M201*-99.61</f>
        <v>0</v>
      </c>
      <c r="N214">
        <f>E214+F214+G214+H214+I214+J214+K214+L214</f>
        <v>0</v>
      </c>
      <c r="O214">
        <f>E214+F214+G214+H214+I214+J214+K214+M214</f>
        <v>0</v>
      </c>
    </row>
    <row r="215" spans="3:15">
      <c r="C215">
        <f>12.0</f>
        <v>0</v>
      </c>
      <c r="D215">
        <f>12.0</f>
        <v>0</v>
      </c>
      <c r="E215">
        <f>E201*4.580500000000001</f>
        <v>0</v>
      </c>
      <c r="F215">
        <f>F201*17.6185</f>
        <v>0</v>
      </c>
      <c r="G215">
        <f>G201*2.294</f>
        <v>0</v>
      </c>
      <c r="H215">
        <f>H201*0.0</f>
        <v>0</v>
      </c>
      <c r="I215">
        <f>I201*-0.037500000000000006</f>
        <v>0</v>
      </c>
      <c r="J215">
        <f>J201*33.4005</f>
        <v>0</v>
      </c>
      <c r="K215">
        <f>K201*-25.0505</f>
        <v>0</v>
      </c>
      <c r="L215">
        <f>L201*112.723</f>
        <v>0</v>
      </c>
      <c r="M215">
        <f>M201*-91.6055</f>
        <v>0</v>
      </c>
      <c r="N215">
        <f>E215+F215+G215+H215+I215+J215+K215+L215</f>
        <v>0</v>
      </c>
      <c r="O215">
        <f>E215+F215+G215+H215+I215+J215+K215+M215</f>
        <v>0</v>
      </c>
    </row>
    <row r="216" spans="3:15">
      <c r="C216">
        <f>13.0</f>
        <v>0</v>
      </c>
      <c r="D216">
        <f>13.0</f>
        <v>0</v>
      </c>
      <c r="E216">
        <f>E201*1.022</f>
        <v>0</v>
      </c>
      <c r="F216">
        <f>F201*25.988</f>
        <v>0</v>
      </c>
      <c r="G216">
        <f>G201*3.8064999999999998</f>
        <v>0</v>
      </c>
      <c r="H216">
        <f>H201*0.0</f>
        <v>0</v>
      </c>
      <c r="I216">
        <f>I201*-0.037000000000000005</f>
        <v>0</v>
      </c>
      <c r="J216">
        <f>J201*-4.515</f>
        <v>0</v>
      </c>
      <c r="K216">
        <f>K201*3.3865</f>
        <v>0</v>
      </c>
      <c r="L216">
        <f>L201*128.7735</f>
        <v>0</v>
      </c>
      <c r="M216">
        <f>M201*-93.416</f>
        <v>0</v>
      </c>
      <c r="N216">
        <f>E216+F216+G216+H216+I216+J216+K216+L216</f>
        <v>0</v>
      </c>
      <c r="O216">
        <f>E216+F216+G216+H216+I216+J216+K216+M216</f>
        <v>0</v>
      </c>
    </row>
    <row r="217" spans="3:15">
      <c r="C217">
        <f>14.0</f>
        <v>0</v>
      </c>
      <c r="D217">
        <f>14.0</f>
        <v>0</v>
      </c>
      <c r="E217">
        <f>E201*-2.6950000000000003</f>
        <v>0</v>
      </c>
      <c r="F217">
        <f>F201*31.8305</f>
        <v>0</v>
      </c>
      <c r="G217">
        <f>G201*4.9784999999999995</f>
        <v>0</v>
      </c>
      <c r="H217">
        <f>H201*0.0</f>
        <v>0</v>
      </c>
      <c r="I217">
        <f>I201*-0.037000000000000005</f>
        <v>0</v>
      </c>
      <c r="J217">
        <f>J201*-32.935</f>
        <v>0</v>
      </c>
      <c r="K217">
        <f>K201*24.701500000000003</f>
        <v>0</v>
      </c>
      <c r="L217">
        <f>L201*151.123</f>
        <v>0</v>
      </c>
      <c r="M217">
        <f>M201*-100.43299999999999</f>
        <v>0</v>
      </c>
      <c r="N217">
        <f>E217+F217+G217+H217+I217+J217+K217+L217</f>
        <v>0</v>
      </c>
      <c r="O217">
        <f>E217+F217+G217+H217+I217+J217+K217+M217</f>
        <v>0</v>
      </c>
    </row>
    <row r="218" spans="3:15">
      <c r="C218">
        <f>15.0</f>
        <v>0</v>
      </c>
      <c r="D218">
        <f>15.0</f>
        <v>0</v>
      </c>
      <c r="E218">
        <f>E201*4.941999999999998</f>
        <v>0</v>
      </c>
      <c r="F218">
        <f>F201*37.1035</f>
        <v>0</v>
      </c>
      <c r="G218">
        <f>G201*5.181</f>
        <v>0</v>
      </c>
      <c r="H218">
        <f>H201*0.0</f>
        <v>0</v>
      </c>
      <c r="I218">
        <f>I201*-0.038</f>
        <v>0</v>
      </c>
      <c r="J218">
        <f>J201*17.486000000000008</f>
        <v>0</v>
      </c>
      <c r="K218">
        <f>K201*-13.114</f>
        <v>0</v>
      </c>
      <c r="L218">
        <f>L201*161.334</f>
        <v>0</v>
      </c>
      <c r="M218">
        <f>M201*-117.917</f>
        <v>0</v>
      </c>
      <c r="N218">
        <f>E218+F218+G218+H218+I218+J218+K218+L218</f>
        <v>0</v>
      </c>
      <c r="O218">
        <f>E218+F218+G218+H218+I218+J218+K218+M218</f>
        <v>0</v>
      </c>
    </row>
    <row r="219" spans="3:15">
      <c r="C219">
        <f>15.91</f>
        <v>0</v>
      </c>
      <c r="D219">
        <f>15.91</f>
        <v>0</v>
      </c>
      <c r="E219">
        <f>E201*12.5025</f>
        <v>0</v>
      </c>
      <c r="F219">
        <f>F201*38.0805</f>
        <v>0</v>
      </c>
      <c r="G219">
        <f>G201*4.755000000000001</f>
        <v>0</v>
      </c>
      <c r="H219">
        <f>H201*0.0</f>
        <v>0</v>
      </c>
      <c r="I219">
        <f>I201*-0.037500000000000006</f>
        <v>0</v>
      </c>
      <c r="J219">
        <f>J201*61.413000000000004</f>
        <v>0</v>
      </c>
      <c r="K219">
        <f>K201*-46.0595</f>
        <v>0</v>
      </c>
      <c r="L219">
        <f>L201*141.1085</f>
        <v>0</v>
      </c>
      <c r="M219">
        <f>M201*-107.852</f>
        <v>0</v>
      </c>
      <c r="N219">
        <f>E219+F219+G219+H219+I219+J219+K219+L219</f>
        <v>0</v>
      </c>
      <c r="O219">
        <f>E219+F219+G219+H219+I219+J219+K219+M219</f>
        <v>0</v>
      </c>
    </row>
    <row r="220" spans="3:15">
      <c r="C220">
        <f>16.82</f>
        <v>0</v>
      </c>
      <c r="D220">
        <f>16.82</f>
        <v>0</v>
      </c>
      <c r="E220">
        <f>E201*7.944</f>
        <v>0</v>
      </c>
      <c r="F220">
        <f>F201*30.127000000000002</f>
        <v>0</v>
      </c>
      <c r="G220">
        <f>G201*3.9684999999999997</f>
        <v>0</v>
      </c>
      <c r="H220">
        <f>H201*0.0</f>
        <v>0</v>
      </c>
      <c r="I220">
        <f>I201*-0.035500000000000004</f>
        <v>0</v>
      </c>
      <c r="J220">
        <f>J201*11.012500000000001</f>
        <v>0</v>
      </c>
      <c r="K220">
        <f>K201*-8.259</f>
        <v>0</v>
      </c>
      <c r="L220">
        <f>L201*140.55349999999999</f>
        <v>0</v>
      </c>
      <c r="M220">
        <f>M201*-102.10749999999999</f>
        <v>0</v>
      </c>
      <c r="N220">
        <f>E220+F220+G220+H220+I220+J220+K220+L220</f>
        <v>0</v>
      </c>
      <c r="O220">
        <f>E220+F220+G220+H220+I220+J220+K220+M220</f>
        <v>0</v>
      </c>
    </row>
    <row r="221" spans="3:15">
      <c r="C221">
        <f>17.73</f>
        <v>0</v>
      </c>
      <c r="D221">
        <f>17.73</f>
        <v>0</v>
      </c>
      <c r="E221">
        <f>E201*2.6504999999999996</f>
        <v>0</v>
      </c>
      <c r="F221">
        <f>F201*14.23</f>
        <v>0</v>
      </c>
      <c r="G221">
        <f>G201*2.063</f>
        <v>0</v>
      </c>
      <c r="H221">
        <f>H201*0.0</f>
        <v>0</v>
      </c>
      <c r="I221">
        <f>I201*-0.035500000000000004</f>
        <v>0</v>
      </c>
      <c r="J221">
        <f>J201*-69.2315</f>
        <v>0</v>
      </c>
      <c r="K221">
        <f>K201*51.924</f>
        <v>0</v>
      </c>
      <c r="L221">
        <f>L201*132.366</f>
        <v>0</v>
      </c>
      <c r="M221">
        <f>M201*-104.78</f>
        <v>0</v>
      </c>
      <c r="N221">
        <f>E221+F221+G221+H221+I221+J221+K221+L221</f>
        <v>0</v>
      </c>
      <c r="O221">
        <f>E221+F221+G221+H221+I221+J221+K221+M221</f>
        <v>0</v>
      </c>
    </row>
    <row r="222" spans="3:15">
      <c r="C222">
        <f>18.64</f>
        <v>0</v>
      </c>
      <c r="D222">
        <f>18.64</f>
        <v>0</v>
      </c>
      <c r="E222">
        <f>E201*-3.5484999999999998</f>
        <v>0</v>
      </c>
      <c r="F222">
        <f>F201*-15.904</f>
        <v>0</v>
      </c>
      <c r="G222">
        <f>G201*-1.7950000000000002</f>
        <v>0</v>
      </c>
      <c r="H222">
        <f>H201*0.0</f>
        <v>0</v>
      </c>
      <c r="I222">
        <f>I201*-0.040499999999999994</f>
        <v>0</v>
      </c>
      <c r="J222">
        <f>J201*-167.53000000000003</f>
        <v>0</v>
      </c>
      <c r="K222">
        <f>K201*125.648</f>
        <v>0</v>
      </c>
      <c r="L222">
        <f>L201*106.727</f>
        <v>0</v>
      </c>
      <c r="M222">
        <f>M201*-113.20949999999999</f>
        <v>0</v>
      </c>
      <c r="N222">
        <f>E222+F222+G222+H222+I222+J222+K222+L222</f>
        <v>0</v>
      </c>
      <c r="O222">
        <f>E222+F222+G222+H222+I222+J222+K222+M222</f>
        <v>0</v>
      </c>
    </row>
    <row r="223" spans="3:15">
      <c r="C223">
        <f>19.55</f>
        <v>0</v>
      </c>
      <c r="D223">
        <f>19.55</f>
        <v>0</v>
      </c>
      <c r="E223">
        <f>E201*-3.4730000000000003</f>
        <v>0</v>
      </c>
      <c r="F223">
        <f>F201*-16.938</f>
        <v>0</v>
      </c>
      <c r="G223">
        <f>G201*-2.061</f>
        <v>0</v>
      </c>
      <c r="H223">
        <f>H201*0.0</f>
        <v>0</v>
      </c>
      <c r="I223">
        <f>I201*-0.022653</f>
        <v>0</v>
      </c>
      <c r="J223">
        <f>J201*-110.21499999999999</f>
        <v>0</v>
      </c>
      <c r="K223">
        <f>K201*82.66100000000002</f>
        <v>0</v>
      </c>
      <c r="L223">
        <f>L201*62.97</f>
        <v>0</v>
      </c>
      <c r="M223">
        <f>M201*-73.0445</f>
        <v>0</v>
      </c>
      <c r="N223">
        <f>E223+F223+G223+H223+I223+J223+K223+L223</f>
        <v>0</v>
      </c>
      <c r="O223">
        <f>E223+F223+G223+H223+I223+J223+K223+M223</f>
        <v>0</v>
      </c>
    </row>
    <row r="224" spans="3:15">
      <c r="C224">
        <f>20.0</f>
        <v>0</v>
      </c>
      <c r="D224">
        <f>20.0</f>
        <v>0</v>
      </c>
      <c r="E224">
        <f>E201*1.264</f>
        <v>0</v>
      </c>
      <c r="F224">
        <f>F201*14.619000000000002</f>
        <v>0</v>
      </c>
      <c r="G224">
        <f>G201*1.9469999999999998</f>
        <v>0</v>
      </c>
      <c r="H224">
        <f>H201*0.0</f>
        <v>0</v>
      </c>
      <c r="I224">
        <f>I201*0.005693999999999999</f>
        <v>0</v>
      </c>
      <c r="J224">
        <f>J201*22.473000000000003</f>
        <v>0</v>
      </c>
      <c r="K224">
        <f>K201*-16.855</f>
        <v>0</v>
      </c>
      <c r="L224">
        <f>L201*42.614</f>
        <v>0</v>
      </c>
      <c r="M224">
        <f>M201*-26.045</f>
        <v>0</v>
      </c>
      <c r="N224">
        <f>E224+F224+G224+H224+I224+J224+K224+L224</f>
        <v>0</v>
      </c>
      <c r="O224">
        <f>E224+F224+G224+H224+I224+J224+K224+M224</f>
        <v>0</v>
      </c>
    </row>
    <row r="225" spans="3:15">
      <c r="C225">
        <f>20.0</f>
        <v>0</v>
      </c>
      <c r="D225">
        <f>0.0</f>
        <v>0</v>
      </c>
      <c r="E225">
        <f>E201*-1.324</f>
        <v>0</v>
      </c>
      <c r="F225">
        <f>F201*-14.263</f>
        <v>0</v>
      </c>
      <c r="G225">
        <f>G201*-1.893</f>
        <v>0</v>
      </c>
      <c r="H225">
        <f>H201*0.0</f>
        <v>0</v>
      </c>
      <c r="I225">
        <f>I201*0.10800000000000001</f>
        <v>0</v>
      </c>
      <c r="J225">
        <f>J201*-21.511</f>
        <v>0</v>
      </c>
      <c r="K225">
        <f>K201*16.133</f>
        <v>0</v>
      </c>
      <c r="L225">
        <f>L201*14.671</f>
        <v>0</v>
      </c>
      <c r="M225">
        <f>M201*-30.930999999999997</f>
        <v>0</v>
      </c>
      <c r="N225">
        <f>E225+F225+G225+H225+I225+J225+K225+L225</f>
        <v>0</v>
      </c>
      <c r="O225">
        <f>E225+F225+G225+H225+I225+J225+K225+M225</f>
        <v>0</v>
      </c>
    </row>
    <row r="226" spans="3:15">
      <c r="C226">
        <f>20.45</f>
        <v>0</v>
      </c>
      <c r="D226">
        <f>0.45</f>
        <v>0</v>
      </c>
      <c r="E226">
        <f>E201*3.1435000000000004</f>
        <v>0</v>
      </c>
      <c r="F226">
        <f>F201*18.4725</f>
        <v>0</v>
      </c>
      <c r="G226">
        <f>G201*2.3005</f>
        <v>0</v>
      </c>
      <c r="H226">
        <f>H201*0.0</f>
        <v>0</v>
      </c>
      <c r="I226">
        <f>I201*-0.369</f>
        <v>0</v>
      </c>
      <c r="J226">
        <f>J201*115.2365</f>
        <v>0</v>
      </c>
      <c r="K226">
        <f>K201*-86.4275</f>
        <v>0</v>
      </c>
      <c r="L226">
        <f>L201*46.835499999999996</f>
        <v>0</v>
      </c>
      <c r="M226">
        <f>M201*-32.397999999999996</f>
        <v>0</v>
      </c>
      <c r="N226">
        <f>E226+F226+G226+H226+I226+J226+K226+L226</f>
        <v>0</v>
      </c>
      <c r="O226">
        <f>E226+F226+G226+H226+I226+J226+K226+M226</f>
        <v>0</v>
      </c>
    </row>
    <row r="227" spans="3:15">
      <c r="C227">
        <f>21.36</f>
        <v>0</v>
      </c>
      <c r="D227">
        <f>1.36</f>
        <v>0</v>
      </c>
      <c r="E227">
        <f>E201*2.978</f>
        <v>0</v>
      </c>
      <c r="F227">
        <f>F201*18.9895</f>
        <v>0</v>
      </c>
      <c r="G227">
        <f>G201*2.2715</f>
        <v>0</v>
      </c>
      <c r="H227">
        <f>H201*0.0</f>
        <v>0</v>
      </c>
      <c r="I227">
        <f>I201*-0.371</f>
        <v>0</v>
      </c>
      <c r="J227">
        <f>J201*176.5885</f>
        <v>0</v>
      </c>
      <c r="K227">
        <f>K201*-132.44150000000002</f>
        <v>0</v>
      </c>
      <c r="L227">
        <f>L201*40.215500000000006</f>
        <v>0</v>
      </c>
      <c r="M227">
        <f>M201*-24.177</f>
        <v>0</v>
      </c>
      <c r="N227">
        <f>E227+F227+G227+H227+I227+J227+K227+L227</f>
        <v>0</v>
      </c>
      <c r="O227">
        <f>E227+F227+G227+H227+I227+J227+K227+M227</f>
        <v>0</v>
      </c>
    </row>
    <row r="228" spans="3:15">
      <c r="C228">
        <f>22.27</f>
        <v>0</v>
      </c>
      <c r="D228">
        <f>2.27</f>
        <v>0</v>
      </c>
      <c r="E228">
        <f>E201*-3.1155000000000004</f>
        <v>0</v>
      </c>
      <c r="F228">
        <f>F201*-10.7475</f>
        <v>0</v>
      </c>
      <c r="G228">
        <f>G201*-1.5364999999999998</f>
        <v>0</v>
      </c>
      <c r="H228">
        <f>H201*0.0</f>
        <v>0</v>
      </c>
      <c r="I228">
        <f>I201*0.121</f>
        <v>0</v>
      </c>
      <c r="J228">
        <f>J201*77.3355</f>
        <v>0</v>
      </c>
      <c r="K228">
        <f>K201*-58.001999999999995</f>
        <v>0</v>
      </c>
      <c r="L228">
        <f>L201*20.5015</f>
        <v>0</v>
      </c>
      <c r="M228">
        <f>M201*-41.284499999999994</f>
        <v>0</v>
      </c>
      <c r="N228">
        <f>E228+F228+G228+H228+I228+J228+K228+L228</f>
        <v>0</v>
      </c>
      <c r="O228">
        <f>E228+F228+G228+H228+I228+J228+K228+M228</f>
        <v>0</v>
      </c>
    </row>
    <row r="229" spans="3:15">
      <c r="C229">
        <f>23.18</f>
        <v>0</v>
      </c>
      <c r="D229">
        <f>3.18</f>
        <v>0</v>
      </c>
      <c r="E229">
        <f>E201*-8.309</f>
        <v>0</v>
      </c>
      <c r="F229">
        <f>F201*-26.113500000000002</f>
        <v>0</v>
      </c>
      <c r="G229">
        <f>G201*-3.3735</f>
        <v>0</v>
      </c>
      <c r="H229">
        <f>H201*0.0</f>
        <v>0</v>
      </c>
      <c r="I229">
        <f>I201*0.4715</f>
        <v>0</v>
      </c>
      <c r="J229">
        <f>J201*-3.795000000000001</f>
        <v>0</v>
      </c>
      <c r="K229">
        <f>K201*2.846</f>
        <v>0</v>
      </c>
      <c r="L229">
        <f>L201*23.0985</f>
        <v>0</v>
      </c>
      <c r="M229">
        <f>M201*-55.137</f>
        <v>0</v>
      </c>
      <c r="N229">
        <f>E229+F229+G229+H229+I229+J229+K229+L229</f>
        <v>0</v>
      </c>
      <c r="O229">
        <f>E229+F229+G229+H229+I229+J229+K229+M229</f>
        <v>0</v>
      </c>
    </row>
    <row r="230" spans="3:15">
      <c r="C230">
        <f>24.09</f>
        <v>0</v>
      </c>
      <c r="D230">
        <f>4.09</f>
        <v>0</v>
      </c>
      <c r="E230">
        <f>E201*-12.756499999999999</f>
        <v>0</v>
      </c>
      <c r="F230">
        <f>F201*-33.92400000000001</f>
        <v>0</v>
      </c>
      <c r="G230">
        <f>G201*-4.1475</f>
        <v>0</v>
      </c>
      <c r="H230">
        <f>H201*0.0</f>
        <v>0</v>
      </c>
      <c r="I230">
        <f>I201*0.8035</f>
        <v>0</v>
      </c>
      <c r="J230">
        <f>J201*-55.477999999999994</f>
        <v>0</v>
      </c>
      <c r="K230">
        <f>K201*41.6085</f>
        <v>0</v>
      </c>
      <c r="L230">
        <f>L201*40.8485</f>
        <v>0</v>
      </c>
      <c r="M230">
        <f>M201*-71.19</f>
        <v>0</v>
      </c>
      <c r="N230">
        <f>E230+F230+G230+H230+I230+J230+K230+L230</f>
        <v>0</v>
      </c>
      <c r="O230">
        <f>E230+F230+G230+H230+I230+J230+K230+M230</f>
        <v>0</v>
      </c>
    </row>
    <row r="231" spans="3:15">
      <c r="C231">
        <f>25.0</f>
        <v>0</v>
      </c>
      <c r="D231">
        <f>5.0</f>
        <v>0</v>
      </c>
      <c r="E231">
        <f>E201*-5.3265</f>
        <v>0</v>
      </c>
      <c r="F231">
        <f>F201*-31.7885</f>
        <v>0</v>
      </c>
      <c r="G231">
        <f>G201*-4.3995</f>
        <v>0</v>
      </c>
      <c r="H231">
        <f>H201*0.0</f>
        <v>0</v>
      </c>
      <c r="I231">
        <f>I201*0.8095</f>
        <v>0</v>
      </c>
      <c r="J231">
        <f>J201*-9.263499999999997</f>
        <v>0</v>
      </c>
      <c r="K231">
        <f>K201*6.947499999999998</f>
        <v>0</v>
      </c>
      <c r="L231">
        <f>L201*52.238</f>
        <v>0</v>
      </c>
      <c r="M231">
        <f>M201*-89.5875</f>
        <v>0</v>
      </c>
      <c r="N231">
        <f>E231+F231+G231+H231+I231+J231+K231+L231</f>
        <v>0</v>
      </c>
      <c r="O231">
        <f>E231+F231+G231+H231+I231+J231+K231+M231</f>
        <v>0</v>
      </c>
    </row>
    <row r="232" spans="3:15">
      <c r="C232">
        <f>26.0</f>
        <v>0</v>
      </c>
      <c r="D232">
        <f>6.0</f>
        <v>0</v>
      </c>
      <c r="E232">
        <f>E201*2.1425</f>
        <v>0</v>
      </c>
      <c r="F232">
        <f>F201*-25.512</f>
        <v>0</v>
      </c>
      <c r="G232">
        <f>G201*-4.0424999999999995</f>
        <v>0</v>
      </c>
      <c r="H232">
        <f>H201*0.0</f>
        <v>0</v>
      </c>
      <c r="I232">
        <f>I201*0.845</f>
        <v>0</v>
      </c>
      <c r="J232">
        <f>J201*43.826</f>
        <v>0</v>
      </c>
      <c r="K232">
        <f>K201*-32.869499999999995</f>
        <v>0</v>
      </c>
      <c r="L232">
        <f>L201*23.491</f>
        <v>0</v>
      </c>
      <c r="M232">
        <f>M201*-63.6675</f>
        <v>0</v>
      </c>
      <c r="N232">
        <f>E232+F232+G232+H232+I232+J232+K232+L232</f>
        <v>0</v>
      </c>
      <c r="O232">
        <f>E232+F232+G232+H232+I232+J232+K232+M232</f>
        <v>0</v>
      </c>
    </row>
    <row r="233" spans="3:15">
      <c r="C233">
        <f>27.0</f>
        <v>0</v>
      </c>
      <c r="D233">
        <f>7.0</f>
        <v>0</v>
      </c>
      <c r="E233">
        <f>E201*-1.6075</f>
        <v>0</v>
      </c>
      <c r="F233">
        <f>F201*-19.936</f>
        <v>0</v>
      </c>
      <c r="G233">
        <f>G201*-2.9080000000000004</f>
        <v>0</v>
      </c>
      <c r="H233">
        <f>H201*0.0</f>
        <v>0</v>
      </c>
      <c r="I233">
        <f>I201*1.145</f>
        <v>0</v>
      </c>
      <c r="J233">
        <f>J201*15.7085</f>
        <v>0</v>
      </c>
      <c r="K233">
        <f>K201*-11.7815</f>
        <v>0</v>
      </c>
      <c r="L233">
        <f>L201*14.2155</f>
        <v>0</v>
      </c>
      <c r="M233">
        <f>M201*-43.389</f>
        <v>0</v>
      </c>
      <c r="N233">
        <f>E233+F233+G233+H233+I233+J233+K233+L233</f>
        <v>0</v>
      </c>
      <c r="O233">
        <f>E233+F233+G233+H233+I233+J233+K233+M233</f>
        <v>0</v>
      </c>
    </row>
    <row r="234" spans="3:15">
      <c r="C234">
        <f>28.0</f>
        <v>0</v>
      </c>
      <c r="D234">
        <f>8.0</f>
        <v>0</v>
      </c>
      <c r="E234">
        <f>E201*-5.334</f>
        <v>0</v>
      </c>
      <c r="F234">
        <f>F201*-11.683</f>
        <v>0</v>
      </c>
      <c r="G234">
        <f>G201*-1.402</f>
        <v>0</v>
      </c>
      <c r="H234">
        <f>H201*0.0</f>
        <v>0</v>
      </c>
      <c r="I234">
        <f>I201*1.33</f>
        <v>0</v>
      </c>
      <c r="J234">
        <f>J201*-20.122</f>
        <v>0</v>
      </c>
      <c r="K234">
        <f>K201*15.091999999999999</f>
        <v>0</v>
      </c>
      <c r="L234">
        <f>L201*22.584000000000003</f>
        <v>0</v>
      </c>
      <c r="M234">
        <f>M201*-37.2695</f>
        <v>0</v>
      </c>
      <c r="N234">
        <f>E234+F234+G234+H234+I234+J234+K234+L234</f>
        <v>0</v>
      </c>
      <c r="O234">
        <f>E234+F234+G234+H234+I234+J234+K234+M234</f>
        <v>0</v>
      </c>
    </row>
    <row r="235" spans="3:15">
      <c r="C235">
        <f>29.0</f>
        <v>0</v>
      </c>
      <c r="D235">
        <f>9.0</f>
        <v>0</v>
      </c>
      <c r="E235">
        <f>E201*-9.235</f>
        <v>0</v>
      </c>
      <c r="F235">
        <f>F201*-1.0439999999999998</f>
        <v>0</v>
      </c>
      <c r="G235">
        <f>G201*0.47150000000000003</f>
        <v>0</v>
      </c>
      <c r="H235">
        <f>H201*0.0</f>
        <v>0</v>
      </c>
      <c r="I235">
        <f>I201*1.3295</f>
        <v>0</v>
      </c>
      <c r="J235">
        <f>J201*-38.1415</f>
        <v>0</v>
      </c>
      <c r="K235">
        <f>K201*28.606</f>
        <v>0</v>
      </c>
      <c r="L235">
        <f>L201*53.6635</f>
        <v>0</v>
      </c>
      <c r="M235">
        <f>M201*-47.03</f>
        <v>0</v>
      </c>
      <c r="N235">
        <f>E235+F235+G235+H235+I235+J235+K235+L235</f>
        <v>0</v>
      </c>
      <c r="O235">
        <f>E235+F235+G235+H235+I235+J235+K235+M235</f>
        <v>0</v>
      </c>
    </row>
    <row r="236" spans="3:15">
      <c r="C236">
        <f>30.0</f>
        <v>0</v>
      </c>
      <c r="D236">
        <f>10.0</f>
        <v>0</v>
      </c>
      <c r="E236">
        <f>E201*-0.30100000000000016</f>
        <v>0</v>
      </c>
      <c r="F236">
        <f>F201*-0.26750000000000007</f>
        <v>0</v>
      </c>
      <c r="G236">
        <f>G201*-0.02750000000000008</f>
        <v>0</v>
      </c>
      <c r="H236">
        <f>H201*0.0</f>
        <v>0</v>
      </c>
      <c r="I236">
        <f>I201*1.609</f>
        <v>0</v>
      </c>
      <c r="J236">
        <f>J201*2.530000000000001</f>
        <v>0</v>
      </c>
      <c r="K236">
        <f>K201*-1.897499999999999</f>
        <v>0</v>
      </c>
      <c r="L236">
        <f>L201*75.059</f>
        <v>0</v>
      </c>
      <c r="M236">
        <f>M201*-74.59</f>
        <v>0</v>
      </c>
      <c r="N236">
        <f>E236+F236+G236+H236+I236+J236+K236+L236</f>
        <v>0</v>
      </c>
      <c r="O236">
        <f>E236+F236+G236+H236+I236+J236+K236+M236</f>
        <v>0</v>
      </c>
    </row>
    <row r="237" spans="3:15">
      <c r="C237">
        <f>31.0</f>
        <v>0</v>
      </c>
      <c r="D237">
        <f>11.0</f>
        <v>0</v>
      </c>
      <c r="E237">
        <f>E201*8.6275</f>
        <v>0</v>
      </c>
      <c r="F237">
        <f>F201*0.7429999999999999</f>
        <v>0</v>
      </c>
      <c r="G237">
        <f>G201*-0.49149999999999994</f>
        <v>0</v>
      </c>
      <c r="H237">
        <f>H201*0.0</f>
        <v>0</v>
      </c>
      <c r="I237">
        <f>I201*1.7005</f>
        <v>0</v>
      </c>
      <c r="J237">
        <f>J201*43.463499999999996</f>
        <v>0</v>
      </c>
      <c r="K237">
        <f>K201*-32.5975</f>
        <v>0</v>
      </c>
      <c r="L237">
        <f>L201*43.748999999999995</f>
        <v>0</v>
      </c>
      <c r="M237">
        <f>M201*-49.09</f>
        <v>0</v>
      </c>
      <c r="N237">
        <f>E237+F237+G237+H237+I237+J237+K237+L237</f>
        <v>0</v>
      </c>
      <c r="O237">
        <f>E237+F237+G237+H237+I237+J237+K237+M237</f>
        <v>0</v>
      </c>
    </row>
    <row r="238" spans="3:15">
      <c r="C238">
        <f>32.0</f>
        <v>0</v>
      </c>
      <c r="D238">
        <f>12.0</f>
        <v>0</v>
      </c>
      <c r="E238">
        <f>E201*4.7135</f>
        <v>0</v>
      </c>
      <c r="F238">
        <f>F201*12.126999999999999</f>
        <v>0</v>
      </c>
      <c r="G238">
        <f>G201*1.492</f>
        <v>0</v>
      </c>
      <c r="H238">
        <f>H201*0.0</f>
        <v>0</v>
      </c>
      <c r="I238">
        <f>I201*1.0295</f>
        <v>0</v>
      </c>
      <c r="J238">
        <f>J201*26.249499999999998</f>
        <v>0</v>
      </c>
      <c r="K238">
        <f>K201*-19.6875</f>
        <v>0</v>
      </c>
      <c r="L238">
        <f>L201*40.13549999999999</f>
        <v>0</v>
      </c>
      <c r="M238">
        <f>M201*-21.8435</f>
        <v>0</v>
      </c>
      <c r="N238">
        <f>E238+F238+G238+H238+I238+J238+K238+L238</f>
        <v>0</v>
      </c>
      <c r="O238">
        <f>E238+F238+G238+H238+I238+J238+K238+M238</f>
        <v>0</v>
      </c>
    </row>
    <row r="239" spans="3:15">
      <c r="C239">
        <f>33.0</f>
        <v>0</v>
      </c>
      <c r="D239">
        <f>13.0</f>
        <v>0</v>
      </c>
      <c r="E239">
        <f>E201*0.973</f>
        <v>0</v>
      </c>
      <c r="F239">
        <f>F201*21.613999999999997</f>
        <v>0</v>
      </c>
      <c r="G239">
        <f>G201*3.1790000000000003</f>
        <v>0</v>
      </c>
      <c r="H239">
        <f>H201*0.0</f>
        <v>0</v>
      </c>
      <c r="I239">
        <f>I201*0.15249999999999997</f>
        <v>0</v>
      </c>
      <c r="J239">
        <f>J201*-8.3245</f>
        <v>0</v>
      </c>
      <c r="K239">
        <f>K201*6.2435</f>
        <v>0</v>
      </c>
      <c r="L239">
        <f>L201*53.1955</f>
        <v>0</v>
      </c>
      <c r="M239">
        <f>M201*-21.534</f>
        <v>0</v>
      </c>
      <c r="N239">
        <f>E239+F239+G239+H239+I239+J239+K239+L239</f>
        <v>0</v>
      </c>
      <c r="O239">
        <f>E239+F239+G239+H239+I239+J239+K239+M239</f>
        <v>0</v>
      </c>
    </row>
    <row r="240" spans="3:15">
      <c r="C240">
        <f>34.0</f>
        <v>0</v>
      </c>
      <c r="D240">
        <f>14.0</f>
        <v>0</v>
      </c>
      <c r="E240">
        <f>E201*-2.7735000000000003</f>
        <v>0</v>
      </c>
      <c r="F240">
        <f>F201*29.247500000000002</f>
        <v>0</v>
      </c>
      <c r="G240">
        <f>G201*4.615</f>
        <v>0</v>
      </c>
      <c r="H240">
        <f>H201*0.0</f>
        <v>0</v>
      </c>
      <c r="I240">
        <f>I201*-1.1755</f>
        <v>0</v>
      </c>
      <c r="J240">
        <f>J201*-34.6045</f>
        <v>0</v>
      </c>
      <c r="K240">
        <f>K201*25.953</f>
        <v>0</v>
      </c>
      <c r="L240">
        <f>L201*78.0635</f>
        <v>0</v>
      </c>
      <c r="M240">
        <f>M201*-33.065</f>
        <v>0</v>
      </c>
      <c r="N240">
        <f>E240+F240+G240+H240+I240+J240+K240+L240</f>
        <v>0</v>
      </c>
      <c r="O240">
        <f>E240+F240+G240+H240+I240+J240+K240+M240</f>
        <v>0</v>
      </c>
    </row>
    <row r="241" spans="3:15">
      <c r="C241">
        <f>35.0</f>
        <v>0</v>
      </c>
      <c r="D241">
        <f>15.0</f>
        <v>0</v>
      </c>
      <c r="E241">
        <f>E201*4.6770000000000005</f>
        <v>0</v>
      </c>
      <c r="F241">
        <f>F201*33.215</f>
        <v>0</v>
      </c>
      <c r="G241">
        <f>G201*4.6345</f>
        <v>0</v>
      </c>
      <c r="H241">
        <f>H201*0.0</f>
        <v>0</v>
      </c>
      <c r="I241">
        <f>I201*0.5614999999999999</f>
        <v>0</v>
      </c>
      <c r="J241">
        <f>J201*16.553000000000004</f>
        <v>0</v>
      </c>
      <c r="K241">
        <f>K201*-12.415000000000003</f>
        <v>0</v>
      </c>
      <c r="L241">
        <f>L201*98.6885</f>
        <v>0</v>
      </c>
      <c r="M241">
        <f>M201*-56.5195</f>
        <v>0</v>
      </c>
      <c r="N241">
        <f>E241+F241+G241+H241+I241+J241+K241+L241</f>
        <v>0</v>
      </c>
      <c r="O241">
        <f>E241+F241+G241+H241+I241+J241+K241+M241</f>
        <v>0</v>
      </c>
    </row>
    <row r="242" spans="3:15">
      <c r="C242">
        <f>35.91</f>
        <v>0</v>
      </c>
      <c r="D242">
        <f>15.91</f>
        <v>0</v>
      </c>
      <c r="E242">
        <f>E201*12.1415</f>
        <v>0</v>
      </c>
      <c r="F242">
        <f>F201*33.2455</f>
        <v>0</v>
      </c>
      <c r="G242">
        <f>G201*4.0725</f>
        <v>0</v>
      </c>
      <c r="H242">
        <f>H201*0.0</f>
        <v>0</v>
      </c>
      <c r="I242">
        <f>I201*1.441</f>
        <v>0</v>
      </c>
      <c r="J242">
        <f>J201*60.528499999999994</f>
        <v>0</v>
      </c>
      <c r="K242">
        <f>K201*-45.3965</f>
        <v>0</v>
      </c>
      <c r="L242">
        <f>L201*75.6545</f>
        <v>0</v>
      </c>
      <c r="M242">
        <f>M201*-37.9675</f>
        <v>0</v>
      </c>
      <c r="N242">
        <f>E242+F242+G242+H242+I242+J242+K242+L242</f>
        <v>0</v>
      </c>
      <c r="O242">
        <f>E242+F242+G242+H242+I242+J242+K242+M242</f>
        <v>0</v>
      </c>
    </row>
    <row r="243" spans="3:15">
      <c r="C243">
        <f>36.82</f>
        <v>0</v>
      </c>
      <c r="D243">
        <f>16.82</f>
        <v>0</v>
      </c>
      <c r="E243">
        <f>E201*7.8785</f>
        <v>0</v>
      </c>
      <c r="F243">
        <f>F201*28.6995</f>
        <v>0</v>
      </c>
      <c r="G243">
        <f>G201*3.77</f>
        <v>0</v>
      </c>
      <c r="H243">
        <f>H201*0.0</f>
        <v>0</v>
      </c>
      <c r="I243">
        <f>I201*-2.8125</f>
        <v>0</v>
      </c>
      <c r="J243">
        <f>J201*10.129000000000001</f>
        <v>0</v>
      </c>
      <c r="K243">
        <f>K201*-7.596500000000001</f>
        <v>0</v>
      </c>
      <c r="L243">
        <f>L201*65.1675</f>
        <v>0</v>
      </c>
      <c r="M243">
        <f>M201*-25.816499999999998</f>
        <v>0</v>
      </c>
      <c r="N243">
        <f>E243+F243+G243+H243+I243+J243+K243+L243</f>
        <v>0</v>
      </c>
      <c r="O243">
        <f>E243+F243+G243+H243+I243+J243+K243+M243</f>
        <v>0</v>
      </c>
    </row>
    <row r="244" spans="3:15">
      <c r="C244">
        <f>37.73</f>
        <v>0</v>
      </c>
      <c r="D244">
        <f>17.73</f>
        <v>0</v>
      </c>
      <c r="E244">
        <f>E201*2.9875</f>
        <v>0</v>
      </c>
      <c r="F244">
        <f>F201*16.956</f>
        <v>0</v>
      </c>
      <c r="G244">
        <f>G201*2.452</f>
        <v>0</v>
      </c>
      <c r="H244">
        <f>H201*0.0</f>
        <v>0</v>
      </c>
      <c r="I244">
        <f>I201*-7.782</f>
        <v>0</v>
      </c>
      <c r="J244">
        <f>J201*-70.4745</f>
        <v>0</v>
      </c>
      <c r="K244">
        <f>K201*52.856</f>
        <v>0</v>
      </c>
      <c r="L244">
        <f>L201*55.980500000000006</f>
        <v>0</v>
      </c>
      <c r="M244">
        <f>M201*-28.9435</f>
        <v>0</v>
      </c>
      <c r="N244">
        <f>E244+F244+G244+H244+I244+J244+K244+L244</f>
        <v>0</v>
      </c>
      <c r="O244">
        <f>E244+F244+G244+H244+I244+J244+K244+M244</f>
        <v>0</v>
      </c>
    </row>
    <row r="245" spans="3:15">
      <c r="C245">
        <f>38.64</f>
        <v>0</v>
      </c>
      <c r="D245">
        <f>18.64</f>
        <v>0</v>
      </c>
      <c r="E245">
        <f>E201*-2.5945</f>
        <v>0</v>
      </c>
      <c r="F245">
        <f>F201*-6.981</f>
        <v>0</v>
      </c>
      <c r="G245">
        <f>G201*-0.526</f>
        <v>0</v>
      </c>
      <c r="H245">
        <f>H201*0.0</f>
        <v>0</v>
      </c>
      <c r="I245">
        <f>I201*-12.0905</f>
        <v>0</v>
      </c>
      <c r="J245">
        <f>J201*-169.19100000000003</f>
        <v>0</v>
      </c>
      <c r="K245">
        <f>K201*126.893</f>
        <v>0</v>
      </c>
      <c r="L245">
        <f>L201*38.569</f>
        <v>0</v>
      </c>
      <c r="M245">
        <f>M201*-46.3785</f>
        <v>0</v>
      </c>
      <c r="N245">
        <f>E245+F245+G245+H245+I245+J245+K245+L245</f>
        <v>0</v>
      </c>
      <c r="O245">
        <f>E245+F245+G245+H245+I245+J245+K245+M245</f>
        <v>0</v>
      </c>
    </row>
    <row r="246" spans="3:15">
      <c r="C246">
        <f>39.55</f>
        <v>0</v>
      </c>
      <c r="D246">
        <f>19.55</f>
        <v>0</v>
      </c>
      <c r="E246">
        <f>E201*-2.8204999999999996</f>
        <v>0</v>
      </c>
      <c r="F246">
        <f>F201*-10.760000000000002</f>
        <v>0</v>
      </c>
      <c r="G246">
        <f>G201*-1.1829999999999998</f>
        <v>0</v>
      </c>
      <c r="H246">
        <f>H201*0.0</f>
        <v>0</v>
      </c>
      <c r="I246">
        <f>I201*-7.1525</f>
        <v>0</v>
      </c>
      <c r="J246">
        <f>J201*-111.20400000000001</f>
        <v>0</v>
      </c>
      <c r="K246">
        <f>K201*83.40299999999999</f>
        <v>0</v>
      </c>
      <c r="L246">
        <f>L201*34.466499999999996</f>
        <v>0</v>
      </c>
      <c r="M246">
        <f>M201*-47.2875</f>
        <v>0</v>
      </c>
      <c r="N246">
        <f>E246+F246+G246+H246+I246+J246+K246+L246</f>
        <v>0</v>
      </c>
      <c r="O246">
        <f>E246+F246+G246+H246+I246+J246+K246+M246</f>
        <v>0</v>
      </c>
    </row>
    <row r="247" spans="3:15">
      <c r="C247">
        <f>40.0</f>
        <v>0</v>
      </c>
      <c r="D247">
        <f>20.0</f>
        <v>0</v>
      </c>
      <c r="E247">
        <f>E201*0.987</f>
        <v>0</v>
      </c>
      <c r="F247">
        <f>F201*11.75</f>
        <v>0</v>
      </c>
      <c r="G247">
        <f>G201*1.538</f>
        <v>0</v>
      </c>
      <c r="H247">
        <f>H201*0.0</f>
        <v>0</v>
      </c>
      <c r="I247">
        <f>I201*-0.802</f>
        <v>0</v>
      </c>
      <c r="J247">
        <f>J201*22.399</f>
        <v>0</v>
      </c>
      <c r="K247">
        <f>K201*-16.799</f>
        <v>0</v>
      </c>
      <c r="L247">
        <f>L201*35.481</f>
        <v>0</v>
      </c>
      <c r="M247">
        <f>M201*-18.895</f>
        <v>0</v>
      </c>
      <c r="N247">
        <f>E247+F247+G247+H247+I247+J247+K247+L247</f>
        <v>0</v>
      </c>
      <c r="O247">
        <f>E247+F247+G247+H247+I247+J247+K247+M247</f>
        <v>0</v>
      </c>
    </row>
    <row r="248" spans="3:15">
      <c r="C248">
        <f>40.0</f>
        <v>0</v>
      </c>
      <c r="D248">
        <f>0.0</f>
        <v>0</v>
      </c>
      <c r="E248">
        <f>E201*-0.966</f>
        <v>0</v>
      </c>
      <c r="F248">
        <f>F201*-9.42</f>
        <v>0</v>
      </c>
      <c r="G248">
        <f>G201*-1.186</f>
        <v>0</v>
      </c>
      <c r="H248">
        <f>H201*0.0</f>
        <v>0</v>
      </c>
      <c r="I248">
        <f>I201*9.026</f>
        <v>0</v>
      </c>
      <c r="J248">
        <f>J201*-15.572000000000001</f>
        <v>0</v>
      </c>
      <c r="K248">
        <f>K201*11.679</f>
        <v>0</v>
      </c>
      <c r="L248">
        <f>L201*13.100999999999999</f>
        <v>0</v>
      </c>
      <c r="M248">
        <f>M201*-25.93</f>
        <v>0</v>
      </c>
      <c r="N248">
        <f>E248+F248+G248+H248+I248+J248+K248+L248</f>
        <v>0</v>
      </c>
      <c r="O248">
        <f>E248+F248+G248+H248+I248+J248+K248+M248</f>
        <v>0</v>
      </c>
    </row>
    <row r="249" spans="3:15">
      <c r="C249">
        <f>40.45</f>
        <v>0</v>
      </c>
      <c r="D249">
        <f>0.45</f>
        <v>0</v>
      </c>
      <c r="E249">
        <f>E201*2.7905</f>
        <v>0</v>
      </c>
      <c r="F249">
        <f>F201*17.643</f>
        <v>0</v>
      </c>
      <c r="G249">
        <f>G201*2.219</f>
        <v>0</v>
      </c>
      <c r="H249">
        <f>H201*0.0</f>
        <v>0</v>
      </c>
      <c r="I249">
        <f>I201*17.0975</f>
        <v>0</v>
      </c>
      <c r="J249">
        <f>J201*128.9595</f>
        <v>0</v>
      </c>
      <c r="K249">
        <f>K201*-96.7195</f>
        <v>0</v>
      </c>
      <c r="L249">
        <f>L201*44.345</f>
        <v>0</v>
      </c>
      <c r="M249">
        <f>M201*-26.469</f>
        <v>0</v>
      </c>
      <c r="N249">
        <f>E249+F249+G249+H249+I249+J249+K249+L249</f>
        <v>0</v>
      </c>
      <c r="O249">
        <f>E249+F249+G249+H249+I249+J249+K249+M249</f>
        <v>0</v>
      </c>
    </row>
    <row r="250" spans="3:15">
      <c r="C250">
        <f>41.36</f>
        <v>0</v>
      </c>
      <c r="D250">
        <f>1.36</f>
        <v>0</v>
      </c>
      <c r="E250">
        <f>E201*2.8385</f>
        <v>0</v>
      </c>
      <c r="F250">
        <f>F201*24.9375</f>
        <v>0</v>
      </c>
      <c r="G250">
        <f>G201*3.2125</f>
        <v>0</v>
      </c>
      <c r="H250">
        <f>H201*0.0</f>
        <v>0</v>
      </c>
      <c r="I250">
        <f>I201*18.1115</f>
        <v>0</v>
      </c>
      <c r="J250">
        <f>J201*210.24399999999997</f>
        <v>0</v>
      </c>
      <c r="K250">
        <f>K201*-157.683</f>
        <v>0</v>
      </c>
      <c r="L250">
        <f>L201*40.7585</f>
        <v>0</v>
      </c>
      <c r="M250">
        <f>M201*-16.819499999999998</f>
        <v>0</v>
      </c>
      <c r="N250">
        <f>E250+F250+G250+H250+I250+J250+K250+L250</f>
        <v>0</v>
      </c>
      <c r="O250">
        <f>E250+F250+G250+H250+I250+J250+K250+M250</f>
        <v>0</v>
      </c>
    </row>
    <row r="251" spans="3:15">
      <c r="C251">
        <f>42.27</f>
        <v>0</v>
      </c>
      <c r="D251">
        <f>2.27</f>
        <v>0</v>
      </c>
      <c r="E251">
        <f>E201*-1.785</f>
        <v>0</v>
      </c>
      <c r="F251">
        <f>F201*7.6114999999999995</f>
        <v>0</v>
      </c>
      <c r="G251">
        <f>G201*1.1760000000000002</f>
        <v>0</v>
      </c>
      <c r="H251">
        <f>H201*0.0</f>
        <v>0</v>
      </c>
      <c r="I251">
        <f>I201*1.7274999999999998</f>
        <v>0</v>
      </c>
      <c r="J251">
        <f>J201*116.8</f>
        <v>0</v>
      </c>
      <c r="K251">
        <f>K201*-87.6</f>
        <v>0</v>
      </c>
      <c r="L251">
        <f>L201*27.3325</f>
        <v>0</v>
      </c>
      <c r="M251">
        <f>M201*-20.414</f>
        <v>0</v>
      </c>
      <c r="N251">
        <f>E251+F251+G251+H251+I251+J251+K251+L251</f>
        <v>0</v>
      </c>
      <c r="O251">
        <f>E251+F251+G251+H251+I251+J251+K251+M251</f>
        <v>0</v>
      </c>
    </row>
    <row r="252" spans="3:15">
      <c r="C252">
        <f>43.18</f>
        <v>0</v>
      </c>
      <c r="D252">
        <f>3.18</f>
        <v>0</v>
      </c>
      <c r="E252">
        <f>E201*-5.3469999999999995</f>
        <v>0</v>
      </c>
      <c r="F252">
        <f>F201*-0.8185</f>
        <v>0</v>
      </c>
      <c r="G252">
        <f>G201*0.28250000000000003</f>
        <v>0</v>
      </c>
      <c r="H252">
        <f>H201*0.0</f>
        <v>0</v>
      </c>
      <c r="I252">
        <f>I201*-17.607</f>
        <v>0</v>
      </c>
      <c r="J252">
        <f>J201*31.293999999999997</f>
        <v>0</v>
      </c>
      <c r="K252">
        <f>K201*-23.471</f>
        <v>0</v>
      </c>
      <c r="L252">
        <f>L201*32.088</f>
        <v>0</v>
      </c>
      <c r="M252">
        <f>M201*-29.203000000000003</f>
        <v>0</v>
      </c>
      <c r="N252">
        <f>E252+F252+G252+H252+I252+J252+K252+L252</f>
        <v>0</v>
      </c>
      <c r="O252">
        <f>E252+F252+G252+H252+I252+J252+K252+M252</f>
        <v>0</v>
      </c>
    </row>
    <row r="253" spans="3:15">
      <c r="C253">
        <f>44.09</f>
        <v>0</v>
      </c>
      <c r="D253">
        <f>4.09</f>
        <v>0</v>
      </c>
      <c r="E253">
        <f>E201*-7.7585</f>
        <v>0</v>
      </c>
      <c r="F253">
        <f>F201*-5.8525</f>
        <v>0</v>
      </c>
      <c r="G253">
        <f>G201*-0.19549999999999998</f>
        <v>0</v>
      </c>
      <c r="H253">
        <f>H201*0.0</f>
        <v>0</v>
      </c>
      <c r="I253">
        <f>I201*-38.794</f>
        <v>0</v>
      </c>
      <c r="J253">
        <f>J201*-37.316</f>
        <v>0</v>
      </c>
      <c r="K253">
        <f>K201*27.987</f>
        <v>0</v>
      </c>
      <c r="L253">
        <f>L201*46.421499999999995</f>
        <v>0</v>
      </c>
      <c r="M253">
        <f>M201*-43.9105</f>
        <v>0</v>
      </c>
      <c r="N253">
        <f>E253+F253+G253+H253+I253+J253+K253+L253</f>
        <v>0</v>
      </c>
      <c r="O253">
        <f>E253+F253+G253+H253+I253+J253+K253+M253</f>
        <v>0</v>
      </c>
    </row>
    <row r="254" spans="3:15">
      <c r="C254">
        <f>45.0</f>
        <v>0</v>
      </c>
      <c r="D254">
        <f>5.0</f>
        <v>0</v>
      </c>
      <c r="E254">
        <f>E201*-1.7514999999999996</f>
        <v>0</v>
      </c>
      <c r="F254">
        <f>F201*-4.0965</f>
        <v>0</v>
      </c>
      <c r="G254">
        <f>G201*-0.419</f>
        <v>0</v>
      </c>
      <c r="H254">
        <f>H201*0.0</f>
        <v>0</v>
      </c>
      <c r="I254">
        <f>I201*-13.204500000000003</f>
        <v>0</v>
      </c>
      <c r="J254">
        <f>J201*32.602999999999994</f>
        <v>0</v>
      </c>
      <c r="K254">
        <f>K201*-24.451999999999998</f>
        <v>0</v>
      </c>
      <c r="L254">
        <f>L201*59.803999999999995</f>
        <v>0</v>
      </c>
      <c r="M254">
        <f>M201*-64.7625</f>
        <v>0</v>
      </c>
      <c r="N254">
        <f>E254+F254+G254+H254+I254+J254+K254+L254</f>
        <v>0</v>
      </c>
      <c r="O254">
        <f>E254+F254+G254+H254+I254+J254+K254+M254</f>
        <v>0</v>
      </c>
    </row>
    <row r="255" spans="3:15">
      <c r="C255">
        <f>46.0</f>
        <v>0</v>
      </c>
      <c r="D255">
        <f>6.0</f>
        <v>0</v>
      </c>
      <c r="E255">
        <f>E201*4.504</f>
        <v>0</v>
      </c>
      <c r="F255">
        <f>F201*-1.0055</f>
        <v>0</v>
      </c>
      <c r="G255">
        <f>G201*-0.4755</f>
        <v>0</v>
      </c>
      <c r="H255">
        <f>H201*0.0</f>
        <v>0</v>
      </c>
      <c r="I255">
        <f>I201*12.0785</f>
        <v>0</v>
      </c>
      <c r="J255">
        <f>J201*93.0135</f>
        <v>0</v>
      </c>
      <c r="K255">
        <f>K201*-69.75999999999999</f>
        <v>0</v>
      </c>
      <c r="L255">
        <f>L201*31.714</f>
        <v>0</v>
      </c>
      <c r="M255">
        <f>M201*-38.4985</f>
        <v>0</v>
      </c>
      <c r="N255">
        <f>E255+F255+G255+H255+I255+J255+K255+L255</f>
        <v>0</v>
      </c>
      <c r="O255">
        <f>E255+F255+G255+H255+I255+J255+K255+M255</f>
        <v>0</v>
      </c>
    </row>
    <row r="256" spans="3:15">
      <c r="C256">
        <f>47.0</f>
        <v>0</v>
      </c>
      <c r="D256">
        <f>7.0</f>
        <v>0</v>
      </c>
      <c r="E256">
        <f>E201*3.1025</f>
        <v>0</v>
      </c>
      <c r="F256">
        <f>F201*-1.2195</f>
        <v>0</v>
      </c>
      <c r="G256">
        <f>G201*-0.375</f>
        <v>0</v>
      </c>
      <c r="H256">
        <f>H201*0.0</f>
        <v>0</v>
      </c>
      <c r="I256">
        <f>I201*-7.1775</f>
        <v>0</v>
      </c>
      <c r="J256">
        <f>J201*-1.0120000000000005</f>
        <v>0</v>
      </c>
      <c r="K256">
        <f>K201*0.7590000000000003</f>
        <v>0</v>
      </c>
      <c r="L256">
        <f>L201*27.990000000000002</f>
        <v>0</v>
      </c>
      <c r="M256">
        <f>M201*-29.451500000000003</f>
        <v>0</v>
      </c>
      <c r="N256">
        <f>E256+F256+G256+H256+I256+J256+K256+L256</f>
        <v>0</v>
      </c>
      <c r="O256">
        <f>E256+F256+G256+H256+I256+J256+K256+M256</f>
        <v>0</v>
      </c>
    </row>
    <row r="257" spans="3:15">
      <c r="C257">
        <f>48.0</f>
        <v>0</v>
      </c>
      <c r="D257">
        <f>8.0</f>
        <v>0</v>
      </c>
      <c r="E257">
        <f>E201*1.2115</f>
        <v>0</v>
      </c>
      <c r="F257">
        <f>F201*-0.675</f>
        <v>0</v>
      </c>
      <c r="G257">
        <f>G201*-0.17149999999999999</f>
        <v>0</v>
      </c>
      <c r="H257">
        <f>H201*0.0</f>
        <v>0</v>
      </c>
      <c r="I257">
        <f>I201*-24.1495</f>
        <v>0</v>
      </c>
      <c r="J257">
        <f>J201*-125.29700000000001</f>
        <v>0</v>
      </c>
      <c r="K257">
        <f>K201*93.973</f>
        <v>0</v>
      </c>
      <c r="L257">
        <f>L201*30.217</f>
        <v>0</v>
      </c>
      <c r="M257">
        <f>M201*-29.023000000000003</f>
        <v>0</v>
      </c>
      <c r="N257">
        <f>E257+F257+G257+H257+I257+J257+K257+L257</f>
        <v>0</v>
      </c>
      <c r="O257">
        <f>E257+F257+G257+H257+I257+J257+K257+M257</f>
        <v>0</v>
      </c>
    </row>
    <row r="258" spans="3:15">
      <c r="C258">
        <f>49.0</f>
        <v>0</v>
      </c>
      <c r="D258">
        <f>9.0</f>
        <v>0</v>
      </c>
      <c r="E258">
        <f>E201*0.091</f>
        <v>0</v>
      </c>
      <c r="F258">
        <f>F201*-0.5695</f>
        <v>0</v>
      </c>
      <c r="G258">
        <f>G201*-0.0445</f>
        <v>0</v>
      </c>
      <c r="H258">
        <f>H201*0.0</f>
        <v>0</v>
      </c>
      <c r="I258">
        <f>I201*-36.816</f>
        <v>0</v>
      </c>
      <c r="J258">
        <f>J201*-267.711</f>
        <v>0</v>
      </c>
      <c r="K258">
        <f>K201*200.78300000000002</f>
        <v>0</v>
      </c>
      <c r="L258">
        <f>L201*34.365</f>
        <v>0</v>
      </c>
      <c r="M258">
        <f>M201*-31.245</f>
        <v>0</v>
      </c>
      <c r="N258">
        <f>E258+F258+G258+H258+I258+J258+K258+L258</f>
        <v>0</v>
      </c>
      <c r="O258">
        <f>E258+F258+G258+H258+I258+J258+K258+M258</f>
        <v>0</v>
      </c>
    </row>
    <row r="266" spans="3:15">
      <c r="C266" t="s">
        <v>0</v>
      </c>
      <c r="D266" t="s">
        <v>1</v>
      </c>
      <c r="E266" t="s">
        <v>2</v>
      </c>
      <c r="F266" t="s">
        <v>3</v>
      </c>
      <c r="G266" t="s">
        <v>4</v>
      </c>
      <c r="H266" t="s">
        <v>5</v>
      </c>
      <c r="I266" t="s">
        <v>6</v>
      </c>
      <c r="J266" t="s">
        <v>7</v>
      </c>
      <c r="K266" t="s">
        <v>8</v>
      </c>
      <c r="L266" t="s">
        <v>9</v>
      </c>
      <c r="M266" t="s">
        <v>10</v>
      </c>
      <c r="N266" t="s">
        <v>11</v>
      </c>
      <c r="O266" t="s">
        <v>12</v>
      </c>
    </row>
    <row r="267" spans="3:15">
      <c r="C267">
        <f>0.0</f>
        <v>0</v>
      </c>
      <c r="D267">
        <f>0.0</f>
        <v>0</v>
      </c>
      <c r="E267">
        <f>E265*21.038</f>
        <v>0</v>
      </c>
      <c r="F267">
        <f>F265*-55.31</f>
        <v>0</v>
      </c>
      <c r="G267">
        <f>G265*-9.754</f>
        <v>0</v>
      </c>
      <c r="H267">
        <f>H265*0.0</f>
        <v>0</v>
      </c>
      <c r="I267">
        <f>I265*-0.057</f>
        <v>0</v>
      </c>
      <c r="J267">
        <f>J265*-107.11</f>
        <v>0</v>
      </c>
      <c r="K267">
        <f>K265*80.333</f>
        <v>0</v>
      </c>
      <c r="L267">
        <f>L265*161.125</f>
        <v>0</v>
      </c>
      <c r="M267">
        <f>M265*-256.52</f>
        <v>0</v>
      </c>
      <c r="N267">
        <f>E267+F267+G267+H267+I267+J267+K267+L267</f>
        <v>0</v>
      </c>
      <c r="O267">
        <f>E267+F267+G267+H267+I267+J267+K267+M267</f>
        <v>0</v>
      </c>
    </row>
    <row r="268" spans="3:15">
      <c r="C268">
        <f>1.0</f>
        <v>0</v>
      </c>
      <c r="D268">
        <f>1.0</f>
        <v>0</v>
      </c>
      <c r="E268">
        <f>E265*17.309</f>
        <v>0</v>
      </c>
      <c r="F268">
        <f>F265*-75.465</f>
        <v>0</v>
      </c>
      <c r="G268">
        <f>G265*-12.513000000000002</f>
        <v>0</v>
      </c>
      <c r="H268">
        <f>H265*0.0</f>
        <v>0</v>
      </c>
      <c r="I268">
        <f>I265*-0.056499999999999995</f>
        <v>0</v>
      </c>
      <c r="J268">
        <f>J265*15.389499999999998</f>
        <v>0</v>
      </c>
      <c r="K268">
        <f>K265*-11.542</f>
        <v>0</v>
      </c>
      <c r="L268">
        <f>L265*147.334</f>
        <v>0</v>
      </c>
      <c r="M268">
        <f>M265*-271.871</f>
        <v>0</v>
      </c>
      <c r="N268">
        <f>E268+F268+G268+H268+I268+J268+K268+L268</f>
        <v>0</v>
      </c>
      <c r="O268">
        <f>E268+F268+G268+H268+I268+J268+K268+M268</f>
        <v>0</v>
      </c>
    </row>
    <row r="269" spans="3:15">
      <c r="C269">
        <f>2.0</f>
        <v>0</v>
      </c>
      <c r="D269">
        <f>2.0</f>
        <v>0</v>
      </c>
      <c r="E269">
        <f>E265*9.1725</f>
        <v>0</v>
      </c>
      <c r="F269">
        <f>F265*-121.3305</f>
        <v>0</v>
      </c>
      <c r="G269">
        <f>G265*-18.828</f>
        <v>0</v>
      </c>
      <c r="H269">
        <f>H265*0.0</f>
        <v>0</v>
      </c>
      <c r="I269">
        <f>I265*-0.055</f>
        <v>0</v>
      </c>
      <c r="J269">
        <f>J265*186.61200000000002</f>
        <v>0</v>
      </c>
      <c r="K269">
        <f>K265*-139.9595</f>
        <v>0</v>
      </c>
      <c r="L269">
        <f>L265*120.6695</f>
        <v>0</v>
      </c>
      <c r="M269">
        <f>M265*-310.9325</f>
        <v>0</v>
      </c>
      <c r="N269">
        <f>E269+F269+G269+H269+I269+J269+K269+L269</f>
        <v>0</v>
      </c>
      <c r="O269">
        <f>E269+F269+G269+H269+I269+J269+K269+M269</f>
        <v>0</v>
      </c>
    </row>
    <row r="270" spans="3:15">
      <c r="C270">
        <f>3.0</f>
        <v>0</v>
      </c>
      <c r="D270">
        <f>3.0</f>
        <v>0</v>
      </c>
      <c r="E270">
        <f>E265*-1.8919999999999997</f>
        <v>0</v>
      </c>
      <c r="F270">
        <f>F265*-174.9605</f>
        <v>0</v>
      </c>
      <c r="G270">
        <f>G265*-26.094</f>
        <v>0</v>
      </c>
      <c r="H270">
        <f>H265*0.0</f>
        <v>0</v>
      </c>
      <c r="I270">
        <f>I265*-0.054000000000000006</f>
        <v>0</v>
      </c>
      <c r="J270">
        <f>J265*249.902</f>
        <v>0</v>
      </c>
      <c r="K270">
        <f>K265*-187.426</f>
        <v>0</v>
      </c>
      <c r="L270">
        <f>L265*95.0625</f>
        <v>0</v>
      </c>
      <c r="M270">
        <f>M265*-355.21500000000003</f>
        <v>0</v>
      </c>
      <c r="N270">
        <f>E270+F270+G270+H270+I270+J270+K270+L270</f>
        <v>0</v>
      </c>
      <c r="O270">
        <f>E270+F270+G270+H270+I270+J270+K270+M270</f>
        <v>0</v>
      </c>
    </row>
    <row r="271" spans="3:15">
      <c r="C271">
        <f>4.0</f>
        <v>0</v>
      </c>
      <c r="D271">
        <f>4.0</f>
        <v>0</v>
      </c>
      <c r="E271">
        <f>E265*-15.200000000000001</f>
        <v>0</v>
      </c>
      <c r="F271">
        <f>F265*-231.77299999999997</f>
        <v>0</v>
      </c>
      <c r="G271">
        <f>G265*-33.6445</f>
        <v>0</v>
      </c>
      <c r="H271">
        <f>H265*0.0</f>
        <v>0</v>
      </c>
      <c r="I271">
        <f>I265*-0.053</f>
        <v>0</v>
      </c>
      <c r="J271">
        <f>J265*234.192</f>
        <v>0</v>
      </c>
      <c r="K271">
        <f>K265*-175.644</f>
        <v>0</v>
      </c>
      <c r="L271">
        <f>L265*67.90100000000001</f>
        <v>0</v>
      </c>
      <c r="M271">
        <f>M265*-396.9805</f>
        <v>0</v>
      </c>
      <c r="N271">
        <f>E271+F271+G271+H271+I271+J271+K271+L271</f>
        <v>0</v>
      </c>
      <c r="O271">
        <f>E271+F271+G271+H271+I271+J271+K271+M271</f>
        <v>0</v>
      </c>
    </row>
    <row r="272" spans="3:15">
      <c r="C272">
        <f>5.0</f>
        <v>0</v>
      </c>
      <c r="D272">
        <f>5.0</f>
        <v>0</v>
      </c>
      <c r="E272">
        <f>E265*-25.386499999999998</f>
        <v>0</v>
      </c>
      <c r="F272">
        <f>F265*-276.785</f>
        <v>0</v>
      </c>
      <c r="G272">
        <f>G265*-39.6675</f>
        <v>0</v>
      </c>
      <c r="H272">
        <f>H265*0.0</f>
        <v>0</v>
      </c>
      <c r="I272">
        <f>I265*-0.051500000000000004</f>
        <v>0</v>
      </c>
      <c r="J272">
        <f>J265*222.84199999999998</f>
        <v>0</v>
      </c>
      <c r="K272">
        <f>K265*-167.13099999999997</f>
        <v>0</v>
      </c>
      <c r="L272">
        <f>L265*49.039</f>
        <v>0</v>
      </c>
      <c r="M272">
        <f>M265*-431.158</f>
        <v>0</v>
      </c>
      <c r="N272">
        <f>E272+F272+G272+H272+I272+J272+K272+L272</f>
        <v>0</v>
      </c>
      <c r="O272">
        <f>E272+F272+G272+H272+I272+J272+K272+M272</f>
        <v>0</v>
      </c>
    </row>
    <row r="273" spans="3:15">
      <c r="C273">
        <f>6.0</f>
        <v>0</v>
      </c>
      <c r="D273">
        <f>6.0</f>
        <v>0</v>
      </c>
      <c r="E273">
        <f>E265*-30.116500000000002</f>
        <v>0</v>
      </c>
      <c r="F273">
        <f>F265*-310.406</f>
        <v>0</v>
      </c>
      <c r="G273">
        <f>G265*-44.43300000000001</f>
        <v>0</v>
      </c>
      <c r="H273">
        <f>H265*0.0</f>
        <v>0</v>
      </c>
      <c r="I273">
        <f>I265*-0.05</f>
        <v>0</v>
      </c>
      <c r="J273">
        <f>J265*262.2105</f>
        <v>0</v>
      </c>
      <c r="K273">
        <f>K265*-196.658</f>
        <v>0</v>
      </c>
      <c r="L273">
        <f>L265*39.316</f>
        <v>0</v>
      </c>
      <c r="M273">
        <f>M265*-466.308</f>
        <v>0</v>
      </c>
      <c r="N273">
        <f>E273+F273+G273+H273+I273+J273+K273+L273</f>
        <v>0</v>
      </c>
      <c r="O273">
        <f>E273+F273+G273+H273+I273+J273+K273+M273</f>
        <v>0</v>
      </c>
    </row>
    <row r="274" spans="3:15">
      <c r="C274">
        <f>7.0</f>
        <v>0</v>
      </c>
      <c r="D274">
        <f>7.0</f>
        <v>0</v>
      </c>
      <c r="E274">
        <f>E265*-33.0505</f>
        <v>0</v>
      </c>
      <c r="F274">
        <f>F265*-341.75800000000004</f>
        <v>0</v>
      </c>
      <c r="G274">
        <f>G265*-48.99250000000001</f>
        <v>0</v>
      </c>
      <c r="H274">
        <f>H265*0.0</f>
        <v>0</v>
      </c>
      <c r="I274">
        <f>I265*-0.0495</f>
        <v>0</v>
      </c>
      <c r="J274">
        <f>J265*318.904</f>
        <v>0</v>
      </c>
      <c r="K274">
        <f>K265*-239.178</f>
        <v>0</v>
      </c>
      <c r="L274">
        <f>L265*34.6525</f>
        <v>0</v>
      </c>
      <c r="M274">
        <f>M265*-502.81050000000005</f>
        <v>0</v>
      </c>
      <c r="N274">
        <f>E274+F274+G274+H274+I274+J274+K274+L274</f>
        <v>0</v>
      </c>
      <c r="O274">
        <f>E274+F274+G274+H274+I274+J274+K274+M274</f>
        <v>0</v>
      </c>
    </row>
    <row r="275" spans="3:15">
      <c r="C275">
        <f>8.0</f>
        <v>0</v>
      </c>
      <c r="D275">
        <f>8.0</f>
        <v>0</v>
      </c>
      <c r="E275">
        <f>E265*-37.434</f>
        <v>0</v>
      </c>
      <c r="F275">
        <f>F265*-360.292</f>
        <v>0</v>
      </c>
      <c r="G275">
        <f>G265*-51.4935</f>
        <v>0</v>
      </c>
      <c r="H275">
        <f>H265*0.0</f>
        <v>0</v>
      </c>
      <c r="I275">
        <f>I265*-0.05</f>
        <v>0</v>
      </c>
      <c r="J275">
        <f>J265*334.364</f>
        <v>0</v>
      </c>
      <c r="K275">
        <f>K265*-250.77299999999997</f>
        <v>0</v>
      </c>
      <c r="L275">
        <f>L265*30.0765</f>
        <v>0</v>
      </c>
      <c r="M275">
        <f>M265*-518.9590000000001</f>
        <v>0</v>
      </c>
      <c r="N275">
        <f>E275+F275+G275+H275+I275+J275+K275+L275</f>
        <v>0</v>
      </c>
      <c r="O275">
        <f>E275+F275+G275+H275+I275+J275+K275+M275</f>
        <v>0</v>
      </c>
    </row>
    <row r="276" spans="3:15">
      <c r="C276">
        <f>9.0</f>
        <v>0</v>
      </c>
      <c r="D276">
        <f>9.0</f>
        <v>0</v>
      </c>
      <c r="E276">
        <f>E265*-43.4785</f>
        <v>0</v>
      </c>
      <c r="F276">
        <f>F265*-364.523</f>
        <v>0</v>
      </c>
      <c r="G276">
        <f>G265*-51.699</f>
        <v>0</v>
      </c>
      <c r="H276">
        <f>H265*0.0</f>
        <v>0</v>
      </c>
      <c r="I276">
        <f>I265*-0.051500000000000004</f>
        <v>0</v>
      </c>
      <c r="J276">
        <f>J265*312.709</f>
        <v>0</v>
      </c>
      <c r="K276">
        <f>K265*-234.5315</f>
        <v>0</v>
      </c>
      <c r="L276">
        <f>L265*24.792499999999997</f>
        <v>0</v>
      </c>
      <c r="M276">
        <f>M265*-514.566</f>
        <v>0</v>
      </c>
      <c r="N276">
        <f>E276+F276+G276+H276+I276+J276+K276+L276</f>
        <v>0</v>
      </c>
      <c r="O276">
        <f>E276+F276+G276+H276+I276+J276+K276+M276</f>
        <v>0</v>
      </c>
    </row>
    <row r="277" spans="3:15">
      <c r="C277">
        <f>10.0</f>
        <v>0</v>
      </c>
      <c r="D277">
        <f>10.0</f>
        <v>0</v>
      </c>
      <c r="E277">
        <f>E265*-46.567499999999995</f>
        <v>0</v>
      </c>
      <c r="F277">
        <f>F265*-361.67</f>
        <v>0</v>
      </c>
      <c r="G277">
        <f>G265*-51.064</f>
        <v>0</v>
      </c>
      <c r="H277">
        <f>H265*0.0</f>
        <v>0</v>
      </c>
      <c r="I277">
        <f>I265*-0.052500000000000005</f>
        <v>0</v>
      </c>
      <c r="J277">
        <f>J265*299.5135</f>
        <v>0</v>
      </c>
      <c r="K277">
        <f>K265*-224.63549999999998</f>
        <v>0</v>
      </c>
      <c r="L277">
        <f>L265*24.6475</f>
        <v>0</v>
      </c>
      <c r="M277">
        <f>M265*-505.93</f>
        <v>0</v>
      </c>
      <c r="N277">
        <f>E277+F277+G277+H277+I277+J277+K277+L277</f>
        <v>0</v>
      </c>
      <c r="O277">
        <f>E277+F277+G277+H277+I277+J277+K277+M277</f>
        <v>0</v>
      </c>
    </row>
    <row r="278" spans="3:15">
      <c r="C278">
        <f>11.0</f>
        <v>0</v>
      </c>
      <c r="D278">
        <f>11.0</f>
        <v>0</v>
      </c>
      <c r="E278">
        <f>E265*-43.459999999999994</f>
        <v>0</v>
      </c>
      <c r="F278">
        <f>F265*-351.94399999999996</f>
        <v>0</v>
      </c>
      <c r="G278">
        <f>G265*-49.87949999999999</f>
        <v>0</v>
      </c>
      <c r="H278">
        <f>H265*0.0</f>
        <v>0</v>
      </c>
      <c r="I278">
        <f>I265*-0.05450000000000001</f>
        <v>0</v>
      </c>
      <c r="J278">
        <f>J265*322.27049999999997</f>
        <v>0</v>
      </c>
      <c r="K278">
        <f>K265*-241.70350000000002</f>
        <v>0</v>
      </c>
      <c r="L278">
        <f>L265*26.811500000000002</f>
        <v>0</v>
      </c>
      <c r="M278">
        <f>M265*-495.635</f>
        <v>0</v>
      </c>
      <c r="N278">
        <f>E278+F278+G278+H278+I278+J278+K278+L278</f>
        <v>0</v>
      </c>
      <c r="O278">
        <f>E278+F278+G278+H278+I278+J278+K278+M278</f>
        <v>0</v>
      </c>
    </row>
    <row r="279" spans="3:15">
      <c r="C279">
        <f>12.0</f>
        <v>0</v>
      </c>
      <c r="D279">
        <f>12.0</f>
        <v>0</v>
      </c>
      <c r="E279">
        <f>E265*-37.772499999999994</f>
        <v>0</v>
      </c>
      <c r="F279">
        <f>F265*-336.243</f>
        <v>0</v>
      </c>
      <c r="G279">
        <f>G265*-47.9945</f>
        <v>0</v>
      </c>
      <c r="H279">
        <f>H265*0.0</f>
        <v>0</v>
      </c>
      <c r="I279">
        <f>I265*-0.057499999999999996</f>
        <v>0</v>
      </c>
      <c r="J279">
        <f>J265*356.671</f>
        <v>0</v>
      </c>
      <c r="K279">
        <f>K265*-267.50350000000003</f>
        <v>0</v>
      </c>
      <c r="L279">
        <f>L265*28.4255</f>
        <v>0</v>
      </c>
      <c r="M279">
        <f>M265*-482.731</f>
        <v>0</v>
      </c>
      <c r="N279">
        <f>E279+F279+G279+H279+I279+J279+K279+L279</f>
        <v>0</v>
      </c>
      <c r="O279">
        <f>E279+F279+G279+H279+I279+J279+K279+M279</f>
        <v>0</v>
      </c>
    </row>
    <row r="280" spans="3:15">
      <c r="C280">
        <f>13.0</f>
        <v>0</v>
      </c>
      <c r="D280">
        <f>13.0</f>
        <v>0</v>
      </c>
      <c r="E280">
        <f>E265*-34.308</f>
        <v>0</v>
      </c>
      <c r="F280">
        <f>F265*-307.294</f>
        <v>0</v>
      </c>
      <c r="G280">
        <f>G265*-43.9165</f>
        <v>0</v>
      </c>
      <c r="H280">
        <f>H265*0.0</f>
        <v>0</v>
      </c>
      <c r="I280">
        <f>I265*-0.0595</f>
        <v>0</v>
      </c>
      <c r="J280">
        <f>J265*360.39650000000006</f>
        <v>0</v>
      </c>
      <c r="K280">
        <f>K265*-270.298</f>
        <v>0</v>
      </c>
      <c r="L280">
        <f>L265*30.378</f>
        <v>0</v>
      </c>
      <c r="M280">
        <f>M265*-447.03049999999996</f>
        <v>0</v>
      </c>
      <c r="N280">
        <f>E280+F280+G280+H280+I280+J280+K280+L280</f>
        <v>0</v>
      </c>
      <c r="O280">
        <f>E280+F280+G280+H280+I280+J280+K280+M280</f>
        <v>0</v>
      </c>
    </row>
    <row r="281" spans="3:15">
      <c r="C281">
        <f>14.0</f>
        <v>0</v>
      </c>
      <c r="D281">
        <f>14.0</f>
        <v>0</v>
      </c>
      <c r="E281">
        <f>E265*-33.213499999999996</f>
        <v>0</v>
      </c>
      <c r="F281">
        <f>F265*-267.8175</f>
        <v>0</v>
      </c>
      <c r="G281">
        <f>G265*-38.038000000000004</f>
        <v>0</v>
      </c>
      <c r="H281">
        <f>H265*0.0</f>
        <v>0</v>
      </c>
      <c r="I281">
        <f>I265*-0.059000000000000004</f>
        <v>0</v>
      </c>
      <c r="J281">
        <f>J265*332.015</f>
        <v>0</v>
      </c>
      <c r="K281">
        <f>K265*-249.0115</f>
        <v>0</v>
      </c>
      <c r="L281">
        <f>L265*30.481</f>
        <v>0</v>
      </c>
      <c r="M281">
        <f>M265*-387.46349999999995</f>
        <v>0</v>
      </c>
      <c r="N281">
        <f>E281+F281+G281+H281+I281+J281+K281+L281</f>
        <v>0</v>
      </c>
      <c r="O281">
        <f>E281+F281+G281+H281+I281+J281+K281+M281</f>
        <v>0</v>
      </c>
    </row>
    <row r="282" spans="3:15">
      <c r="C282">
        <f>15.0</f>
        <v>0</v>
      </c>
      <c r="D282">
        <f>15.0</f>
        <v>0</v>
      </c>
      <c r="E282">
        <f>E265*-30.5595</f>
        <v>0</v>
      </c>
      <c r="F282">
        <f>F265*-226.51600000000002</f>
        <v>0</v>
      </c>
      <c r="G282">
        <f>G265*-32.013999999999996</f>
        <v>0</v>
      </c>
      <c r="H282">
        <f>H265*0.0</f>
        <v>0</v>
      </c>
      <c r="I282">
        <f>I265*-0.0595</f>
        <v>0</v>
      </c>
      <c r="J282">
        <f>J265*318.21299999999997</f>
        <v>0</v>
      </c>
      <c r="K282">
        <f>K265*-238.66</f>
        <v>0</v>
      </c>
      <c r="L282">
        <f>L265*30.653499999999998</f>
        <v>0</v>
      </c>
      <c r="M282">
        <f>M265*-326.962</f>
        <v>0</v>
      </c>
      <c r="N282">
        <f>E282+F282+G282+H282+I282+J282+K282+L282</f>
        <v>0</v>
      </c>
      <c r="O282">
        <f>E282+F282+G282+H282+I282+J282+K282+M282</f>
        <v>0</v>
      </c>
    </row>
    <row r="283" spans="3:15">
      <c r="C283">
        <f>15.91</f>
        <v>0</v>
      </c>
      <c r="D283">
        <f>15.91</f>
        <v>0</v>
      </c>
      <c r="E283">
        <f>E265*-22.679000000000002</f>
        <v>0</v>
      </c>
      <c r="F283">
        <f>F265*-174.487</f>
        <v>0</v>
      </c>
      <c r="G283">
        <f>G265*-24.838500000000003</f>
        <v>0</v>
      </c>
      <c r="H283">
        <f>H265*0.0</f>
        <v>0</v>
      </c>
      <c r="I283">
        <f>I265*-0.0615</f>
        <v>0</v>
      </c>
      <c r="J283">
        <f>J265*341.519</f>
        <v>0</v>
      </c>
      <c r="K283">
        <f>K265*-256.1395</f>
        <v>0</v>
      </c>
      <c r="L283">
        <f>L265*33.4865</f>
        <v>0</v>
      </c>
      <c r="M283">
        <f>M265*-259.44</f>
        <v>0</v>
      </c>
      <c r="N283">
        <f>E283+F283+G283+H283+I283+J283+K283+L283</f>
        <v>0</v>
      </c>
      <c r="O283">
        <f>E283+F283+G283+H283+I283+J283+K283+M283</f>
        <v>0</v>
      </c>
    </row>
    <row r="284" spans="3:15">
      <c r="C284">
        <f>16.82</f>
        <v>0</v>
      </c>
      <c r="D284">
        <f>16.82</f>
        <v>0</v>
      </c>
      <c r="E284">
        <f>E265*-12.314</f>
        <v>0</v>
      </c>
      <c r="F284">
        <f>F265*-117.93</f>
        <v>0</v>
      </c>
      <c r="G284">
        <f>G265*-17.1625</f>
        <v>0</v>
      </c>
      <c r="H284">
        <f>H265*0.0</f>
        <v>0</v>
      </c>
      <c r="I284">
        <f>I265*-0.06</f>
        <v>0</v>
      </c>
      <c r="J284">
        <f>J265*373.649</f>
        <v>0</v>
      </c>
      <c r="K284">
        <f>K265*-280.2365</f>
        <v>0</v>
      </c>
      <c r="L284">
        <f>L265*34.727000000000004</f>
        <v>0</v>
      </c>
      <c r="M284">
        <f>M265*-187.82350000000002</f>
        <v>0</v>
      </c>
      <c r="N284">
        <f>E284+F284+G284+H284+I284+J284+K284+L284</f>
        <v>0</v>
      </c>
      <c r="O284">
        <f>E284+F284+G284+H284+I284+J284+K284+M284</f>
        <v>0</v>
      </c>
    </row>
    <row r="285" spans="3:15">
      <c r="C285">
        <f>17.73</f>
        <v>0</v>
      </c>
      <c r="D285">
        <f>17.73</f>
        <v>0</v>
      </c>
      <c r="E285">
        <f>E265*-5.531499999999999</f>
        <v>0</v>
      </c>
      <c r="F285">
        <f>F265*-74.5975</f>
        <v>0</v>
      </c>
      <c r="G285">
        <f>G265*-11.1265</f>
        <v>0</v>
      </c>
      <c r="H285">
        <f>H265*0.0</f>
        <v>0</v>
      </c>
      <c r="I285">
        <f>I265*-0.05</f>
        <v>0</v>
      </c>
      <c r="J285">
        <f>J265*360.7425</f>
        <v>0</v>
      </c>
      <c r="K285">
        <f>K265*-270.55649999999997</f>
        <v>0</v>
      </c>
      <c r="L285">
        <f>L265*30.093000000000004</f>
        <v>0</v>
      </c>
      <c r="M285">
        <f>M265*-127.91300000000001</f>
        <v>0</v>
      </c>
      <c r="N285">
        <f>E285+F285+G285+H285+I285+J285+K285+L285</f>
        <v>0</v>
      </c>
      <c r="O285">
        <f>E285+F285+G285+H285+I285+J285+K285+M285</f>
        <v>0</v>
      </c>
    </row>
    <row r="286" spans="3:15">
      <c r="C286">
        <f>18.64</f>
        <v>0</v>
      </c>
      <c r="D286">
        <f>18.64</f>
        <v>0</v>
      </c>
      <c r="E286">
        <f>E265*-1.5335</f>
        <v>0</v>
      </c>
      <c r="F286">
        <f>F265*-34.3115</f>
        <v>0</v>
      </c>
      <c r="G286">
        <f>G265*-5.2410000000000005</f>
        <v>0</v>
      </c>
      <c r="H286">
        <f>H265*0.0</f>
        <v>0</v>
      </c>
      <c r="I286">
        <f>I265*-0.027500000000000004</f>
        <v>0</v>
      </c>
      <c r="J286">
        <f>J265*291.86300000000006</f>
        <v>0</v>
      </c>
      <c r="K286">
        <f>K265*-218.8975</f>
        <v>0</v>
      </c>
      <c r="L286">
        <f>L265*19.953</f>
        <v>0</v>
      </c>
      <c r="M286">
        <f>M265*-65.3365</f>
        <v>0</v>
      </c>
      <c r="N286">
        <f>E286+F286+G286+H286+I286+J286+K286+L286</f>
        <v>0</v>
      </c>
      <c r="O286">
        <f>E286+F286+G286+H286+I286+J286+K286+M286</f>
        <v>0</v>
      </c>
    </row>
    <row r="287" spans="3:15">
      <c r="C287">
        <f>19.55</f>
        <v>0</v>
      </c>
      <c r="D287">
        <f>19.55</f>
        <v>0</v>
      </c>
      <c r="E287">
        <f>E265*-0.643</f>
        <v>0</v>
      </c>
      <c r="F287">
        <f>F265*-13.8765</f>
        <v>0</v>
      </c>
      <c r="G287">
        <f>G265*-2.107</f>
        <v>0</v>
      </c>
      <c r="H287">
        <f>H265*0.0</f>
        <v>0</v>
      </c>
      <c r="I287">
        <f>I265*-0.006649</f>
        <v>0</v>
      </c>
      <c r="J287">
        <f>J265*219.37199999999999</f>
        <v>0</v>
      </c>
      <c r="K287">
        <f>K265*-164.529</f>
        <v>0</v>
      </c>
      <c r="L287">
        <f>L265*10.779499999999999</f>
        <v>0</v>
      </c>
      <c r="M287">
        <f>M265*-26.064999999999998</f>
        <v>0</v>
      </c>
      <c r="N287">
        <f>E287+F287+G287+H287+I287+J287+K287+L287</f>
        <v>0</v>
      </c>
      <c r="O287">
        <f>E287+F287+G287+H287+I287+J287+K287+M287</f>
        <v>0</v>
      </c>
    </row>
    <row r="288" spans="3:15">
      <c r="C288">
        <f>20.0</f>
        <v>0</v>
      </c>
      <c r="D288">
        <f>20.0</f>
        <v>0</v>
      </c>
      <c r="E288">
        <f>E265*-1.185</f>
        <v>0</v>
      </c>
      <c r="F288">
        <f>F265*-14.287</f>
        <v>0</v>
      </c>
      <c r="G288">
        <f>G265*-2.112</f>
        <v>0</v>
      </c>
      <c r="H288">
        <f>H265*0.0</f>
        <v>0</v>
      </c>
      <c r="I288">
        <f>I265*-0.0032979999999999997</f>
        <v>0</v>
      </c>
      <c r="J288">
        <f>J265*204.148</f>
        <v>0</v>
      </c>
      <c r="K288">
        <f>K265*-153.111</f>
        <v>0</v>
      </c>
      <c r="L288">
        <f>L265*8.846</f>
        <v>0</v>
      </c>
      <c r="M288">
        <f>M265*-24.316</f>
        <v>0</v>
      </c>
      <c r="N288">
        <f>E288+F288+G288+H288+I288+J288+K288+L288</f>
        <v>0</v>
      </c>
      <c r="O288">
        <f>E288+F288+G288+H288+I288+J288+K288+M288</f>
        <v>0</v>
      </c>
    </row>
    <row r="289" spans="3:15">
      <c r="C289">
        <f>20.0</f>
        <v>0</v>
      </c>
      <c r="D289">
        <f>0.0</f>
        <v>0</v>
      </c>
      <c r="E289">
        <f>E265*-1.412</f>
        <v>0</v>
      </c>
      <c r="F289">
        <f>F265*-11.868</f>
        <v>0</v>
      </c>
      <c r="G289">
        <f>G265*-1.7480000000000002</f>
        <v>0</v>
      </c>
      <c r="H289">
        <f>H265*0.0</f>
        <v>0</v>
      </c>
      <c r="I289">
        <f>I265*0.284</f>
        <v>0</v>
      </c>
      <c r="J289">
        <f>J265*208.505</f>
        <v>0</v>
      </c>
      <c r="K289">
        <f>K265*-156.379</f>
        <v>0</v>
      </c>
      <c r="L289">
        <f>L265*4.235</f>
        <v>0</v>
      </c>
      <c r="M289">
        <f>M265*-24.018</f>
        <v>0</v>
      </c>
      <c r="N289">
        <f>E289+F289+G289+H289+I289+J289+K289+L289</f>
        <v>0</v>
      </c>
      <c r="O289">
        <f>E289+F289+G289+H289+I289+J289+K289+M289</f>
        <v>0</v>
      </c>
    </row>
    <row r="290" spans="3:15">
      <c r="C290">
        <f>20.45</f>
        <v>0</v>
      </c>
      <c r="D290">
        <f>0.45</f>
        <v>0</v>
      </c>
      <c r="E290">
        <f>E265*0.4690000000000001</f>
        <v>0</v>
      </c>
      <c r="F290">
        <f>F265*-21.003</f>
        <v>0</v>
      </c>
      <c r="G290">
        <f>G265*-3.1990000000000003</f>
        <v>0</v>
      </c>
      <c r="H290">
        <f>H265*0.0</f>
        <v>0</v>
      </c>
      <c r="I290">
        <f>I265*-0.902</f>
        <v>0</v>
      </c>
      <c r="J290">
        <f>J265*202.279</f>
        <v>0</v>
      </c>
      <c r="K290">
        <f>K265*-151.709</f>
        <v>0</v>
      </c>
      <c r="L290">
        <f>L265*30.058</f>
        <v>0</v>
      </c>
      <c r="M290">
        <f>M265*-59.288</f>
        <v>0</v>
      </c>
      <c r="N290">
        <f>E290+F290+G290+H290+I290+J290+K290+L290</f>
        <v>0</v>
      </c>
      <c r="O290">
        <f>E290+F290+G290+H290+I290+J290+K290+M290</f>
        <v>0</v>
      </c>
    </row>
    <row r="291" spans="3:15">
      <c r="C291">
        <f>21.36</f>
        <v>0</v>
      </c>
      <c r="D291">
        <f>1.36</f>
        <v>0</v>
      </c>
      <c r="E291">
        <f>E265*0.9280000000000002</f>
        <v>0</v>
      </c>
      <c r="F291">
        <f>F265*-48.370999999999995</f>
        <v>0</v>
      </c>
      <c r="G291">
        <f>G265*-7.411499999999999</f>
        <v>0</v>
      </c>
      <c r="H291">
        <f>H265*0.0</f>
        <v>0</v>
      </c>
      <c r="I291">
        <f>I265*-1.589</f>
        <v>0</v>
      </c>
      <c r="J291">
        <f>J265*255.0285</f>
        <v>0</v>
      </c>
      <c r="K291">
        <f>K265*-191.27100000000002</f>
        <v>0</v>
      </c>
      <c r="L291">
        <f>L265*38.6035</f>
        <v>0</v>
      </c>
      <c r="M291">
        <f>M265*-111.876</f>
        <v>0</v>
      </c>
      <c r="N291">
        <f>E291+F291+G291+H291+I291+J291+K291+L291</f>
        <v>0</v>
      </c>
      <c r="O291">
        <f>E291+F291+G291+H291+I291+J291+K291+M291</f>
        <v>0</v>
      </c>
    </row>
    <row r="292" spans="3:15">
      <c r="C292">
        <f>22.27</f>
        <v>0</v>
      </c>
      <c r="D292">
        <f>2.27</f>
        <v>0</v>
      </c>
      <c r="E292">
        <f>E265*-2.9695</f>
        <v>0</v>
      </c>
      <c r="F292">
        <f>F265*-84.3695</f>
        <v>0</v>
      </c>
      <c r="G292">
        <f>G265*-12.682500000000001</f>
        <v>0</v>
      </c>
      <c r="H292">
        <f>H265*0.0</f>
        <v>0</v>
      </c>
      <c r="I292">
        <f>I265*-0.786</f>
        <v>0</v>
      </c>
      <c r="J292">
        <f>J265*325.72799999999995</f>
        <v>0</v>
      </c>
      <c r="K292">
        <f>K265*-244.296</f>
        <v>0</v>
      </c>
      <c r="L292">
        <f>L265*24.961</f>
        <v>0</v>
      </c>
      <c r="M292">
        <f>M265*-150.315</f>
        <v>0</v>
      </c>
      <c r="N292">
        <f>E292+F292+G292+H292+I292+J292+K292+L292</f>
        <v>0</v>
      </c>
      <c r="O292">
        <f>E292+F292+G292+H292+I292+J292+K292+M292</f>
        <v>0</v>
      </c>
    </row>
    <row r="293" spans="3:15">
      <c r="C293">
        <f>23.18</f>
        <v>0</v>
      </c>
      <c r="D293">
        <f>3.18</f>
        <v>0</v>
      </c>
      <c r="E293">
        <f>E265*-9.5885</f>
        <v>0</v>
      </c>
      <c r="F293">
        <f>F265*-123.2115</f>
        <v>0</v>
      </c>
      <c r="G293">
        <f>G265*-18.08</f>
        <v>0</v>
      </c>
      <c r="H293">
        <f>H265*0.0</f>
        <v>0</v>
      </c>
      <c r="I293">
        <f>I265*0.09799999999999998</f>
        <v>0</v>
      </c>
      <c r="J293">
        <f>J265*339.716</f>
        <v>0</v>
      </c>
      <c r="K293">
        <f>K265*-254.78699999999998</f>
        <v>0</v>
      </c>
      <c r="L293">
        <f>L265*22.705</f>
        <v>0</v>
      </c>
      <c r="M293">
        <f>M265*-195.082</f>
        <v>0</v>
      </c>
      <c r="N293">
        <f>E293+F293+G293+H293+I293+J293+K293+L293</f>
        <v>0</v>
      </c>
      <c r="O293">
        <f>E293+F293+G293+H293+I293+J293+K293+M293</f>
        <v>0</v>
      </c>
    </row>
    <row r="294" spans="3:15">
      <c r="C294">
        <f>24.09</f>
        <v>0</v>
      </c>
      <c r="D294">
        <f>4.09</f>
        <v>0</v>
      </c>
      <c r="E294">
        <f>E265*-19.6995</f>
        <v>0</v>
      </c>
      <c r="F294">
        <f>F265*-174.873</f>
        <v>0</v>
      </c>
      <c r="G294">
        <f>G265*-25.063</f>
        <v>0</v>
      </c>
      <c r="H294">
        <f>H265*0.0</f>
        <v>0</v>
      </c>
      <c r="I294">
        <f>I265*1.1145</f>
        <v>0</v>
      </c>
      <c r="J294">
        <f>J265*308.03</f>
        <v>0</v>
      </c>
      <c r="K294">
        <f>K265*-231.0225</f>
        <v>0</v>
      </c>
      <c r="L294">
        <f>L265*20.142</f>
        <v>0</v>
      </c>
      <c r="M294">
        <f>M265*-254.565</f>
        <v>0</v>
      </c>
      <c r="N294">
        <f>E294+F294+G294+H294+I294+J294+K294+L294</f>
        <v>0</v>
      </c>
      <c r="O294">
        <f>E294+F294+G294+H294+I294+J294+K294+M294</f>
        <v>0</v>
      </c>
    </row>
    <row r="295" spans="3:15">
      <c r="C295">
        <f>25.0</f>
        <v>0</v>
      </c>
      <c r="D295">
        <f>5.0</f>
        <v>0</v>
      </c>
      <c r="E295">
        <f>E265*-27.3425</f>
        <v>0</v>
      </c>
      <c r="F295">
        <f>F265*-221.6535</f>
        <v>0</v>
      </c>
      <c r="G295">
        <f>G265*-31.496499999999997</f>
        <v>0</v>
      </c>
      <c r="H295">
        <f>H265*0.0</f>
        <v>0</v>
      </c>
      <c r="I295">
        <f>I265*2.261</f>
        <v>0</v>
      </c>
      <c r="J295">
        <f>J265*285.51250000000005</f>
        <v>0</v>
      </c>
      <c r="K295">
        <f>K265*-214.13400000000001</f>
        <v>0</v>
      </c>
      <c r="L295">
        <f>L265*17.608</f>
        <v>0</v>
      </c>
      <c r="M295">
        <f>M265*-311.1485</f>
        <v>0</v>
      </c>
      <c r="N295">
        <f>E295+F295+G295+H295+I295+J295+K295+L295</f>
        <v>0</v>
      </c>
      <c r="O295">
        <f>E295+F295+G295+H295+I295+J295+K295+M295</f>
        <v>0</v>
      </c>
    </row>
    <row r="296" spans="3:15">
      <c r="C296">
        <f>26.0</f>
        <v>0</v>
      </c>
      <c r="D296">
        <f>6.0</f>
        <v>0</v>
      </c>
      <c r="E296">
        <f>E265*-29.836999999999996</f>
        <v>0</v>
      </c>
      <c r="F296">
        <f>F265*-257.0945</f>
        <v>0</v>
      </c>
      <c r="G296">
        <f>G265*-36.686</f>
        <v>0</v>
      </c>
      <c r="H296">
        <f>H265*0.0</f>
        <v>0</v>
      </c>
      <c r="I296">
        <f>I265*3.6494999999999997</f>
        <v>0</v>
      </c>
      <c r="J296">
        <f>J265*301.2445</f>
        <v>0</v>
      </c>
      <c r="K296">
        <f>K265*-225.9335</f>
        <v>0</v>
      </c>
      <c r="L296">
        <f>L265*17.2165</f>
        <v>0</v>
      </c>
      <c r="M296">
        <f>M265*-362.96900000000005</f>
        <v>0</v>
      </c>
      <c r="N296">
        <f>E296+F296+G296+H296+I296+J296+K296+L296</f>
        <v>0</v>
      </c>
      <c r="O296">
        <f>E296+F296+G296+H296+I296+J296+K296+M296</f>
        <v>0</v>
      </c>
    </row>
    <row r="297" spans="3:15">
      <c r="C297">
        <f>27.0</f>
        <v>0</v>
      </c>
      <c r="D297">
        <f>7.0</f>
        <v>0</v>
      </c>
      <c r="E297">
        <f>E265*-30.8035</f>
        <v>0</v>
      </c>
      <c r="F297">
        <f>F265*-290.227</f>
        <v>0</v>
      </c>
      <c r="G297">
        <f>G265*-41.6565</f>
        <v>0</v>
      </c>
      <c r="H297">
        <f>H265*0.0</f>
        <v>0</v>
      </c>
      <c r="I297">
        <f>I265*5.2355</f>
        <v>0</v>
      </c>
      <c r="J297">
        <f>J265*332.55649999999997</f>
        <v>0</v>
      </c>
      <c r="K297">
        <f>K265*-249.418</f>
        <v>0</v>
      </c>
      <c r="L297">
        <f>L265*18.206000000000003</f>
        <v>0</v>
      </c>
      <c r="M297">
        <f>M265*-412.81</f>
        <v>0</v>
      </c>
      <c r="N297">
        <f>E297+F297+G297+H297+I297+J297+K297+L297</f>
        <v>0</v>
      </c>
      <c r="O297">
        <f>E297+F297+G297+H297+I297+J297+K297+M297</f>
        <v>0</v>
      </c>
    </row>
    <row r="298" spans="3:15">
      <c r="C298">
        <f>28.0</f>
        <v>0</v>
      </c>
      <c r="D298">
        <f>8.0</f>
        <v>0</v>
      </c>
      <c r="E298">
        <f>E265*-34.20099999999999</f>
        <v>0</v>
      </c>
      <c r="F298">
        <f>F265*-313.017</f>
        <v>0</v>
      </c>
      <c r="G298">
        <f>G265*-44.851000000000006</f>
        <v>0</v>
      </c>
      <c r="H298">
        <f>H265*0.0</f>
        <v>0</v>
      </c>
      <c r="I298">
        <f>I265*7.2684999999999995</f>
        <v>0</v>
      </c>
      <c r="J298">
        <f>J265*332.41200000000003</f>
        <v>0</v>
      </c>
      <c r="K298">
        <f>K265*-249.309</f>
        <v>0</v>
      </c>
      <c r="L298">
        <f>L265*17.5805</f>
        <v>0</v>
      </c>
      <c r="M298">
        <f>M265*-439.3185</f>
        <v>0</v>
      </c>
      <c r="N298">
        <f>E298+F298+G298+H298+I298+J298+K298+L298</f>
        <v>0</v>
      </c>
      <c r="O298">
        <f>E298+F298+G298+H298+I298+J298+K298+M298</f>
        <v>0</v>
      </c>
    </row>
    <row r="299" spans="3:15">
      <c r="C299">
        <f>29.0</f>
        <v>0</v>
      </c>
      <c r="D299">
        <f>9.0</f>
        <v>0</v>
      </c>
      <c r="E299">
        <f>E265*-39.9935</f>
        <v>0</v>
      </c>
      <c r="F299">
        <f>F265*-322.8835</f>
        <v>0</v>
      </c>
      <c r="G299">
        <f>G265*-45.890499999999996</f>
        <v>0</v>
      </c>
      <c r="H299">
        <f>H265*0.0</f>
        <v>0</v>
      </c>
      <c r="I299">
        <f>I265*9.907</f>
        <v>0</v>
      </c>
      <c r="J299">
        <f>J265*303.3345</f>
        <v>0</v>
      </c>
      <c r="K299">
        <f>K265*-227.5005</f>
        <v>0</v>
      </c>
      <c r="L299">
        <f>L265*17.3185</f>
        <v>0</v>
      </c>
      <c r="M299">
        <f>M265*-442.639</f>
        <v>0</v>
      </c>
      <c r="N299">
        <f>E299+F299+G299+H299+I299+J299+K299+L299</f>
        <v>0</v>
      </c>
      <c r="O299">
        <f>E299+F299+G299+H299+I299+J299+K299+M299</f>
        <v>0</v>
      </c>
    </row>
    <row r="300" spans="3:15">
      <c r="C300">
        <f>30.0</f>
        <v>0</v>
      </c>
      <c r="D300">
        <f>10.0</f>
        <v>0</v>
      </c>
      <c r="E300">
        <f>E265*-43.221000000000004</f>
        <v>0</v>
      </c>
      <c r="F300">
        <f>F265*-326.4685</f>
        <v>0</v>
      </c>
      <c r="G300">
        <f>G265*-46.1815</f>
        <v>0</v>
      </c>
      <c r="H300">
        <f>H265*0.0</f>
        <v>0</v>
      </c>
      <c r="I300">
        <f>I265*12.903500000000001</f>
        <v>0</v>
      </c>
      <c r="J300">
        <f>J265*286.4575</f>
        <v>0</v>
      </c>
      <c r="K300">
        <f>K265*-214.84300000000002</f>
        <v>0</v>
      </c>
      <c r="L300">
        <f>L265*18.8625</f>
        <v>0</v>
      </c>
      <c r="M300">
        <f>M265*-442.73799999999994</f>
        <v>0</v>
      </c>
      <c r="N300">
        <f>E300+F300+G300+H300+I300+J300+K300+L300</f>
        <v>0</v>
      </c>
      <c r="O300">
        <f>E300+F300+G300+H300+I300+J300+K300+M300</f>
        <v>0</v>
      </c>
    </row>
    <row r="301" spans="3:15">
      <c r="C301">
        <f>31.0</f>
        <v>0</v>
      </c>
      <c r="D301">
        <f>11.0</f>
        <v>0</v>
      </c>
      <c r="E301">
        <f>E265*-40.3195</f>
        <v>0</v>
      </c>
      <c r="F301">
        <f>F265*-323.1675</f>
        <v>0</v>
      </c>
      <c r="G301">
        <f>G265*-45.9195</f>
        <v>0</v>
      </c>
      <c r="H301">
        <f>H265*0.0</f>
        <v>0</v>
      </c>
      <c r="I301">
        <f>I265*16.2305</f>
        <v>0</v>
      </c>
      <c r="J301">
        <f>J265*306.028</f>
        <v>0</v>
      </c>
      <c r="K301">
        <f>K265*-229.521</f>
        <v>0</v>
      </c>
      <c r="L301">
        <f>L265*20.664</f>
        <v>0</v>
      </c>
      <c r="M301">
        <f>M265*-441.19050000000004</f>
        <v>0</v>
      </c>
      <c r="N301">
        <f>E301+F301+G301+H301+I301+J301+K301+L301</f>
        <v>0</v>
      </c>
      <c r="O301">
        <f>E301+F301+G301+H301+I301+J301+K301+M301</f>
        <v>0</v>
      </c>
    </row>
    <row r="302" spans="3:15">
      <c r="C302">
        <f>32.0</f>
        <v>0</v>
      </c>
      <c r="D302">
        <f>12.0</f>
        <v>0</v>
      </c>
      <c r="E302">
        <f>E265*-34.87349999999999</f>
        <v>0</v>
      </c>
      <c r="F302">
        <f>F265*-313.2975</f>
        <v>0</v>
      </c>
      <c r="G302">
        <f>G265*-44.8665</f>
        <v>0</v>
      </c>
      <c r="H302">
        <f>H265*0.0</f>
        <v>0</v>
      </c>
      <c r="I302">
        <f>I265*19.7755</f>
        <v>0</v>
      </c>
      <c r="J302">
        <f>J265*338.25300000000004</f>
        <v>0</v>
      </c>
      <c r="K302">
        <f>K265*-253.69</f>
        <v>0</v>
      </c>
      <c r="L302">
        <f>L265*22.468</f>
        <v>0</v>
      </c>
      <c r="M302">
        <f>M265*-435.8455</f>
        <v>0</v>
      </c>
      <c r="N302">
        <f>E302+F302+G302+H302+I302+J302+K302+L302</f>
        <v>0</v>
      </c>
      <c r="O302">
        <f>E302+F302+G302+H302+I302+J302+K302+M302</f>
        <v>0</v>
      </c>
    </row>
    <row r="303" spans="3:15">
      <c r="C303">
        <f>33.0</f>
        <v>0</v>
      </c>
      <c r="D303">
        <f>13.0</f>
        <v>0</v>
      </c>
      <c r="E303">
        <f>E265*-31.823999999999998</f>
        <v>0</v>
      </c>
      <c r="F303">
        <f>F265*-289.782</f>
        <v>0</v>
      </c>
      <c r="G303">
        <f>G265*-41.552</f>
        <v>0</v>
      </c>
      <c r="H303">
        <f>H265*0.0</f>
        <v>0</v>
      </c>
      <c r="I303">
        <f>I265*22.528999999999996</f>
        <v>0</v>
      </c>
      <c r="J303">
        <f>J265*342.23449999999997</f>
        <v>0</v>
      </c>
      <c r="K303">
        <f>K265*-256.6755</f>
        <v>0</v>
      </c>
      <c r="L303">
        <f>L265*24.053000000000004</f>
        <v>0</v>
      </c>
      <c r="M303">
        <f>M265*-407.317</f>
        <v>0</v>
      </c>
      <c r="N303">
        <f>E303+F303+G303+H303+I303+J303+K303+L303</f>
        <v>0</v>
      </c>
      <c r="O303">
        <f>E303+F303+G303+H303+I303+J303+K303+M303</f>
        <v>0</v>
      </c>
    </row>
    <row r="304" spans="3:15">
      <c r="C304">
        <f>34.0</f>
        <v>0</v>
      </c>
      <c r="D304">
        <f>14.0</f>
        <v>0</v>
      </c>
      <c r="E304">
        <f>E265*-31.211000000000002</f>
        <v>0</v>
      </c>
      <c r="F304">
        <f>F265*-254.88799999999998</f>
        <v>0</v>
      </c>
      <c r="G304">
        <f>G265*-36.3085</f>
        <v>0</v>
      </c>
      <c r="H304">
        <f>H265*0.0</f>
        <v>0</v>
      </c>
      <c r="I304">
        <f>I265*23.819499999999998</f>
        <v>0</v>
      </c>
      <c r="J304">
        <f>J265*315.8035</f>
        <v>0</v>
      </c>
      <c r="K304">
        <f>K265*-236.8525</f>
        <v>0</v>
      </c>
      <c r="L304">
        <f>L265*24.939</f>
        <v>0</v>
      </c>
      <c r="M304">
        <f>M265*-354.51300000000003</f>
        <v>0</v>
      </c>
      <c r="N304">
        <f>E304+F304+G304+H304+I304+J304+K304+L304</f>
        <v>0</v>
      </c>
      <c r="O304">
        <f>E304+F304+G304+H304+I304+J304+K304+M304</f>
        <v>0</v>
      </c>
    </row>
    <row r="305" spans="3:15">
      <c r="C305">
        <f>35.0</f>
        <v>0</v>
      </c>
      <c r="D305">
        <f>15.0</f>
        <v>0</v>
      </c>
      <c r="E305">
        <f>E265*-29.1015</f>
        <v>0</v>
      </c>
      <c r="F305">
        <f>F265*-218.0</f>
        <v>0</v>
      </c>
      <c r="G305">
        <f>G265*-30.891</f>
        <v>0</v>
      </c>
      <c r="H305">
        <f>H265*0.0</f>
        <v>0</v>
      </c>
      <c r="I305">
        <f>I265*26.1095</f>
        <v>0</v>
      </c>
      <c r="J305">
        <f>J265*304.957</f>
        <v>0</v>
      </c>
      <c r="K305">
        <f>K265*-228.71749999999997</f>
        <v>0</v>
      </c>
      <c r="L305">
        <f>L265*26.116</f>
        <v>0</v>
      </c>
      <c r="M305">
        <f>M265*-299.83000000000004</f>
        <v>0</v>
      </c>
      <c r="N305">
        <f>E305+F305+G305+H305+I305+J305+K305+L305</f>
        <v>0</v>
      </c>
      <c r="O305">
        <f>E305+F305+G305+H305+I305+J305+K305+M305</f>
        <v>0</v>
      </c>
    </row>
    <row r="306" spans="3:15">
      <c r="C306">
        <f>35.91</f>
        <v>0</v>
      </c>
      <c r="D306">
        <f>15.91</f>
        <v>0</v>
      </c>
      <c r="E306">
        <f>E265*-21.814</f>
        <v>0</v>
      </c>
      <c r="F306">
        <f>F265*-170.837</f>
        <v>0</v>
      </c>
      <c r="G306">
        <f>G265*-24.388</f>
        <v>0</v>
      </c>
      <c r="H306">
        <f>H265*0.0</f>
        <v>0</v>
      </c>
      <c r="I306">
        <f>I265*29.600499999999997</f>
        <v>0</v>
      </c>
      <c r="J306">
        <f>J265*331.1115</f>
        <v>0</v>
      </c>
      <c r="K306">
        <f>K265*-248.33299999999997</f>
        <v>0</v>
      </c>
      <c r="L306">
        <f>L265*27.622</f>
        <v>0</v>
      </c>
      <c r="M306">
        <f>M265*-238.9565</f>
        <v>0</v>
      </c>
      <c r="N306">
        <f>E306+F306+G306+H306+I306+J306+K306+L306</f>
        <v>0</v>
      </c>
      <c r="O306">
        <f>E306+F306+G306+H306+I306+J306+K306+M306</f>
        <v>0</v>
      </c>
    </row>
    <row r="307" spans="3:15">
      <c r="C307">
        <f>36.82</f>
        <v>0</v>
      </c>
      <c r="D307">
        <f>16.82</f>
        <v>0</v>
      </c>
      <c r="E307">
        <f>E265*-11.999</f>
        <v>0</v>
      </c>
      <c r="F307">
        <f>F265*-118.6985</f>
        <v>0</v>
      </c>
      <c r="G307">
        <f>G265*-17.322499999999998</f>
        <v>0</v>
      </c>
      <c r="H307">
        <f>H265*0.0</f>
        <v>0</v>
      </c>
      <c r="I307">
        <f>I265*31.528</f>
        <v>0</v>
      </c>
      <c r="J307">
        <f>J265*365.997</f>
        <v>0</v>
      </c>
      <c r="K307">
        <f>K265*-274.4975</f>
        <v>0</v>
      </c>
      <c r="L307">
        <f>L265*27.8315</f>
        <v>0</v>
      </c>
      <c r="M307">
        <f>M265*-173.9905</f>
        <v>0</v>
      </c>
      <c r="N307">
        <f>E307+F307+G307+H307+I307+J307+K307+L307</f>
        <v>0</v>
      </c>
      <c r="O307">
        <f>E307+F307+G307+H307+I307+J307+K307+M307</f>
        <v>0</v>
      </c>
    </row>
    <row r="308" spans="3:15">
      <c r="C308">
        <f>37.73</f>
        <v>0</v>
      </c>
      <c r="D308">
        <f>17.73</f>
        <v>0</v>
      </c>
      <c r="E308">
        <f>E265*-5.5525</f>
        <v>0</v>
      </c>
      <c r="F308">
        <f>F265*-77.3725</f>
        <v>0</v>
      </c>
      <c r="G308">
        <f>G265*-11.553</f>
        <v>0</v>
      </c>
      <c r="H308">
        <f>H265*0.0</f>
        <v>0</v>
      </c>
      <c r="I308">
        <f>I265*27.463500000000003</f>
        <v>0</v>
      </c>
      <c r="J308">
        <f>J265*355.9785</f>
        <v>0</v>
      </c>
      <c r="K308">
        <f>K265*-266.984</f>
        <v>0</v>
      </c>
      <c r="L308">
        <f>L265*23.911500000000004</f>
        <v>0</v>
      </c>
      <c r="M308">
        <f>M265*-119.53050000000002</f>
        <v>0</v>
      </c>
      <c r="N308">
        <f>E308+F308+G308+H308+I308+J308+K308+L308</f>
        <v>0</v>
      </c>
      <c r="O308">
        <f>E308+F308+G308+H308+I308+J308+K308+M308</f>
        <v>0</v>
      </c>
    </row>
    <row r="309" spans="3:15">
      <c r="C309">
        <f>38.64</f>
        <v>0</v>
      </c>
      <c r="D309">
        <f>18.64</f>
        <v>0</v>
      </c>
      <c r="E309">
        <f>E265*-1.6334999999999997</f>
        <v>0</v>
      </c>
      <c r="F309">
        <f>F265*-36.515</f>
        <v>0</v>
      </c>
      <c r="G309">
        <f>G265*-5.568999999999999</f>
        <v>0</v>
      </c>
      <c r="H309">
        <f>H265*0.0</f>
        <v>0</v>
      </c>
      <c r="I309">
        <f>I265*15.654499999999999</f>
        <v>0</v>
      </c>
      <c r="J309">
        <f>J265*289.722</f>
        <v>0</v>
      </c>
      <c r="K309">
        <f>K265*-217.2915</f>
        <v>0</v>
      </c>
      <c r="L309">
        <f>L265*16.798000000000002</f>
        <v>0</v>
      </c>
      <c r="M309">
        <f>M265*-61.4855</f>
        <v>0</v>
      </c>
      <c r="N309">
        <f>E309+F309+G309+H309+I309+J309+K309+L309</f>
        <v>0</v>
      </c>
      <c r="O309">
        <f>E309+F309+G309+H309+I309+J309+K309+M309</f>
        <v>0</v>
      </c>
    </row>
    <row r="310" spans="3:15">
      <c r="C310">
        <f>39.55</f>
        <v>0</v>
      </c>
      <c r="D310">
        <f>19.55</f>
        <v>0</v>
      </c>
      <c r="E310">
        <f>E265*-0.6845</f>
        <v>0</v>
      </c>
      <c r="F310">
        <f>F265*-14.491500000000002</f>
        <v>0</v>
      </c>
      <c r="G310">
        <f>G265*-2.197</f>
        <v>0</v>
      </c>
      <c r="H310">
        <f>H265*0.0</f>
        <v>0</v>
      </c>
      <c r="I310">
        <f>I265*4.151</f>
        <v>0</v>
      </c>
      <c r="J310">
        <f>J265*219.0245</f>
        <v>0</v>
      </c>
      <c r="K310">
        <f>K265*-164.26850000000002</f>
        <v>0</v>
      </c>
      <c r="L310">
        <f>L265*9.9195</f>
        <v>0</v>
      </c>
      <c r="M310">
        <f>M265*-25.427</f>
        <v>0</v>
      </c>
      <c r="N310">
        <f>E310+F310+G310+H310+I310+J310+K310+L310</f>
        <v>0</v>
      </c>
      <c r="O310">
        <f>E310+F310+G310+H310+I310+J310+K310+M310</f>
        <v>0</v>
      </c>
    </row>
    <row r="311" spans="3:15">
      <c r="C311">
        <f>40.0</f>
        <v>0</v>
      </c>
      <c r="D311">
        <f>20.0</f>
        <v>0</v>
      </c>
      <c r="E311">
        <f>E265*-1.203</f>
        <v>0</v>
      </c>
      <c r="F311">
        <f>F265*-14.469000000000001</f>
        <v>0</v>
      </c>
      <c r="G311">
        <f>G265*-2.138</f>
        <v>0</v>
      </c>
      <c r="H311">
        <f>H265*0.0</f>
        <v>0</v>
      </c>
      <c r="I311">
        <f>I265*2.16</f>
        <v>0</v>
      </c>
      <c r="J311">
        <f>J265*204.12</f>
        <v>0</v>
      </c>
      <c r="K311">
        <f>K265*-153.09</f>
        <v>0</v>
      </c>
      <c r="L311">
        <f>L265*8.387</f>
        <v>0</v>
      </c>
      <c r="M311">
        <f>M265*-23.96</f>
        <v>0</v>
      </c>
      <c r="N311">
        <f>E311+F311+G311+H311+I311+J311+K311+L311</f>
        <v>0</v>
      </c>
      <c r="O311">
        <f>E311+F311+G311+H311+I311+J311+K311+M311</f>
        <v>0</v>
      </c>
    </row>
    <row r="312" spans="3:15">
      <c r="C312">
        <f>40.0</f>
        <v>0</v>
      </c>
      <c r="D312">
        <f>0.0</f>
        <v>0</v>
      </c>
      <c r="E312">
        <f>E265*-0.344</f>
        <v>0</v>
      </c>
      <c r="F312">
        <f>F265*-4.832</f>
        <v>0</v>
      </c>
      <c r="G312">
        <f>G265*-0.772</f>
        <v>0</v>
      </c>
      <c r="H312">
        <f>H265*0.0</f>
        <v>0</v>
      </c>
      <c r="I312">
        <f>I265*-8.436</f>
        <v>0</v>
      </c>
      <c r="J312">
        <f>J265*194.532</f>
        <v>0</v>
      </c>
      <c r="K312">
        <f>K265*-145.899</f>
        <v>0</v>
      </c>
      <c r="L312">
        <f>L265*4.137</f>
        <v>0</v>
      </c>
      <c r="M312">
        <f>M265*-18.507</f>
        <v>0</v>
      </c>
      <c r="N312">
        <f>E312+F312+G312+H312+I312+J312+K312+L312</f>
        <v>0</v>
      </c>
      <c r="O312">
        <f>E312+F312+G312+H312+I312+J312+K312+M312</f>
        <v>0</v>
      </c>
    </row>
    <row r="313" spans="3:15">
      <c r="C313">
        <f>40.45</f>
        <v>0</v>
      </c>
      <c r="D313">
        <f>0.45</f>
        <v>0</v>
      </c>
      <c r="E313">
        <f>E265*0.6575</f>
        <v>0</v>
      </c>
      <c r="F313">
        <f>F265*-13.5695</f>
        <v>0</v>
      </c>
      <c r="G313">
        <f>G265*-2.1145</f>
        <v>0</v>
      </c>
      <c r="H313">
        <f>H265*0.0</f>
        <v>0</v>
      </c>
      <c r="I313">
        <f>I265*-7.763</f>
        <v>0</v>
      </c>
      <c r="J313">
        <f>J265*201.961</f>
        <v>0</v>
      </c>
      <c r="K313">
        <f>K265*-151.471</f>
        <v>0</v>
      </c>
      <c r="L313">
        <f>L265*20.453500000000002</f>
        <v>0</v>
      </c>
      <c r="M313">
        <f>M265*-48.653</f>
        <v>0</v>
      </c>
      <c r="N313">
        <f>E313+F313+G313+H313+I313+J313+K313+L313</f>
        <v>0</v>
      </c>
      <c r="O313">
        <f>E313+F313+G313+H313+I313+J313+K313+M313</f>
        <v>0</v>
      </c>
    </row>
    <row r="314" spans="3:15">
      <c r="C314">
        <f>41.36</f>
        <v>0</v>
      </c>
      <c r="D314">
        <f>1.36</f>
        <v>0</v>
      </c>
      <c r="E314">
        <f>E265*1.5715000000000001</f>
        <v>0</v>
      </c>
      <c r="F314">
        <f>F265*-24.0925</f>
        <v>0</v>
      </c>
      <c r="G314">
        <f>G265*-3.8405000000000005</f>
        <v>0</v>
      </c>
      <c r="H314">
        <f>H265*0.0</f>
        <v>0</v>
      </c>
      <c r="I314">
        <f>I265*-21.370500000000003</f>
        <v>0</v>
      </c>
      <c r="J314">
        <f>J265*279.915</f>
        <v>0</v>
      </c>
      <c r="K314">
        <f>K265*-209.93599999999998</f>
        <v>0</v>
      </c>
      <c r="L314">
        <f>L265*28.095</f>
        <v>0</v>
      </c>
      <c r="M314">
        <f>M265*-80.11250000000001</f>
        <v>0</v>
      </c>
      <c r="N314">
        <f>E314+F314+G314+H314+I314+J314+K314+L314</f>
        <v>0</v>
      </c>
      <c r="O314">
        <f>E314+F314+G314+H314+I314+J314+K314+M314</f>
        <v>0</v>
      </c>
    </row>
    <row r="315" spans="3:15">
      <c r="C315">
        <f>42.27</f>
        <v>0</v>
      </c>
      <c r="D315">
        <f>2.27</f>
        <v>0</v>
      </c>
      <c r="E315">
        <f>E265*0.22349999999999998</f>
        <v>0</v>
      </c>
      <c r="F315">
        <f>F265*-29.776500000000002</f>
        <v>0</v>
      </c>
      <c r="G315">
        <f>G265*-4.7385</f>
        <v>0</v>
      </c>
      <c r="H315">
        <f>H265*0.0</f>
        <v>0</v>
      </c>
      <c r="I315">
        <f>I265*-52.167500000000004</f>
        <v>0</v>
      </c>
      <c r="J315">
        <f>J265*374.5875</f>
        <v>0</v>
      </c>
      <c r="K315">
        <f>K265*-280.94050000000004</f>
        <v>0</v>
      </c>
      <c r="L315">
        <f>L265*22.535</f>
        <v>0</v>
      </c>
      <c r="M315">
        <f>M265*-93.9085</f>
        <v>0</v>
      </c>
      <c r="N315">
        <f>E315+F315+G315+H315+I315+J315+K315+L315</f>
        <v>0</v>
      </c>
      <c r="O315">
        <f>E315+F315+G315+H315+I315+J315+K315+M315</f>
        <v>0</v>
      </c>
    </row>
    <row r="316" spans="3:15">
      <c r="C316">
        <f>43.18</f>
        <v>0</v>
      </c>
      <c r="D316">
        <f>3.18</f>
        <v>0</v>
      </c>
      <c r="E316">
        <f>E265*-3.3785</f>
        <v>0</v>
      </c>
      <c r="F316">
        <f>F265*-37.5275</f>
        <v>0</v>
      </c>
      <c r="G316">
        <f>G265*-5.654999999999999</f>
        <v>0</v>
      </c>
      <c r="H316">
        <f>H265*0.0</f>
        <v>0</v>
      </c>
      <c r="I316">
        <f>I265*-92.8175</f>
        <v>0</v>
      </c>
      <c r="J316">
        <f>J265*411.02</f>
        <v>0</v>
      </c>
      <c r="K316">
        <f>K265*-308.265</f>
        <v>0</v>
      </c>
      <c r="L316">
        <f>L265*20.4705</f>
        <v>0</v>
      </c>
      <c r="M316">
        <f>M265*-102.2895</f>
        <v>0</v>
      </c>
      <c r="N316">
        <f>E316+F316+G316+H316+I316+J316+K316+L316</f>
        <v>0</v>
      </c>
      <c r="O316">
        <f>E316+F316+G316+H316+I316+J316+K316+M316</f>
        <v>0</v>
      </c>
    </row>
    <row r="317" spans="3:15">
      <c r="C317">
        <f>44.09</f>
        <v>0</v>
      </c>
      <c r="D317">
        <f>4.09</f>
        <v>0</v>
      </c>
      <c r="E317">
        <f>E265*-8.574</f>
        <v>0</v>
      </c>
      <c r="F317">
        <f>F265*-47.230000000000004</f>
        <v>0</v>
      </c>
      <c r="G317">
        <f>G265*-6.660500000000001</f>
        <v>0</v>
      </c>
      <c r="H317">
        <f>H265*0.0</f>
        <v>0</v>
      </c>
      <c r="I317">
        <f>I265*-138.79399999999998</f>
        <v>0</v>
      </c>
      <c r="J317">
        <f>J265*392.312</f>
        <v>0</v>
      </c>
      <c r="K317">
        <f>K265*-294.234</f>
        <v>0</v>
      </c>
      <c r="L317">
        <f>L265*16.7715</f>
        <v>0</v>
      </c>
      <c r="M317">
        <f>M265*-109.12899999999999</f>
        <v>0</v>
      </c>
      <c r="N317">
        <f>E317+F317+G317+H317+I317+J317+K317+L317</f>
        <v>0</v>
      </c>
      <c r="O317">
        <f>E317+F317+G317+H317+I317+J317+K317+M317</f>
        <v>0</v>
      </c>
    </row>
    <row r="318" spans="3:15">
      <c r="C318">
        <f>45.0</f>
        <v>0</v>
      </c>
      <c r="D318">
        <f>5.0</f>
        <v>0</v>
      </c>
      <c r="E318">
        <f>E265*-11.6065</f>
        <v>0</v>
      </c>
      <c r="F318">
        <f>F265*-53.223</f>
        <v>0</v>
      </c>
      <c r="G318">
        <f>G265*-7.2705</f>
        <v>0</v>
      </c>
      <c r="H318">
        <f>H265*0.0</f>
        <v>0</v>
      </c>
      <c r="I318">
        <f>I265*-162.64499999999998</f>
        <v>0</v>
      </c>
      <c r="J318">
        <f>J265*389.472</f>
        <v>0</v>
      </c>
      <c r="K318">
        <f>K265*-292.10400000000004</f>
        <v>0</v>
      </c>
      <c r="L318">
        <f>L265*14.221999999999998</f>
        <v>0</v>
      </c>
      <c r="M318">
        <f>M265*-109.97999999999999</f>
        <v>0</v>
      </c>
      <c r="N318">
        <f>E318+F318+G318+H318+I318+J318+K318+L318</f>
        <v>0</v>
      </c>
      <c r="O318">
        <f>E318+F318+G318+H318+I318+J318+K318+M318</f>
        <v>0</v>
      </c>
    </row>
    <row r="319" spans="3:15">
      <c r="C319">
        <f>46.0</f>
        <v>0</v>
      </c>
      <c r="D319">
        <f>6.0</f>
        <v>0</v>
      </c>
      <c r="E319">
        <f>E265*-10.3955</f>
        <v>0</v>
      </c>
      <c r="F319">
        <f>F265*-53.5185</f>
        <v>0</v>
      </c>
      <c r="G319">
        <f>G265*-7.4085</f>
        <v>0</v>
      </c>
      <c r="H319">
        <f>H265*0.0</f>
        <v>0</v>
      </c>
      <c r="I319">
        <f>I265*-150.29250000000002</f>
        <v>0</v>
      </c>
      <c r="J319">
        <f>J265*433.77750000000003</f>
        <v>0</v>
      </c>
      <c r="K319">
        <f>K265*-325.3335</f>
        <v>0</v>
      </c>
      <c r="L319">
        <f>L265*10.497499999999999</f>
        <v>0</v>
      </c>
      <c r="M319">
        <f>M265*-110.8835</f>
        <v>0</v>
      </c>
      <c r="N319">
        <f>E319+F319+G319+H319+I319+J319+K319+L319</f>
        <v>0</v>
      </c>
      <c r="O319">
        <f>E319+F319+G319+H319+I319+J319+K319+M319</f>
        <v>0</v>
      </c>
    </row>
    <row r="320" spans="3:15">
      <c r="C320">
        <f>47.0</f>
        <v>0</v>
      </c>
      <c r="D320">
        <f>7.0</f>
        <v>0</v>
      </c>
      <c r="E320">
        <f>E265*-6.4825</f>
        <v>0</v>
      </c>
      <c r="F320">
        <f>F265*-47.665499999999994</f>
        <v>0</v>
      </c>
      <c r="G320">
        <f>G265*-6.8435</f>
        <v>0</v>
      </c>
      <c r="H320">
        <f>H265*0.0</f>
        <v>0</v>
      </c>
      <c r="I320">
        <f>I265*-111.21799999999999</f>
        <v>0</v>
      </c>
      <c r="J320">
        <f>J265*479.448</f>
        <v>0</v>
      </c>
      <c r="K320">
        <f>K265*-359.5855</f>
        <v>0</v>
      </c>
      <c r="L320">
        <f>L265*9.8805</f>
        <v>0</v>
      </c>
      <c r="M320">
        <f>M265*-104.11949999999999</f>
        <v>0</v>
      </c>
      <c r="N320">
        <f>E320+F320+G320+H320+I320+J320+K320+L320</f>
        <v>0</v>
      </c>
      <c r="O320">
        <f>E320+F320+G320+H320+I320+J320+K320+M320</f>
        <v>0</v>
      </c>
    </row>
    <row r="321" spans="3:15">
      <c r="C321">
        <f>48.0</f>
        <v>0</v>
      </c>
      <c r="D321">
        <f>8.0</f>
        <v>0</v>
      </c>
      <c r="E321">
        <f>E265*-3.1875</f>
        <v>0</v>
      </c>
      <c r="F321">
        <f>F265*-36.83</f>
        <v>0</v>
      </c>
      <c r="G321">
        <f>G265*-5.433</f>
        <v>0</v>
      </c>
      <c r="H321">
        <f>H265*0.0</f>
        <v>0</v>
      </c>
      <c r="I321">
        <f>I265*-67.9375</f>
        <v>0</v>
      </c>
      <c r="J321">
        <f>J265*437.30449999999996</f>
        <v>0</v>
      </c>
      <c r="K321">
        <f>K265*-327.978</f>
        <v>0</v>
      </c>
      <c r="L321">
        <f>L265*7.7665</f>
        <v>0</v>
      </c>
      <c r="M321">
        <f>M265*-84.515</f>
        <v>0</v>
      </c>
      <c r="N321">
        <f>E321+F321+G321+H321+I321+J321+K321+L321</f>
        <v>0</v>
      </c>
      <c r="O321">
        <f>E321+F321+G321+H321+I321+J321+K321+M321</f>
        <v>0</v>
      </c>
    </row>
    <row r="322" spans="3:15">
      <c r="C322">
        <f>49.0</f>
        <v>0</v>
      </c>
      <c r="D322">
        <f>9.0</f>
        <v>0</v>
      </c>
      <c r="E322">
        <f>E265*-0.7055</f>
        <v>0</v>
      </c>
      <c r="F322">
        <f>F265*-23.542</f>
        <v>0</v>
      </c>
      <c r="G322">
        <f>G265*-3.5650000000000004</f>
        <v>0</v>
      </c>
      <c r="H322">
        <f>H265*0.0</f>
        <v>0</v>
      </c>
      <c r="I322">
        <f>I265*-27.752499999999998</f>
        <v>0</v>
      </c>
      <c r="J322">
        <f>J265*281.69550000000004</f>
        <v>0</v>
      </c>
      <c r="K322">
        <f>K265*-211.2715</f>
        <v>0</v>
      </c>
      <c r="L322">
        <f>L265*4.2105</f>
        <v>0</v>
      </c>
      <c r="M322">
        <f>M265*-57.871</f>
        <v>0</v>
      </c>
      <c r="N322">
        <f>E322+F322+G322+H322+I322+J322+K322+L322</f>
        <v>0</v>
      </c>
      <c r="O322">
        <f>E322+F322+G322+H322+I322+J322+K322+M322</f>
        <v>0</v>
      </c>
    </row>
    <row r="330" spans="3:15">
      <c r="C330" t="s">
        <v>0</v>
      </c>
      <c r="D330" t="s">
        <v>1</v>
      </c>
      <c r="E330" t="s">
        <v>2</v>
      </c>
      <c r="F330" t="s">
        <v>3</v>
      </c>
      <c r="G330" t="s">
        <v>4</v>
      </c>
      <c r="H330" t="s">
        <v>5</v>
      </c>
      <c r="I330" t="s">
        <v>6</v>
      </c>
      <c r="J330" t="s">
        <v>7</v>
      </c>
      <c r="K330" t="s">
        <v>8</v>
      </c>
      <c r="L330" t="s">
        <v>9</v>
      </c>
      <c r="M330" t="s">
        <v>10</v>
      </c>
      <c r="N330" t="s">
        <v>11</v>
      </c>
      <c r="O330" t="s">
        <v>12</v>
      </c>
    </row>
    <row r="331" spans="3:15">
      <c r="C331">
        <f>0.0</f>
        <v>0</v>
      </c>
      <c r="D331">
        <f>0.0</f>
        <v>0</v>
      </c>
      <c r="E331">
        <f>E329*-2.5375</f>
        <v>0</v>
      </c>
      <c r="F331">
        <f>F329*2.0884</f>
        <v>0</v>
      </c>
      <c r="G331">
        <f>G329*0.4764</f>
        <v>0</v>
      </c>
      <c r="H331">
        <f>H329*0.0</f>
        <v>0</v>
      </c>
      <c r="I331">
        <f>I329*-0.0275</f>
        <v>0</v>
      </c>
      <c r="J331">
        <f>J329*43.1569</f>
        <v>0</v>
      </c>
      <c r="K331">
        <f>K329*-32.3677</f>
        <v>0</v>
      </c>
      <c r="L331">
        <f>L329*124.1748</f>
        <v>0</v>
      </c>
      <c r="M331">
        <f>M329*-113.8225</f>
        <v>0</v>
      </c>
      <c r="N331">
        <f>E331+F331+G331+H331+I331+J331+K331+L331</f>
        <v>0</v>
      </c>
      <c r="O331">
        <f>E331+F331+G331+H331+I331+J331+K331+M331</f>
        <v>0</v>
      </c>
    </row>
    <row r="332" spans="3:15">
      <c r="C332">
        <f>1.0</f>
        <v>0</v>
      </c>
      <c r="D332">
        <f>1.0</f>
        <v>0</v>
      </c>
      <c r="E332">
        <f>E329*-2.82465</f>
        <v>0</v>
      </c>
      <c r="F332">
        <f>F329*1.01915</f>
        <v>0</v>
      </c>
      <c r="G332">
        <f>G329*0.34325</f>
        <v>0</v>
      </c>
      <c r="H332">
        <f>H329*0.0</f>
        <v>0</v>
      </c>
      <c r="I332">
        <f>I329*-0.03205</f>
        <v>0</v>
      </c>
      <c r="J332">
        <f>J329*46.31575</f>
        <v>0</v>
      </c>
      <c r="K332">
        <f>K329*-34.7368</f>
        <v>0</v>
      </c>
      <c r="L332">
        <f>L329*122.66544999999999</f>
        <v>0</v>
      </c>
      <c r="M332">
        <f>M329*-118.31945</f>
        <v>0</v>
      </c>
      <c r="N332">
        <f>E332+F332+G332+H332+I332+J332+K332+L332</f>
        <v>0</v>
      </c>
      <c r="O332">
        <f>E332+F332+G332+H332+I332+J332+K332+M332</f>
        <v>0</v>
      </c>
    </row>
    <row r="333" spans="3:15">
      <c r="C333">
        <f>2.0</f>
        <v>0</v>
      </c>
      <c r="D333">
        <f>2.0</f>
        <v>0</v>
      </c>
      <c r="E333">
        <f>E329*-4.0477</f>
        <v>0</v>
      </c>
      <c r="F333">
        <f>F329*-0.13429999999999997</f>
        <v>0</v>
      </c>
      <c r="G333">
        <f>G329*0.24730000000000002</f>
        <v>0</v>
      </c>
      <c r="H333">
        <f>H329*0.0</f>
        <v>0</v>
      </c>
      <c r="I333">
        <f>I329*-0.03945</f>
        <v>0</v>
      </c>
      <c r="J333">
        <f>J329*53.3382</f>
        <v>0</v>
      </c>
      <c r="K333">
        <f>K329*-40.00365</f>
        <v>0</v>
      </c>
      <c r="L333">
        <f>L329*128.21155</f>
        <v>0</v>
      </c>
      <c r="M333">
        <f>M329*-129.12225</f>
        <v>0</v>
      </c>
      <c r="N333">
        <f>E333+F333+G333+H333+I333+J333+K333+L333</f>
        <v>0</v>
      </c>
      <c r="O333">
        <f>E333+F333+G333+H333+I333+J333+K333+M333</f>
        <v>0</v>
      </c>
    </row>
    <row r="334" spans="3:15">
      <c r="C334">
        <f>3.0</f>
        <v>0</v>
      </c>
      <c r="D334">
        <f>3.0</f>
        <v>0</v>
      </c>
      <c r="E334">
        <f>E329*-4.763249999999999</f>
        <v>0</v>
      </c>
      <c r="F334">
        <f>F329*-1.06525</f>
        <v>0</v>
      </c>
      <c r="G334">
        <f>G329*0.14065</f>
        <v>0</v>
      </c>
      <c r="H334">
        <f>H329*0.0</f>
        <v>0</v>
      </c>
      <c r="I334">
        <f>I329*-0.045450000000000004</f>
        <v>0</v>
      </c>
      <c r="J334">
        <f>J329*48.95495</f>
        <v>0</v>
      </c>
      <c r="K334">
        <f>K329*-36.71625</f>
        <v>0</v>
      </c>
      <c r="L334">
        <f>L329*128.76319999999998</f>
        <v>0</v>
      </c>
      <c r="M334">
        <f>M329*-135.32645</f>
        <v>0</v>
      </c>
      <c r="N334">
        <f>E334+F334+G334+H334+I334+J334+K334+L334</f>
        <v>0</v>
      </c>
      <c r="O334">
        <f>E334+F334+G334+H334+I334+J334+K334+M334</f>
        <v>0</v>
      </c>
    </row>
    <row r="335" spans="3:15">
      <c r="C335">
        <f>4.0</f>
        <v>0</v>
      </c>
      <c r="D335">
        <f>4.0</f>
        <v>0</v>
      </c>
      <c r="E335">
        <f>E329*-4.6754999999999995</f>
        <v>0</v>
      </c>
      <c r="F335">
        <f>F329*-1.7292</f>
        <v>0</v>
      </c>
      <c r="G335">
        <f>G329*0.0268</f>
        <v>0</v>
      </c>
      <c r="H335">
        <f>H329*0.0</f>
        <v>0</v>
      </c>
      <c r="I335">
        <f>I329*-0.051100000000000007</f>
        <v>0</v>
      </c>
      <c r="J335">
        <f>J329*43.4732</f>
        <v>0</v>
      </c>
      <c r="K335">
        <f>K329*-32.6049</f>
        <v>0</v>
      </c>
      <c r="L335">
        <f>L329*126.54055</f>
        <v>0</v>
      </c>
      <c r="M335">
        <f>M329*-139.99644999999998</f>
        <v>0</v>
      </c>
      <c r="N335">
        <f>E335+F335+G335+H335+I335+J335+K335+L335</f>
        <v>0</v>
      </c>
      <c r="O335">
        <f>E335+F335+G335+H335+I335+J335+K335+M335</f>
        <v>0</v>
      </c>
    </row>
    <row r="336" spans="3:15">
      <c r="C336">
        <f>5.0</f>
        <v>0</v>
      </c>
      <c r="D336">
        <f>5.0</f>
        <v>0</v>
      </c>
      <c r="E336">
        <f>E329*-3.6529499999999997</f>
        <v>0</v>
      </c>
      <c r="F336">
        <f>F329*-1.14895</f>
        <v>0</v>
      </c>
      <c r="G336">
        <f>G329*0.06095</f>
        <v>0</v>
      </c>
      <c r="H336">
        <f>H329*0.0</f>
        <v>0</v>
      </c>
      <c r="I336">
        <f>I329*-0.0557</f>
        <v>0</v>
      </c>
      <c r="J336">
        <f>J329*39.208600000000004</f>
        <v>0</v>
      </c>
      <c r="K336">
        <f>K329*-29.40645</f>
        <v>0</v>
      </c>
      <c r="L336">
        <f>L329*125.43530000000001</f>
        <v>0</v>
      </c>
      <c r="M336">
        <f>M329*-139.95274999999998</f>
        <v>0</v>
      </c>
      <c r="N336">
        <f>E336+F336+G336+H336+I336+J336+K336+L336</f>
        <v>0</v>
      </c>
      <c r="O336">
        <f>E336+F336+G336+H336+I336+J336+K336+M336</f>
        <v>0</v>
      </c>
    </row>
    <row r="337" spans="3:15">
      <c r="C337">
        <f>6.0</f>
        <v>0</v>
      </c>
      <c r="D337">
        <f>6.0</f>
        <v>0</v>
      </c>
      <c r="E337">
        <f>E329*-2.4904</f>
        <v>0</v>
      </c>
      <c r="F337">
        <f>F329*-0.5081</f>
        <v>0</v>
      </c>
      <c r="G337">
        <f>G329*0.0963</f>
        <v>0</v>
      </c>
      <c r="H337">
        <f>H329*0.0</f>
        <v>0</v>
      </c>
      <c r="I337">
        <f>I329*-0.05785</f>
        <v>0</v>
      </c>
      <c r="J337">
        <f>J329*33.878</f>
        <v>0</v>
      </c>
      <c r="K337">
        <f>K329*-25.4085</f>
        <v>0</v>
      </c>
      <c r="L337">
        <f>L329*116.80160000000001</f>
        <v>0</v>
      </c>
      <c r="M337">
        <f>M329*-131.42935</f>
        <v>0</v>
      </c>
      <c r="N337">
        <f>E337+F337+G337+H337+I337+J337+K337+L337</f>
        <v>0</v>
      </c>
      <c r="O337">
        <f>E337+F337+G337+H337+I337+J337+K337+M337</f>
        <v>0</v>
      </c>
    </row>
    <row r="338" spans="3:15">
      <c r="C338">
        <f>7.0</f>
        <v>0</v>
      </c>
      <c r="D338">
        <f>7.0</f>
        <v>0</v>
      </c>
      <c r="E338">
        <f>E329*-2.0042999999999997</f>
        <v>0</v>
      </c>
      <c r="F338">
        <f>F329*-0.8926499999999999</f>
        <v>0</v>
      </c>
      <c r="G338">
        <f>G329*0.0014000000000000002</f>
        <v>0</v>
      </c>
      <c r="H338">
        <f>H329*0.0</f>
        <v>0</v>
      </c>
      <c r="I338">
        <f>I329*-0.05935</f>
        <v>0</v>
      </c>
      <c r="J338">
        <f>J329*25.90955</f>
        <v>0</v>
      </c>
      <c r="K338">
        <f>K329*-19.43215</f>
        <v>0</v>
      </c>
      <c r="L338">
        <f>L329*105.2028</f>
        <v>0</v>
      </c>
      <c r="M338">
        <f>M329*-122.70214999999999</f>
        <v>0</v>
      </c>
      <c r="N338">
        <f>E338+F338+G338+H338+I338+J338+K338+L338</f>
        <v>0</v>
      </c>
      <c r="O338">
        <f>E338+F338+G338+H338+I338+J338+K338+M338</f>
        <v>0</v>
      </c>
    </row>
    <row r="339" spans="3:15">
      <c r="C339">
        <f>8.0</f>
        <v>0</v>
      </c>
      <c r="D339">
        <f>8.0</f>
        <v>0</v>
      </c>
      <c r="E339">
        <f>E329*-1.77665</f>
        <v>0</v>
      </c>
      <c r="F339">
        <f>F329*-1.29505</f>
        <v>0</v>
      </c>
      <c r="G339">
        <f>G329*-0.08495</f>
        <v>0</v>
      </c>
      <c r="H339">
        <f>H329*0.0</f>
        <v>0</v>
      </c>
      <c r="I339">
        <f>I329*-0.061950000000000005</f>
        <v>0</v>
      </c>
      <c r="J339">
        <f>J329*14.42375</f>
        <v>0</v>
      </c>
      <c r="K339">
        <f>K329*-10.81785</f>
        <v>0</v>
      </c>
      <c r="L339">
        <f>L329*96.38385</f>
        <v>0</v>
      </c>
      <c r="M339">
        <f>M329*-115.0795</f>
        <v>0</v>
      </c>
      <c r="N339">
        <f>E339+F339+G339+H339+I339+J339+K339+L339</f>
        <v>0</v>
      </c>
      <c r="O339">
        <f>E339+F339+G339+H339+I339+J339+K339+M339</f>
        <v>0</v>
      </c>
    </row>
    <row r="340" spans="3:15">
      <c r="C340">
        <f>9.0</f>
        <v>0</v>
      </c>
      <c r="D340">
        <f>9.0</f>
        <v>0</v>
      </c>
      <c r="E340">
        <f>E329*-1.3054999999999999</f>
        <v>0</v>
      </c>
      <c r="F340">
        <f>F329*-1.7111</f>
        <v>0</v>
      </c>
      <c r="G340">
        <f>G329*-0.18185</f>
        <v>0</v>
      </c>
      <c r="H340">
        <f>H329*0.0</f>
        <v>0</v>
      </c>
      <c r="I340">
        <f>I329*-0.0658</f>
        <v>0</v>
      </c>
      <c r="J340">
        <f>J329*6.4735000000000005</f>
        <v>0</v>
      </c>
      <c r="K340">
        <f>K329*-4.85515</f>
        <v>0</v>
      </c>
      <c r="L340">
        <f>L329*94.71455</f>
        <v>0</v>
      </c>
      <c r="M340">
        <f>M329*-109.3522</f>
        <v>0</v>
      </c>
      <c r="N340">
        <f>E340+F340+G340+H340+I340+J340+K340+L340</f>
        <v>0</v>
      </c>
      <c r="O340">
        <f>E340+F340+G340+H340+I340+J340+K340+M340</f>
        <v>0</v>
      </c>
    </row>
    <row r="341" spans="3:15">
      <c r="C341">
        <f>10.0</f>
        <v>0</v>
      </c>
      <c r="D341">
        <f>10.0</f>
        <v>0</v>
      </c>
      <c r="E341">
        <f>E329*-0.623</f>
        <v>0</v>
      </c>
      <c r="F341">
        <f>F329*-0.5286500000000001</f>
        <v>0</v>
      </c>
      <c r="G341">
        <f>G329*-0.029550000000000007</f>
        <v>0</v>
      </c>
      <c r="H341">
        <f>H329*0.0</f>
        <v>0</v>
      </c>
      <c r="I341">
        <f>I329*-0.06885</f>
        <v>0</v>
      </c>
      <c r="J341">
        <f>J329*8.0449</f>
        <v>0</v>
      </c>
      <c r="K341">
        <f>K329*-6.03365</f>
        <v>0</v>
      </c>
      <c r="L341">
        <f>L329*90.11305</f>
        <v>0</v>
      </c>
      <c r="M341">
        <f>M329*-100.44405</f>
        <v>0</v>
      </c>
      <c r="N341">
        <f>E341+F341+G341+H341+I341+J341+K341+L341</f>
        <v>0</v>
      </c>
      <c r="O341">
        <f>E341+F341+G341+H341+I341+J341+K341+M341</f>
        <v>0</v>
      </c>
    </row>
    <row r="342" spans="3:15">
      <c r="C342">
        <f>11.0</f>
        <v>0</v>
      </c>
      <c r="D342">
        <f>11.0</f>
        <v>0</v>
      </c>
      <c r="E342">
        <f>E329*0.0392</f>
        <v>0</v>
      </c>
      <c r="F342">
        <f>F329*0.5297000000000001</f>
        <v>0</v>
      </c>
      <c r="G342">
        <f>G329*0.1067</f>
        <v>0</v>
      </c>
      <c r="H342">
        <f>H329*0.0</f>
        <v>0</v>
      </c>
      <c r="I342">
        <f>I329*-0.06875</f>
        <v>0</v>
      </c>
      <c r="J342">
        <f>J329*9.775649999999999</f>
        <v>0</v>
      </c>
      <c r="K342">
        <f>K329*-7.3317000000000005</f>
        <v>0</v>
      </c>
      <c r="L342">
        <f>L329*92.455</f>
        <v>0</v>
      </c>
      <c r="M342">
        <f>M329*-88.74015</f>
        <v>0</v>
      </c>
      <c r="N342">
        <f>E342+F342+G342+H342+I342+J342+K342+L342</f>
        <v>0</v>
      </c>
      <c r="O342">
        <f>E342+F342+G342+H342+I342+J342+K342+M342</f>
        <v>0</v>
      </c>
    </row>
    <row r="343" spans="3:15">
      <c r="C343">
        <f>12.0</f>
        <v>0</v>
      </c>
      <c r="D343">
        <f>12.0</f>
        <v>0</v>
      </c>
      <c r="E343">
        <f>E329*0.4316</f>
        <v>0</v>
      </c>
      <c r="F343">
        <f>F329*-0.33465</f>
        <v>0</v>
      </c>
      <c r="G343">
        <f>G329*-0.048</f>
        <v>0</v>
      </c>
      <c r="H343">
        <f>H329*0.0</f>
        <v>0</v>
      </c>
      <c r="I343">
        <f>I329*-0.06815</f>
        <v>0</v>
      </c>
      <c r="J343">
        <f>J329*2.48515</f>
        <v>0</v>
      </c>
      <c r="K343">
        <f>K329*-1.86385</f>
        <v>0</v>
      </c>
      <c r="L343">
        <f>L329*94.0852</f>
        <v>0</v>
      </c>
      <c r="M343">
        <f>M329*-88.7552</f>
        <v>0</v>
      </c>
      <c r="N343">
        <f>E343+F343+G343+H343+I343+J343+K343+L343</f>
        <v>0</v>
      </c>
      <c r="O343">
        <f>E343+F343+G343+H343+I343+J343+K343+M343</f>
        <v>0</v>
      </c>
    </row>
    <row r="344" spans="3:15">
      <c r="C344">
        <f>13.0</f>
        <v>0</v>
      </c>
      <c r="D344">
        <f>13.0</f>
        <v>0</v>
      </c>
      <c r="E344">
        <f>E329*0.5440499999999999</f>
        <v>0</v>
      </c>
      <c r="F344">
        <f>F329*-1.4794999999999998</f>
        <v>0</v>
      </c>
      <c r="G344">
        <f>G329*-0.23109999999999997</f>
        <v>0</v>
      </c>
      <c r="H344">
        <f>H329*0.0</f>
        <v>0</v>
      </c>
      <c r="I344">
        <f>I329*-0.0692</f>
        <v>0</v>
      </c>
      <c r="J344">
        <f>J329*-8.196950000000001</f>
        <v>0</v>
      </c>
      <c r="K344">
        <f>K329*6.147749999999999</f>
        <v>0</v>
      </c>
      <c r="L344">
        <f>L329*98.96000000000001</f>
        <v>0</v>
      </c>
      <c r="M344">
        <f>M329*-89.49245</f>
        <v>0</v>
      </c>
      <c r="N344">
        <f>E344+F344+G344+H344+I344+J344+K344+L344</f>
        <v>0</v>
      </c>
      <c r="O344">
        <f>E344+F344+G344+H344+I344+J344+K344+M344</f>
        <v>0</v>
      </c>
    </row>
    <row r="345" spans="3:15">
      <c r="C345">
        <f>14.0</f>
        <v>0</v>
      </c>
      <c r="D345">
        <f>14.0</f>
        <v>0</v>
      </c>
      <c r="E345">
        <f>E329*0.89625</f>
        <v>0</v>
      </c>
      <c r="F345">
        <f>F329*-2.8589</f>
        <v>0</v>
      </c>
      <c r="G345">
        <f>G329*-0.45715000000000006</f>
        <v>0</v>
      </c>
      <c r="H345">
        <f>H329*0.0</f>
        <v>0</v>
      </c>
      <c r="I345">
        <f>I329*-0.07195</f>
        <v>0</v>
      </c>
      <c r="J345">
        <f>J329*-15.6787</f>
        <v>0</v>
      </c>
      <c r="K345">
        <f>K329*11.75905</f>
        <v>0</v>
      </c>
      <c r="L345">
        <f>L329*109.83685</f>
        <v>0</v>
      </c>
      <c r="M345">
        <f>M329*-99.58365</f>
        <v>0</v>
      </c>
      <c r="N345">
        <f>E345+F345+G345+H345+I345+J345+K345+L345</f>
        <v>0</v>
      </c>
      <c r="O345">
        <f>E345+F345+G345+H345+I345+J345+K345+M345</f>
        <v>0</v>
      </c>
    </row>
    <row r="346" spans="3:15">
      <c r="C346">
        <f>15.0</f>
        <v>0</v>
      </c>
      <c r="D346">
        <f>15.0</f>
        <v>0</v>
      </c>
      <c r="E346">
        <f>E329*1.4607999999999999</f>
        <v>0</v>
      </c>
      <c r="F346">
        <f>F329*-4.8696</f>
        <v>0</v>
      </c>
      <c r="G346">
        <f>G329*-0.7536</f>
        <v>0</v>
      </c>
      <c r="H346">
        <f>H329*0.0</f>
        <v>0</v>
      </c>
      <c r="I346">
        <f>I329*-0.07465</f>
        <v>0</v>
      </c>
      <c r="J346">
        <f>J329*-17.2609</f>
        <v>0</v>
      </c>
      <c r="K346">
        <f>K329*12.945699999999999</f>
        <v>0</v>
      </c>
      <c r="L346">
        <f>L329*122.69985</f>
        <v>0</v>
      </c>
      <c r="M346">
        <f>M329*-116.56535</f>
        <v>0</v>
      </c>
      <c r="N346">
        <f>E346+F346+G346+H346+I346+J346+K346+L346</f>
        <v>0</v>
      </c>
      <c r="O346">
        <f>E346+F346+G346+H346+I346+J346+K346+M346</f>
        <v>0</v>
      </c>
    </row>
    <row r="347" spans="3:15">
      <c r="C347">
        <f>15.91</f>
        <v>0</v>
      </c>
      <c r="D347">
        <f>15.91</f>
        <v>0</v>
      </c>
      <c r="E347">
        <f>E329*1.97935</f>
        <v>0</v>
      </c>
      <c r="F347">
        <f>F329*-6.92835</f>
        <v>0</v>
      </c>
      <c r="G347">
        <f>G329*-1.05525</f>
        <v>0</v>
      </c>
      <c r="H347">
        <f>H329*0.0</f>
        <v>0</v>
      </c>
      <c r="I347">
        <f>I329*-0.0741</f>
        <v>0</v>
      </c>
      <c r="J347">
        <f>J329*-18.45015</f>
        <v>0</v>
      </c>
      <c r="K347">
        <f>K329*13.83765</f>
        <v>0</v>
      </c>
      <c r="L347">
        <f>L329*127.49585</f>
        <v>0</v>
      </c>
      <c r="M347">
        <f>M329*-119.88210000000001</f>
        <v>0</v>
      </c>
      <c r="N347">
        <f>E347+F347+G347+H347+I347+J347+K347+L347</f>
        <v>0</v>
      </c>
      <c r="O347">
        <f>E347+F347+G347+H347+I347+J347+K347+M347</f>
        <v>0</v>
      </c>
    </row>
    <row r="348" spans="3:15">
      <c r="C348">
        <f>16.82</f>
        <v>0</v>
      </c>
      <c r="D348">
        <f>16.82</f>
        <v>0</v>
      </c>
      <c r="E348">
        <f>E329*2.2118</f>
        <v>0</v>
      </c>
      <c r="F348">
        <f>F329*-9.04165</f>
        <v>0</v>
      </c>
      <c r="G348">
        <f>G329*-1.37885</f>
        <v>0</v>
      </c>
      <c r="H348">
        <f>H329*0.0</f>
        <v>0</v>
      </c>
      <c r="I348">
        <f>I329*-0.07235</f>
        <v>0</v>
      </c>
      <c r="J348">
        <f>J329*-26.24525</f>
        <v>0</v>
      </c>
      <c r="K348">
        <f>K329*19.68395</f>
        <v>0</v>
      </c>
      <c r="L348">
        <f>L329*129.32209999999998</f>
        <v>0</v>
      </c>
      <c r="M348">
        <f>M329*-129.4744</f>
        <v>0</v>
      </c>
      <c r="N348">
        <f>E348+F348+G348+H348+I348+J348+K348+L348</f>
        <v>0</v>
      </c>
      <c r="O348">
        <f>E348+F348+G348+H348+I348+J348+K348+M348</f>
        <v>0</v>
      </c>
    </row>
    <row r="349" spans="3:15">
      <c r="C349">
        <f>17.73</f>
        <v>0</v>
      </c>
      <c r="D349">
        <f>17.73</f>
        <v>0</v>
      </c>
      <c r="E349">
        <f>E329*2.0393499999999998</f>
        <v>0</v>
      </c>
      <c r="F349">
        <f>F329*-11.3287</f>
        <v>0</v>
      </c>
      <c r="G349">
        <f>G329*-1.7102</f>
        <v>0</v>
      </c>
      <c r="H349">
        <f>H329*0.0</f>
        <v>0</v>
      </c>
      <c r="I349">
        <f>I329*-0.07155</f>
        <v>0</v>
      </c>
      <c r="J349">
        <f>J329*-38.055</f>
        <v>0</v>
      </c>
      <c r="K349">
        <f>K329*28.54125</f>
        <v>0</v>
      </c>
      <c r="L349">
        <f>L329*133.91305</f>
        <v>0</v>
      </c>
      <c r="M349">
        <f>M329*-143.6901</f>
        <v>0</v>
      </c>
      <c r="N349">
        <f>E349+F349+G349+H349+I349+J349+K349+L349</f>
        <v>0</v>
      </c>
      <c r="O349">
        <f>E349+F349+G349+H349+I349+J349+K349+M349</f>
        <v>0</v>
      </c>
    </row>
    <row r="350" spans="3:15">
      <c r="C350">
        <f>18.64</f>
        <v>0</v>
      </c>
      <c r="D350">
        <f>18.64</f>
        <v>0</v>
      </c>
      <c r="E350">
        <f>E329*1.75665</f>
        <v>0</v>
      </c>
      <c r="F350">
        <f>F329*-12.81265</f>
        <v>0</v>
      </c>
      <c r="G350">
        <f>G329*-1.9199</f>
        <v>0</v>
      </c>
      <c r="H350">
        <f>H329*0.0</f>
        <v>0</v>
      </c>
      <c r="I350">
        <f>I329*-0.07064999999999999</f>
        <v>0</v>
      </c>
      <c r="J350">
        <f>J329*-45.48375</f>
        <v>0</v>
      </c>
      <c r="K350">
        <f>K329*34.11279999999999</f>
        <v>0</v>
      </c>
      <c r="L350">
        <f>L329*141.04455000000002</f>
        <v>0</v>
      </c>
      <c r="M350">
        <f>M329*-163.4303</f>
        <v>0</v>
      </c>
      <c r="N350">
        <f>E350+F350+G350+H350+I350+J350+K350+L350</f>
        <v>0</v>
      </c>
      <c r="O350">
        <f>E350+F350+G350+H350+I350+J350+K350+M350</f>
        <v>0</v>
      </c>
    </row>
    <row r="351" spans="3:15">
      <c r="C351">
        <f>19.55</f>
        <v>0</v>
      </c>
      <c r="D351">
        <f>19.55</f>
        <v>0</v>
      </c>
      <c r="E351">
        <f>E329*1.38765</f>
        <v>0</v>
      </c>
      <c r="F351">
        <f>F329*-13.77825</f>
        <v>0</v>
      </c>
      <c r="G351">
        <f>G329*-2.0434</f>
        <v>0</v>
      </c>
      <c r="H351">
        <f>H329*0.0</f>
        <v>0</v>
      </c>
      <c r="I351">
        <f>I329*-0.0696</f>
        <v>0</v>
      </c>
      <c r="J351">
        <f>J329*-39.8293</f>
        <v>0</v>
      </c>
      <c r="K351">
        <f>K329*29.871950000000002</f>
        <v>0</v>
      </c>
      <c r="L351">
        <f>L329*143.10154999999997</f>
        <v>0</v>
      </c>
      <c r="M351">
        <f>M329*-175.02055000000001</f>
        <v>0</v>
      </c>
      <c r="N351">
        <f>E351+F351+G351+H351+I351+J351+K351+L351</f>
        <v>0</v>
      </c>
      <c r="O351">
        <f>E351+F351+G351+H351+I351+J351+K351+M351</f>
        <v>0</v>
      </c>
    </row>
    <row r="352" spans="3:15">
      <c r="C352">
        <f>20.0</f>
        <v>0</v>
      </c>
      <c r="D352">
        <f>20.0</f>
        <v>0</v>
      </c>
      <c r="E352">
        <f>E329*1.0928</f>
        <v>0</v>
      </c>
      <c r="F352">
        <f>F329*-15.5957</f>
        <v>0</v>
      </c>
      <c r="G352">
        <f>G329*-2.2769999999999997</f>
        <v>0</v>
      </c>
      <c r="H352">
        <f>H329*0.0</f>
        <v>0</v>
      </c>
      <c r="I352">
        <f>I329*-0.0735</f>
        <v>0</v>
      </c>
      <c r="J352">
        <f>J329*-40.3999</f>
        <v>0</v>
      </c>
      <c r="K352">
        <f>K329*30.2999</f>
        <v>0</v>
      </c>
      <c r="L352">
        <f>L329*140.8533</f>
        <v>0</v>
      </c>
      <c r="M352">
        <f>M329*-170.2227</f>
        <v>0</v>
      </c>
      <c r="N352">
        <f>E352+F352+G352+H352+I352+J352+K352+L352</f>
        <v>0</v>
      </c>
      <c r="O352">
        <f>E352+F352+G352+H352+I352+J352+K352+M352</f>
        <v>0</v>
      </c>
    </row>
    <row r="353" spans="3:15">
      <c r="C353">
        <f>20.0</f>
        <v>0</v>
      </c>
      <c r="D353">
        <f>0.0</f>
        <v>0</v>
      </c>
      <c r="E353">
        <f>E329*-1.1438</f>
        <v>0</v>
      </c>
      <c r="F353">
        <f>F329*13.4187</f>
        <v>0</v>
      </c>
      <c r="G353">
        <f>G329*1.9669999999999999</f>
        <v>0</v>
      </c>
      <c r="H353">
        <f>H329*0.0</f>
        <v>0</v>
      </c>
      <c r="I353">
        <f>I329*-1.7797</f>
        <v>0</v>
      </c>
      <c r="J353">
        <f>J329*40.0172</f>
        <v>0</v>
      </c>
      <c r="K353">
        <f>K329*-30.0129</f>
        <v>0</v>
      </c>
      <c r="L353">
        <f>L329*127.4777</f>
        <v>0</v>
      </c>
      <c r="M353">
        <f>M329*-112.6074</f>
        <v>0</v>
      </c>
      <c r="N353">
        <f>E353+F353+G353+H353+I353+J353+K353+L353</f>
        <v>0</v>
      </c>
      <c r="O353">
        <f>E353+F353+G353+H353+I353+J353+K353+M353</f>
        <v>0</v>
      </c>
    </row>
    <row r="354" spans="3:15">
      <c r="C354">
        <f>20.45</f>
        <v>0</v>
      </c>
      <c r="D354">
        <f>0.45</f>
        <v>0</v>
      </c>
      <c r="E354">
        <f>E329*-1.3620999999999999</f>
        <v>0</v>
      </c>
      <c r="F354">
        <f>F329*11.8677</f>
        <v>0</v>
      </c>
      <c r="G354">
        <f>G329*1.76655</f>
        <v>0</v>
      </c>
      <c r="H354">
        <f>H329*0.0</f>
        <v>0</v>
      </c>
      <c r="I354">
        <f>I329*-1.7056499999999999</f>
        <v>0</v>
      </c>
      <c r="J354">
        <f>J329*38.588499999999996</f>
        <v>0</v>
      </c>
      <c r="K354">
        <f>K329*-28.9414</f>
        <v>0</v>
      </c>
      <c r="L354">
        <f>L329*153.97635</f>
        <v>0</v>
      </c>
      <c r="M354">
        <f>M329*-128.8845</f>
        <v>0</v>
      </c>
      <c r="N354">
        <f>E354+F354+G354+H354+I354+J354+K354+L354</f>
        <v>0</v>
      </c>
      <c r="O354">
        <f>E354+F354+G354+H354+I354+J354+K354+M354</f>
        <v>0</v>
      </c>
    </row>
    <row r="355" spans="3:15">
      <c r="C355">
        <f>21.36</f>
        <v>0</v>
      </c>
      <c r="D355">
        <f>1.36</f>
        <v>0</v>
      </c>
      <c r="E355">
        <f>E329*-1.7810000000000001</f>
        <v>0</v>
      </c>
      <c r="F355">
        <f>F329*11.6393</f>
        <v>0</v>
      </c>
      <c r="G355">
        <f>G329*1.7518</f>
        <v>0</v>
      </c>
      <c r="H355">
        <f>H329*0.0</f>
        <v>0</v>
      </c>
      <c r="I355">
        <f>I329*-1.7681</f>
        <v>0</v>
      </c>
      <c r="J355">
        <f>J329*45.24735</f>
        <v>0</v>
      </c>
      <c r="K355">
        <f>K329*-33.935500000000005</f>
        <v>0</v>
      </c>
      <c r="L355">
        <f>L329*176.02994999999999</f>
        <v>0</v>
      </c>
      <c r="M355">
        <f>M329*-153.49335</f>
        <v>0</v>
      </c>
      <c r="N355">
        <f>E355+F355+G355+H355+I355+J355+K355+L355</f>
        <v>0</v>
      </c>
      <c r="O355">
        <f>E355+F355+G355+H355+I355+J355+K355+M355</f>
        <v>0</v>
      </c>
    </row>
    <row r="356" spans="3:15">
      <c r="C356">
        <f>22.27</f>
        <v>0</v>
      </c>
      <c r="D356">
        <f>2.27</f>
        <v>0</v>
      </c>
      <c r="E356">
        <f>E329*-2.1873</f>
        <v>0</v>
      </c>
      <c r="F356">
        <f>F329*10.95525</f>
        <v>0</v>
      </c>
      <c r="G356">
        <f>G329*1.6649500000000002</f>
        <v>0</v>
      </c>
      <c r="H356">
        <f>H329*0.0</f>
        <v>0</v>
      </c>
      <c r="I356">
        <f>I329*-1.87395</f>
        <v>0</v>
      </c>
      <c r="J356">
        <f>J329*39.8073</f>
        <v>0</v>
      </c>
      <c r="K356">
        <f>K329*-29.855449999999998</f>
        <v>0</v>
      </c>
      <c r="L356">
        <f>L329*164.42955</f>
        <v>0</v>
      </c>
      <c r="M356">
        <f>M329*-153.51335</f>
        <v>0</v>
      </c>
      <c r="N356">
        <f>E356+F356+G356+H356+I356+J356+K356+L356</f>
        <v>0</v>
      </c>
      <c r="O356">
        <f>E356+F356+G356+H356+I356+J356+K356+M356</f>
        <v>0</v>
      </c>
    </row>
    <row r="357" spans="3:15">
      <c r="C357">
        <f>23.18</f>
        <v>0</v>
      </c>
      <c r="D357">
        <f>3.18</f>
        <v>0</v>
      </c>
      <c r="E357">
        <f>E329*-2.43945</f>
        <v>0</v>
      </c>
      <c r="F357">
        <f>F329*9.27155</f>
        <v>0</v>
      </c>
      <c r="G357">
        <f>G329*1.4256</f>
        <v>0</v>
      </c>
      <c r="H357">
        <f>H329*0.0</f>
        <v>0</v>
      </c>
      <c r="I357">
        <f>I329*-1.9914</f>
        <v>0</v>
      </c>
      <c r="J357">
        <f>J329*29.3314</f>
        <v>0</v>
      </c>
      <c r="K357">
        <f>K329*-21.99855</f>
        <v>0</v>
      </c>
      <c r="L357">
        <f>L329*152.21035</f>
        <v>0</v>
      </c>
      <c r="M357">
        <f>M329*-152.17964999999998</f>
        <v>0</v>
      </c>
      <c r="N357">
        <f>E357+F357+G357+H357+I357+J357+K357+L357</f>
        <v>0</v>
      </c>
      <c r="O357">
        <f>E357+F357+G357+H357+I357+J357+K357+M357</f>
        <v>0</v>
      </c>
    </row>
    <row r="358" spans="3:15">
      <c r="C358">
        <f>24.09</f>
        <v>0</v>
      </c>
      <c r="D358">
        <f>4.09</f>
        <v>0</v>
      </c>
      <c r="E358">
        <f>E329*-2.2623499999999996</f>
        <v>0</v>
      </c>
      <c r="F358">
        <f>F329*7.5215</f>
        <v>0</v>
      </c>
      <c r="G358">
        <f>G329*1.158</f>
        <v>0</v>
      </c>
      <c r="H358">
        <f>H329*0.0</f>
        <v>0</v>
      </c>
      <c r="I358">
        <f>I329*-2.14615</f>
        <v>0</v>
      </c>
      <c r="J358">
        <f>J329*22.44035</f>
        <v>0</v>
      </c>
      <c r="K358">
        <f>K329*-16.83025</f>
        <v>0</v>
      </c>
      <c r="L358">
        <f>L329*143.1579</f>
        <v>0</v>
      </c>
      <c r="M358">
        <f>M329*-151.15275</f>
        <v>0</v>
      </c>
      <c r="N358">
        <f>E358+F358+G358+H358+I358+J358+K358+L358</f>
        <v>0</v>
      </c>
      <c r="O358">
        <f>E358+F358+G358+H358+I358+J358+K358+M358</f>
        <v>0</v>
      </c>
    </row>
    <row r="359" spans="3:15">
      <c r="C359">
        <f>25.0</f>
        <v>0</v>
      </c>
      <c r="D359">
        <f>5.0</f>
        <v>0</v>
      </c>
      <c r="E359">
        <f>E329*-1.7688000000000001</f>
        <v>0</v>
      </c>
      <c r="F359">
        <f>F329*5.5093499999999995</f>
        <v>0</v>
      </c>
      <c r="G359">
        <f>G329*0.86465</f>
        <v>0</v>
      </c>
      <c r="H359">
        <f>H329*0.0</f>
        <v>0</v>
      </c>
      <c r="I359">
        <f>I329*-2.25105</f>
        <v>0</v>
      </c>
      <c r="J359">
        <f>J329*21.5903</f>
        <v>0</v>
      </c>
      <c r="K359">
        <f>K329*-16.192700000000002</f>
        <v>0</v>
      </c>
      <c r="L359">
        <f>L329*135.35715</f>
        <v>0</v>
      </c>
      <c r="M359">
        <f>M329*-146.72185000000002</f>
        <v>0</v>
      </c>
      <c r="N359">
        <f>E359+F359+G359+H359+I359+J359+K359+L359</f>
        <v>0</v>
      </c>
      <c r="O359">
        <f>E359+F359+G359+H359+I359+J359+K359+M359</f>
        <v>0</v>
      </c>
    </row>
    <row r="360" spans="3:15">
      <c r="C360">
        <f>26.0</f>
        <v>0</v>
      </c>
      <c r="D360">
        <f>6.0</f>
        <v>0</v>
      </c>
      <c r="E360">
        <f>E329*-1.22265</f>
        <v>0</v>
      </c>
      <c r="F360">
        <f>F329*3.456</f>
        <v>0</v>
      </c>
      <c r="G360">
        <f>G329*0.5635</f>
        <v>0</v>
      </c>
      <c r="H360">
        <f>H329*0.0</f>
        <v>0</v>
      </c>
      <c r="I360">
        <f>I329*-2.2686</f>
        <v>0</v>
      </c>
      <c r="J360">
        <f>J329*20.23395</f>
        <v>0</v>
      </c>
      <c r="K360">
        <f>K329*-15.17545</f>
        <v>0</v>
      </c>
      <c r="L360">
        <f>L329*121.31485</f>
        <v>0</v>
      </c>
      <c r="M360">
        <f>M329*-133.10155</f>
        <v>0</v>
      </c>
      <c r="N360">
        <f>E360+F360+G360+H360+I360+J360+K360+L360</f>
        <v>0</v>
      </c>
      <c r="O360">
        <f>E360+F360+G360+H360+I360+J360+K360+M360</f>
        <v>0</v>
      </c>
    </row>
    <row r="361" spans="3:15">
      <c r="C361">
        <f>27.0</f>
        <v>0</v>
      </c>
      <c r="D361">
        <f>7.0</f>
        <v>0</v>
      </c>
      <c r="E361">
        <f>E329*-0.91345</f>
        <v>0</v>
      </c>
      <c r="F361">
        <f>F329*2.1039</f>
        <v>0</v>
      </c>
      <c r="G361">
        <f>G329*0.3452</f>
        <v>0</v>
      </c>
      <c r="H361">
        <f>H329*0.0</f>
        <v>0</v>
      </c>
      <c r="I361">
        <f>I329*-2.3218</f>
        <v>0</v>
      </c>
      <c r="J361">
        <f>J329*13.3782</f>
        <v>0</v>
      </c>
      <c r="K361">
        <f>K329*-10.03365</f>
        <v>0</v>
      </c>
      <c r="L361">
        <f>L329*105.1959</f>
        <v>0</v>
      </c>
      <c r="M361">
        <f>M329*-119.69615</f>
        <v>0</v>
      </c>
      <c r="N361">
        <f>E361+F361+G361+H361+I361+J361+K361+L361</f>
        <v>0</v>
      </c>
      <c r="O361">
        <f>E361+F361+G361+H361+I361+J361+K361+M361</f>
        <v>0</v>
      </c>
    </row>
    <row r="362" spans="3:15">
      <c r="C362">
        <f>28.0</f>
        <v>0</v>
      </c>
      <c r="D362">
        <f>8.0</f>
        <v>0</v>
      </c>
      <c r="E362">
        <f>E329*-0.858</f>
        <v>0</v>
      </c>
      <c r="F362">
        <f>F329*0.89435</f>
        <v>0</v>
      </c>
      <c r="G362">
        <f>G329*0.15794999999999998</f>
        <v>0</v>
      </c>
      <c r="H362">
        <f>H329*0.0</f>
        <v>0</v>
      </c>
      <c r="I362">
        <f>I329*-2.4657</f>
        <v>0</v>
      </c>
      <c r="J362">
        <f>J329*3.4802</f>
        <v>0</v>
      </c>
      <c r="K362">
        <f>K329*-2.61015</f>
        <v>0</v>
      </c>
      <c r="L362">
        <f>L329*96.01355</f>
        <v>0</v>
      </c>
      <c r="M362">
        <f>M329*-109.41720000000001</f>
        <v>0</v>
      </c>
      <c r="N362">
        <f>E362+F362+G362+H362+I362+J362+K362+L362</f>
        <v>0</v>
      </c>
      <c r="O362">
        <f>E362+F362+G362+H362+I362+J362+K362+M362</f>
        <v>0</v>
      </c>
    </row>
    <row r="363" spans="3:15">
      <c r="C363">
        <f>29.0</f>
        <v>0</v>
      </c>
      <c r="D363">
        <f>9.0</f>
        <v>0</v>
      </c>
      <c r="E363">
        <f>E329*-0.5405</f>
        <v>0</v>
      </c>
      <c r="F363">
        <f>F329*-0.13069999999999998</f>
        <v>0</v>
      </c>
      <c r="G363">
        <f>G329*-0.013150000000000002</f>
        <v>0</v>
      </c>
      <c r="H363">
        <f>H329*0.0</f>
        <v>0</v>
      </c>
      <c r="I363">
        <f>I329*-2.7098</f>
        <v>0</v>
      </c>
      <c r="J363">
        <f>J329*-2.8408499999999997</f>
        <v>0</v>
      </c>
      <c r="K363">
        <f>K329*2.1306</f>
        <v>0</v>
      </c>
      <c r="L363">
        <f>L329*91.1563</f>
        <v>0</v>
      </c>
      <c r="M363">
        <f>M329*-103.1255</f>
        <v>0</v>
      </c>
      <c r="N363">
        <f>E363+F363+G363+H363+I363+J363+K363+L363</f>
        <v>0</v>
      </c>
      <c r="O363">
        <f>E363+F363+G363+H363+I363+J363+K363+M363</f>
        <v>0</v>
      </c>
    </row>
    <row r="364" spans="3:15">
      <c r="C364">
        <f>30.0</f>
        <v>0</v>
      </c>
      <c r="D364">
        <f>10.0</f>
        <v>0</v>
      </c>
      <c r="E364">
        <f>E329*-0.04825</f>
        <v>0</v>
      </c>
      <c r="F364">
        <f>F329*0.5558</f>
        <v>0</v>
      </c>
      <c r="G364">
        <f>G329*0.0835</f>
        <v>0</v>
      </c>
      <c r="H364">
        <f>H329*0.0</f>
        <v>0</v>
      </c>
      <c r="I364">
        <f>I329*-3.0416999999999996</f>
        <v>0</v>
      </c>
      <c r="J364">
        <f>J329*0.9662499999999998</f>
        <v>0</v>
      </c>
      <c r="K364">
        <f>K329*-0.72465</f>
        <v>0</v>
      </c>
      <c r="L364">
        <f>L329*98.702</f>
        <v>0</v>
      </c>
      <c r="M364">
        <f>M329*-97.82585</f>
        <v>0</v>
      </c>
      <c r="N364">
        <f>E364+F364+G364+H364+I364+J364+K364+L364</f>
        <v>0</v>
      </c>
      <c r="O364">
        <f>E364+F364+G364+H364+I364+J364+K364+M364</f>
        <v>0</v>
      </c>
    </row>
    <row r="365" spans="3:15">
      <c r="C365">
        <f>31.0</f>
        <v>0</v>
      </c>
      <c r="D365">
        <f>11.0</f>
        <v>0</v>
      </c>
      <c r="E365">
        <f>E329*0.44720000000000004</f>
        <v>0</v>
      </c>
      <c r="F365">
        <f>F329*1.2782499999999999</f>
        <v>0</v>
      </c>
      <c r="G365">
        <f>G329*0.18535</f>
        <v>0</v>
      </c>
      <c r="H365">
        <f>H329*0.0</f>
        <v>0</v>
      </c>
      <c r="I365">
        <f>I329*-3.2954999999999997</f>
        <v>0</v>
      </c>
      <c r="J365">
        <f>J329*4.7768999999999995</f>
        <v>0</v>
      </c>
      <c r="K365">
        <f>K329*-3.5827</f>
        <v>0</v>
      </c>
      <c r="L365">
        <f>L329*101.9848</f>
        <v>0</v>
      </c>
      <c r="M365">
        <f>M329*-89.36855</f>
        <v>0</v>
      </c>
      <c r="N365">
        <f>E365+F365+G365+H365+I365+J365+K365+L365</f>
        <v>0</v>
      </c>
      <c r="O365">
        <f>E365+F365+G365+H365+I365+J365+K365+M365</f>
        <v>0</v>
      </c>
    </row>
    <row r="366" spans="3:15">
      <c r="C366">
        <f>32.0</f>
        <v>0</v>
      </c>
      <c r="D366">
        <f>12.0</f>
        <v>0</v>
      </c>
      <c r="E366">
        <f>E329*0.7746500000000001</f>
        <v>0</v>
      </c>
      <c r="F366">
        <f>F329*0.38084999999999997</f>
        <v>0</v>
      </c>
      <c r="G366">
        <f>G329*0.03255</f>
        <v>0</v>
      </c>
      <c r="H366">
        <f>H329*0.0</f>
        <v>0</v>
      </c>
      <c r="I366">
        <f>I329*-3.53205</f>
        <v>0</v>
      </c>
      <c r="J366">
        <f>J329*-1.52025</f>
        <v>0</v>
      </c>
      <c r="K366">
        <f>K329*1.1402</f>
        <v>0</v>
      </c>
      <c r="L366">
        <f>L329*107.7587</f>
        <v>0</v>
      </c>
      <c r="M366">
        <f>M329*-95.5766</f>
        <v>0</v>
      </c>
      <c r="N366">
        <f>E366+F366+G366+H366+I366+J366+K366+L366</f>
        <v>0</v>
      </c>
      <c r="O366">
        <f>E366+F366+G366+H366+I366+J366+K366+M366</f>
        <v>0</v>
      </c>
    </row>
    <row r="367" spans="3:15">
      <c r="C367">
        <f>33.0</f>
        <v>0</v>
      </c>
      <c r="D367">
        <f>13.0</f>
        <v>0</v>
      </c>
      <c r="E367">
        <f>E329*0.84815</f>
        <v>0</v>
      </c>
      <c r="F367">
        <f>F329*-0.64415</f>
        <v>0</v>
      </c>
      <c r="G367">
        <f>G329*-0.12835</f>
        <v>0</v>
      </c>
      <c r="H367">
        <f>H329*0.0</f>
        <v>0</v>
      </c>
      <c r="I367">
        <f>I329*-3.88065</f>
        <v>0</v>
      </c>
      <c r="J367">
        <f>J329*-11.4171</f>
        <v>0</v>
      </c>
      <c r="K367">
        <f>K329*8.562850000000001</f>
        <v>0</v>
      </c>
      <c r="L367">
        <f>L329*117.67635</f>
        <v>0</v>
      </c>
      <c r="M367">
        <f>M329*-101.7868</f>
        <v>0</v>
      </c>
      <c r="N367">
        <f>E367+F367+G367+H367+I367+J367+K367+L367</f>
        <v>0</v>
      </c>
      <c r="O367">
        <f>E367+F367+G367+H367+I367+J367+K367+M367</f>
        <v>0</v>
      </c>
    </row>
    <row r="368" spans="3:15">
      <c r="C368">
        <f>34.0</f>
        <v>0</v>
      </c>
      <c r="D368">
        <f>14.0</f>
        <v>0</v>
      </c>
      <c r="E368">
        <f>E329*1.1852</f>
        <v>0</v>
      </c>
      <c r="F368">
        <f>F329*-1.7921</f>
        <v>0</v>
      </c>
      <c r="G368">
        <f>G329*-0.31784999999999997</f>
        <v>0</v>
      </c>
      <c r="H368">
        <f>H329*0.0</f>
        <v>0</v>
      </c>
      <c r="I368">
        <f>I329*-4.29185</f>
        <v>0</v>
      </c>
      <c r="J368">
        <f>J329*-18.344299999999997</f>
        <v>0</v>
      </c>
      <c r="K368">
        <f>K329*13.7582</f>
        <v>0</v>
      </c>
      <c r="L368">
        <f>L329*131.69795</f>
        <v>0</v>
      </c>
      <c r="M368">
        <f>M329*-118.71485</f>
        <v>0</v>
      </c>
      <c r="N368">
        <f>E368+F368+G368+H368+I368+J368+K368+L368</f>
        <v>0</v>
      </c>
      <c r="O368">
        <f>E368+F368+G368+H368+I368+J368+K368+M368</f>
        <v>0</v>
      </c>
    </row>
    <row r="369" spans="3:15">
      <c r="C369">
        <f>35.0</f>
        <v>0</v>
      </c>
      <c r="D369">
        <f>15.0</f>
        <v>0</v>
      </c>
      <c r="E369">
        <f>E329*1.78315</f>
        <v>0</v>
      </c>
      <c r="F369">
        <f>F329*-3.11205</f>
        <v>0</v>
      </c>
      <c r="G369">
        <f>G329*-0.5135</f>
        <v>0</v>
      </c>
      <c r="H369">
        <f>H329*0.0</f>
        <v>0</v>
      </c>
      <c r="I369">
        <f>I329*-4.9627</f>
        <v>0</v>
      </c>
      <c r="J369">
        <f>J329*-19.51465</f>
        <v>0</v>
      </c>
      <c r="K369">
        <f>K329*14.635950000000001</f>
        <v>0</v>
      </c>
      <c r="L369">
        <f>L329*145.63985000000002</f>
        <v>0</v>
      </c>
      <c r="M369">
        <f>M329*-134.60764999999998</f>
        <v>0</v>
      </c>
      <c r="N369">
        <f>E369+F369+G369+H369+I369+J369+K369+L369</f>
        <v>0</v>
      </c>
      <c r="O369">
        <f>E369+F369+G369+H369+I369+J369+K369+M369</f>
        <v>0</v>
      </c>
    </row>
    <row r="370" spans="3:15">
      <c r="C370">
        <f>35.91</f>
        <v>0</v>
      </c>
      <c r="D370">
        <f>15.91</f>
        <v>0</v>
      </c>
      <c r="E370">
        <f>E329*2.34025</f>
        <v>0</v>
      </c>
      <c r="F370">
        <f>F329*-4.48825</f>
        <v>0</v>
      </c>
      <c r="G370">
        <f>G329*-0.7161500000000001</f>
        <v>0</v>
      </c>
      <c r="H370">
        <f>H329*0.0</f>
        <v>0</v>
      </c>
      <c r="I370">
        <f>I329*-5.5169</f>
        <v>0</v>
      </c>
      <c r="J370">
        <f>J329*-20.377200000000002</f>
        <v>0</v>
      </c>
      <c r="K370">
        <f>K329*15.2829</f>
        <v>0</v>
      </c>
      <c r="L370">
        <f>L329*150.60435</f>
        <v>0</v>
      </c>
      <c r="M370">
        <f>M329*-140.27255</f>
        <v>0</v>
      </c>
      <c r="N370">
        <f>E370+F370+G370+H370+I370+J370+K370+L370</f>
        <v>0</v>
      </c>
      <c r="O370">
        <f>E370+F370+G370+H370+I370+J370+K370+M370</f>
        <v>0</v>
      </c>
    </row>
    <row r="371" spans="3:15">
      <c r="C371">
        <f>36.82</f>
        <v>0</v>
      </c>
      <c r="D371">
        <f>16.82</f>
        <v>0</v>
      </c>
      <c r="E371">
        <f>E329*2.59375</f>
        <v>0</v>
      </c>
      <c r="F371">
        <f>F329*-6.2334</f>
        <v>0</v>
      </c>
      <c r="G371">
        <f>G329*-0.98605</f>
        <v>0</v>
      </c>
      <c r="H371">
        <f>H329*0.0</f>
        <v>0</v>
      </c>
      <c r="I371">
        <f>I329*-5.9768</f>
        <v>0</v>
      </c>
      <c r="J371">
        <f>J329*-27.9673</f>
        <v>0</v>
      </c>
      <c r="K371">
        <f>K329*20.975450000000002</f>
        <v>0</v>
      </c>
      <c r="L371">
        <f>L329*151.6324</f>
        <v>0</v>
      </c>
      <c r="M371">
        <f>M329*-150.19150000000002</f>
        <v>0</v>
      </c>
      <c r="N371">
        <f>E371+F371+G371+H371+I371+J371+K371+L371</f>
        <v>0</v>
      </c>
      <c r="O371">
        <f>E371+F371+G371+H371+I371+J371+K371+M371</f>
        <v>0</v>
      </c>
    </row>
    <row r="372" spans="3:15">
      <c r="C372">
        <f>37.73</f>
        <v>0</v>
      </c>
      <c r="D372">
        <f>17.73</f>
        <v>0</v>
      </c>
      <c r="E372">
        <f>E329*2.4453500000000004</f>
        <v>0</v>
      </c>
      <c r="F372">
        <f>F329*-8.1546</f>
        <v>0</v>
      </c>
      <c r="G372">
        <f>G329*-1.2643499999999999</f>
        <v>0</v>
      </c>
      <c r="H372">
        <f>H329*0.0</f>
        <v>0</v>
      </c>
      <c r="I372">
        <f>I329*-6.6675</f>
        <v>0</v>
      </c>
      <c r="J372">
        <f>J329*-39.611000000000004</f>
        <v>0</v>
      </c>
      <c r="K372">
        <f>K329*29.70825</f>
        <v>0</v>
      </c>
      <c r="L372">
        <f>L329*154.54649999999998</f>
        <v>0</v>
      </c>
      <c r="M372">
        <f>M329*-164.2275</f>
        <v>0</v>
      </c>
      <c r="N372">
        <f>E372+F372+G372+H372+I372+J372+K372+L372</f>
        <v>0</v>
      </c>
      <c r="O372">
        <f>E372+F372+G372+H372+I372+J372+K372+M372</f>
        <v>0</v>
      </c>
    </row>
    <row r="373" spans="3:15">
      <c r="C373">
        <f>38.64</f>
        <v>0</v>
      </c>
      <c r="D373">
        <f>18.64</f>
        <v>0</v>
      </c>
      <c r="E373">
        <f>E329*2.1546</f>
        <v>0</v>
      </c>
      <c r="F373">
        <f>F329*-9.558900000000001</f>
        <v>0</v>
      </c>
      <c r="G373">
        <f>G329*-1.46135</f>
        <v>0</v>
      </c>
      <c r="H373">
        <f>H329*0.0</f>
        <v>0</v>
      </c>
      <c r="I373">
        <f>I329*-7.1265</f>
        <v>0</v>
      </c>
      <c r="J373">
        <f>J329*-46.76765</f>
        <v>0</v>
      </c>
      <c r="K373">
        <f>K329*35.07575</f>
        <v>0</v>
      </c>
      <c r="L373">
        <f>L329*157.03045</f>
        <v>0</v>
      </c>
      <c r="M373">
        <f>M329*-180.5145</f>
        <v>0</v>
      </c>
      <c r="N373">
        <f>E373+F373+G373+H373+I373+J373+K373+L373</f>
        <v>0</v>
      </c>
      <c r="O373">
        <f>E373+F373+G373+H373+I373+J373+K373+M373</f>
        <v>0</v>
      </c>
    </row>
    <row r="374" spans="3:15">
      <c r="C374">
        <f>39.55</f>
        <v>0</v>
      </c>
      <c r="D374">
        <f>19.55</f>
        <v>0</v>
      </c>
      <c r="E374">
        <f>E329*1.8038500000000002</f>
        <v>0</v>
      </c>
      <c r="F374">
        <f>F329*-10.43505</f>
        <v>0</v>
      </c>
      <c r="G374">
        <f>G329*-1.57385</f>
        <v>0</v>
      </c>
      <c r="H374">
        <f>H329*0.0</f>
        <v>0</v>
      </c>
      <c r="I374">
        <f>I329*-6.4354</f>
        <v>0</v>
      </c>
      <c r="J374">
        <f>J329*-41.3357</f>
        <v>0</v>
      </c>
      <c r="K374">
        <f>K329*31.00175</f>
        <v>0</v>
      </c>
      <c r="L374">
        <f>L329*162.2311</f>
        <v>0</v>
      </c>
      <c r="M374">
        <f>M329*-191.50815</f>
        <v>0</v>
      </c>
      <c r="N374">
        <f>E374+F374+G374+H374+I374+J374+K374+L374</f>
        <v>0</v>
      </c>
      <c r="O374">
        <f>E374+F374+G374+H374+I374+J374+K374+M374</f>
        <v>0</v>
      </c>
    </row>
    <row r="375" spans="3:15">
      <c r="C375">
        <f>40.0</f>
        <v>0</v>
      </c>
      <c r="D375">
        <f>20.0</f>
        <v>0</v>
      </c>
      <c r="E375">
        <f>E329*1.6144</f>
        <v>0</v>
      </c>
      <c r="F375">
        <f>F329*-11.5389</f>
        <v>0</v>
      </c>
      <c r="G375">
        <f>G329*-1.7099</f>
        <v>0</v>
      </c>
      <c r="H375">
        <f>H329*0.0</f>
        <v>0</v>
      </c>
      <c r="I375">
        <f>I329*-6.2957</f>
        <v>0</v>
      </c>
      <c r="J375">
        <f>J329*-42.6338</f>
        <v>0</v>
      </c>
      <c r="K375">
        <f>K329*31.9753</f>
        <v>0</v>
      </c>
      <c r="L375">
        <f>L329*170.9641</f>
        <v>0</v>
      </c>
      <c r="M375">
        <f>M329*-194.9079</f>
        <v>0</v>
      </c>
      <c r="N375">
        <f>E375+F375+G375+H375+I375+J375+K375+L375</f>
        <v>0</v>
      </c>
      <c r="O375">
        <f>E375+F375+G375+H375+I375+J375+K375+M375</f>
        <v>0</v>
      </c>
    </row>
    <row r="376" spans="3:15">
      <c r="C376">
        <f>40.0</f>
        <v>0</v>
      </c>
      <c r="D376">
        <f>0.0</f>
        <v>0</v>
      </c>
      <c r="E376">
        <f>E329*-0.8218</f>
        <v>0</v>
      </c>
      <c r="F376">
        <f>F329*10.7549</f>
        <v>0</v>
      </c>
      <c r="G376">
        <f>G329*1.5555</f>
        <v>0</v>
      </c>
      <c r="H376">
        <f>H329*0.0</f>
        <v>0</v>
      </c>
      <c r="I376">
        <f>I329*-60.7936</f>
        <v>0</v>
      </c>
      <c r="J376">
        <f>J329*32.376</f>
        <v>0</v>
      </c>
      <c r="K376">
        <f>K329*-24.281999999999996</f>
        <v>0</v>
      </c>
      <c r="L376">
        <f>L329*48.8354</f>
        <v>0</v>
      </c>
      <c r="M376">
        <f>M329*-31.487</f>
        <v>0</v>
      </c>
      <c r="N376">
        <f>E376+F376+G376+H376+I376+J376+K376+L376</f>
        <v>0</v>
      </c>
      <c r="O376">
        <f>E376+F376+G376+H376+I376+J376+K376+M376</f>
        <v>0</v>
      </c>
    </row>
    <row r="377" spans="3:15">
      <c r="C377">
        <f>40.45</f>
        <v>0</v>
      </c>
      <c r="D377">
        <f>0.45</f>
        <v>0</v>
      </c>
      <c r="E377">
        <f>E329*-0.9575</f>
        <v>0</v>
      </c>
      <c r="F377">
        <f>F329*9.6144</f>
        <v>0</v>
      </c>
      <c r="G377">
        <f>G329*1.4127</f>
        <v>0</v>
      </c>
      <c r="H377">
        <f>H329*0.0</f>
        <v>0</v>
      </c>
      <c r="I377">
        <f>I329*-65.0973</f>
        <v>0</v>
      </c>
      <c r="J377">
        <f>J329*30.726149999999997</f>
        <v>0</v>
      </c>
      <c r="K377">
        <f>K329*-23.0446</f>
        <v>0</v>
      </c>
      <c r="L377">
        <f>L329*73.0825</f>
        <v>0</v>
      </c>
      <c r="M377">
        <f>M329*-57.5935</f>
        <v>0</v>
      </c>
      <c r="N377">
        <f>E377+F377+G377+H377+I377+J377+K377+L377</f>
        <v>0</v>
      </c>
      <c r="O377">
        <f>E377+F377+G377+H377+I377+J377+K377+M377</f>
        <v>0</v>
      </c>
    </row>
    <row r="378" spans="3:15">
      <c r="C378">
        <f>41.36</f>
        <v>0</v>
      </c>
      <c r="D378">
        <f>1.36</f>
        <v>0</v>
      </c>
      <c r="E378">
        <f>E329*-1.21625</f>
        <v>0</v>
      </c>
      <c r="F378">
        <f>F329*10.3364</f>
        <v>0</v>
      </c>
      <c r="G378">
        <f>G329*1.5335999999999999</f>
        <v>0</v>
      </c>
      <c r="H378">
        <f>H329*0.0</f>
        <v>0</v>
      </c>
      <c r="I378">
        <f>I329*-72.3809</f>
        <v>0</v>
      </c>
      <c r="J378">
        <f>J329*37.7903</f>
        <v>0</v>
      </c>
      <c r="K378">
        <f>K329*-28.3427</f>
        <v>0</v>
      </c>
      <c r="L378">
        <f>L329*93.9648</f>
        <v>0</v>
      </c>
      <c r="M378">
        <f>M329*-85.32665</f>
        <v>0</v>
      </c>
      <c r="N378">
        <f>E378+F378+G378+H378+I378+J378+K378+L378</f>
        <v>0</v>
      </c>
      <c r="O378">
        <f>E378+F378+G378+H378+I378+J378+K378+M378</f>
        <v>0</v>
      </c>
    </row>
    <row r="379" spans="3:15">
      <c r="C379">
        <f>42.27</f>
        <v>0</v>
      </c>
      <c r="D379">
        <f>2.27</f>
        <v>0</v>
      </c>
      <c r="E379">
        <f>E329*-1.35095</f>
        <v>0</v>
      </c>
      <c r="F379">
        <f>F329*10.46945</f>
        <v>0</v>
      </c>
      <c r="G379">
        <f>G329*1.55255</f>
        <v>0</v>
      </c>
      <c r="H379">
        <f>H329*0.0</f>
        <v>0</v>
      </c>
      <c r="I379">
        <f>I329*-59.9544</f>
        <v>0</v>
      </c>
      <c r="J379">
        <f>J329*30.8547</f>
        <v>0</v>
      </c>
      <c r="K379">
        <f>K329*-23.14105</f>
        <v>0</v>
      </c>
      <c r="L379">
        <f>L329*86.94355</f>
        <v>0</v>
      </c>
      <c r="M379">
        <f>M329*-80.8472</f>
        <v>0</v>
      </c>
      <c r="N379">
        <f>E379+F379+G379+H379+I379+J379+K379+L379</f>
        <v>0</v>
      </c>
      <c r="O379">
        <f>E379+F379+G379+H379+I379+J379+K379+M379</f>
        <v>0</v>
      </c>
    </row>
    <row r="380" spans="3:15">
      <c r="C380">
        <f>43.18</f>
        <v>0</v>
      </c>
      <c r="D380">
        <f>3.18</f>
        <v>0</v>
      </c>
      <c r="E380">
        <f>E329*-1.24045</f>
        <v>0</v>
      </c>
      <c r="F380">
        <f>F329*9.5014</f>
        <v>0</v>
      </c>
      <c r="G380">
        <f>G329*1.3965999999999998</f>
        <v>0</v>
      </c>
      <c r="H380">
        <f>H329*0.0</f>
        <v>0</v>
      </c>
      <c r="I380">
        <f>I329*-41.327650000000006</f>
        <v>0</v>
      </c>
      <c r="J380">
        <f>J329*17.601</f>
        <v>0</v>
      </c>
      <c r="K380">
        <f>K329*-13.20075</f>
        <v>0</v>
      </c>
      <c r="L380">
        <f>L329*81.47735</f>
        <v>0</v>
      </c>
      <c r="M380">
        <f>M329*-77.5758</f>
        <v>0</v>
      </c>
      <c r="N380">
        <f>E380+F380+G380+H380+I380+J380+K380+L380</f>
        <v>0</v>
      </c>
      <c r="O380">
        <f>E380+F380+G380+H380+I380+J380+K380+M380</f>
        <v>0</v>
      </c>
    </row>
    <row r="381" spans="3:15">
      <c r="C381">
        <f>44.09</f>
        <v>0</v>
      </c>
      <c r="D381">
        <f>4.09</f>
        <v>0</v>
      </c>
      <c r="E381">
        <f>E329*-0.6512</f>
        <v>0</v>
      </c>
      <c r="F381">
        <f>F329*8.0783</f>
        <v>0</v>
      </c>
      <c r="G381">
        <f>G329*1.1504500000000002</f>
        <v>0</v>
      </c>
      <c r="H381">
        <f>H329*0.0</f>
        <v>0</v>
      </c>
      <c r="I381">
        <f>I329*-19.889</f>
        <v>0</v>
      </c>
      <c r="J381">
        <f>J329*6.81695</f>
        <v>0</v>
      </c>
      <c r="K381">
        <f>K329*-5.11275</f>
        <v>0</v>
      </c>
      <c r="L381">
        <f>L329*76.8589</f>
        <v>0</v>
      </c>
      <c r="M381">
        <f>M329*-76.23725</f>
        <v>0</v>
      </c>
      <c r="N381">
        <f>E381+F381+G381+H381+I381+J381+K381+L381</f>
        <v>0</v>
      </c>
      <c r="O381">
        <f>E381+F381+G381+H381+I381+J381+K381+M381</f>
        <v>0</v>
      </c>
    </row>
    <row r="382" spans="3:15">
      <c r="C382">
        <f>45.0</f>
        <v>0</v>
      </c>
      <c r="D382">
        <f>5.0</f>
        <v>0</v>
      </c>
      <c r="E382">
        <f>E329*0.66045</f>
        <v>0</v>
      </c>
      <c r="F382">
        <f>F329*5.40195</f>
        <v>0</v>
      </c>
      <c r="G382">
        <f>G329*0.7046</f>
        <v>0</v>
      </c>
      <c r="H382">
        <f>H329*0.0</f>
        <v>0</v>
      </c>
      <c r="I382">
        <f>I329*-0.18045</f>
        <v>0</v>
      </c>
      <c r="J382">
        <f>J329*-4.73025</f>
        <v>0</v>
      </c>
      <c r="K382">
        <f>K329*3.5476499999999995</f>
        <v>0</v>
      </c>
      <c r="L382">
        <f>L329*80.88714999999999</f>
        <v>0</v>
      </c>
      <c r="M382">
        <f>M329*-75.695</f>
        <v>0</v>
      </c>
      <c r="N382">
        <f>E382+F382+G382+H382+I382+J382+K382+L382</f>
        <v>0</v>
      </c>
      <c r="O382">
        <f>E382+F382+G382+H382+I382+J382+K382+M382</f>
        <v>0</v>
      </c>
    </row>
    <row r="383" spans="3:15">
      <c r="C383">
        <f>46.0</f>
        <v>0</v>
      </c>
      <c r="D383">
        <f>6.0</f>
        <v>0</v>
      </c>
      <c r="E383">
        <f>E329*2.0717</f>
        <v>0</v>
      </c>
      <c r="F383">
        <f>F329*2.5686999999999998</f>
        <v>0</v>
      </c>
      <c r="G383">
        <f>G329*0.2282</f>
        <v>0</v>
      </c>
      <c r="H383">
        <f>H329*0.0</f>
        <v>0</v>
      </c>
      <c r="I383">
        <f>I329*21.74105</f>
        <v>0</v>
      </c>
      <c r="J383">
        <f>J329*-18.00345</f>
        <v>0</v>
      </c>
      <c r="K383">
        <f>K329*13.502600000000001</f>
        <v>0</v>
      </c>
      <c r="L383">
        <f>L329*79.28995</f>
        <v>0</v>
      </c>
      <c r="M383">
        <f>M329*-70.59125</f>
        <v>0</v>
      </c>
      <c r="N383">
        <f>E383+F383+G383+H383+I383+J383+K383+L383</f>
        <v>0</v>
      </c>
      <c r="O383">
        <f>E383+F383+G383+H383+I383+J383+K383+M383</f>
        <v>0</v>
      </c>
    </row>
    <row r="384" spans="3:15">
      <c r="C384">
        <f>47.0</f>
        <v>0</v>
      </c>
      <c r="D384">
        <f>7.0</f>
        <v>0</v>
      </c>
      <c r="E384">
        <f>E329*2.9135</f>
        <v>0</v>
      </c>
      <c r="F384">
        <f>F329*1.09715</f>
        <v>0</v>
      </c>
      <c r="G384">
        <f>G329*-0.0505</f>
        <v>0</v>
      </c>
      <c r="H384">
        <f>H329*0.0</f>
        <v>0</v>
      </c>
      <c r="I384">
        <f>I329*47.0594</f>
        <v>0</v>
      </c>
      <c r="J384">
        <f>J329*-32.72985</f>
        <v>0</v>
      </c>
      <c r="K384">
        <f>K329*24.5474</f>
        <v>0</v>
      </c>
      <c r="L384">
        <f>L329*80.7931</f>
        <v>0</v>
      </c>
      <c r="M384">
        <f>M329*-75.51275</f>
        <v>0</v>
      </c>
      <c r="N384">
        <f>E384+F384+G384+H384+I384+J384+K384+L384</f>
        <v>0</v>
      </c>
      <c r="O384">
        <f>E384+F384+G384+H384+I384+J384+K384+M384</f>
        <v>0</v>
      </c>
    </row>
    <row r="385" spans="3:15">
      <c r="C385">
        <f>48.0</f>
        <v>0</v>
      </c>
      <c r="D385">
        <f>8.0</f>
        <v>0</v>
      </c>
      <c r="E385">
        <f>E329*3.33355</f>
        <v>0</v>
      </c>
      <c r="F385">
        <f>F329*-0.028700000000000003</f>
        <v>0</v>
      </c>
      <c r="G385">
        <f>G329*-0.25955</f>
        <v>0</v>
      </c>
      <c r="H385">
        <f>H329*0.0</f>
        <v>0</v>
      </c>
      <c r="I385">
        <f>I329*69.92685</f>
        <v>0</v>
      </c>
      <c r="J385">
        <f>J329*-49.9897</f>
        <v>0</v>
      </c>
      <c r="K385">
        <f>K329*37.49225</f>
        <v>0</v>
      </c>
      <c r="L385">
        <f>L329*84.8956</f>
        <v>0</v>
      </c>
      <c r="M385">
        <f>M329*-80.7638</f>
        <v>0</v>
      </c>
      <c r="N385">
        <f>E385+F385+G385+H385+I385+J385+K385+L385</f>
        <v>0</v>
      </c>
      <c r="O385">
        <f>E385+F385+G385+H385+I385+J385+K385+M385</f>
        <v>0</v>
      </c>
    </row>
    <row r="386" spans="3:15">
      <c r="C386">
        <f>49.0</f>
        <v>0</v>
      </c>
      <c r="D386">
        <f>9.0</f>
        <v>0</v>
      </c>
      <c r="E386">
        <f>E329*3.53425</f>
        <v>0</v>
      </c>
      <c r="F386">
        <f>F329*-0.72465</f>
        <v>0</v>
      </c>
      <c r="G386">
        <f>G329*-0.3843</f>
        <v>0</v>
      </c>
      <c r="H386">
        <f>H329*0.0</f>
        <v>0</v>
      </c>
      <c r="I386">
        <f>I329*87.8694</f>
        <v>0</v>
      </c>
      <c r="J386">
        <f>J329*-58.53445000000001</f>
        <v>0</v>
      </c>
      <c r="K386">
        <f>K329*43.900850000000005</f>
        <v>0</v>
      </c>
      <c r="L386">
        <f>L329*92.27420000000001</f>
        <v>0</v>
      </c>
      <c r="M386">
        <f>M329*-91.7706</f>
        <v>0</v>
      </c>
      <c r="N386">
        <f>E386+F386+G386+H386+I386+J386+K386+L386</f>
        <v>0</v>
      </c>
      <c r="O386">
        <f>E386+F386+G386+H386+I386+J386+K386+M386</f>
        <v>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10:O386"/>
  <sheetViews>
    <sheetView workbookViewId="0"/>
  </sheetViews>
  <sheetFormatPr defaultRowHeight="15"/>
  <sheetData>
    <row r="10" spans="3:1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</row>
    <row r="11" spans="3:15">
      <c r="C11">
        <f>0.0</f>
        <v>0</v>
      </c>
      <c r="D11">
        <f>0.0</f>
        <v>0</v>
      </c>
      <c r="E11">
        <f>E9*24.0122</f>
        <v>0</v>
      </c>
      <c r="F11">
        <f>F9*-29.9547</f>
        <v>0</v>
      </c>
      <c r="G11">
        <f>G9*-6.5443</f>
        <v>0</v>
      </c>
      <c r="H11">
        <f>H9*0.0</f>
        <v>0</v>
      </c>
      <c r="I11">
        <f>I9*0.0612</f>
        <v>0</v>
      </c>
      <c r="J11">
        <f>J9*-214.7527</f>
        <v>0</v>
      </c>
      <c r="K11">
        <f>K9*161.0646</f>
        <v>0</v>
      </c>
      <c r="L11">
        <f>L9*175.1905</f>
        <v>0</v>
      </c>
      <c r="M11">
        <f>M9*-240.1449</f>
        <v>0</v>
      </c>
      <c r="N11">
        <f>E11+F11+G11+H11+I11+J11+K11+L11</f>
        <v>0</v>
      </c>
      <c r="O11">
        <f>E11+F11+G11+H11+I11+J11+K11+M11</f>
        <v>0</v>
      </c>
    </row>
    <row r="12" spans="3:15">
      <c r="C12">
        <f>1.0</f>
        <v>0</v>
      </c>
      <c r="D12">
        <f>1.0</f>
        <v>0</v>
      </c>
      <c r="E12">
        <f>E9*34.29900000000001</f>
        <v>0</v>
      </c>
      <c r="F12">
        <f>F9*207.34355</f>
        <v>0</v>
      </c>
      <c r="G12">
        <f>G9*29.05175</f>
        <v>0</v>
      </c>
      <c r="H12">
        <f>H9*0.0</f>
        <v>0</v>
      </c>
      <c r="I12">
        <f>I9*0.054650000000000004</f>
        <v>0</v>
      </c>
      <c r="J12">
        <f>J9*-95.3998</f>
        <v>0</v>
      </c>
      <c r="K12">
        <f>K9*71.5498</f>
        <v>0</v>
      </c>
      <c r="L12">
        <f>L9*362.44745</f>
        <v>0</v>
      </c>
      <c r="M12">
        <f>M9*-32.16105</f>
        <v>0</v>
      </c>
      <c r="N12">
        <f>E12+F12+G12+H12+I12+J12+K12+L12</f>
        <v>0</v>
      </c>
      <c r="O12">
        <f>E12+F12+G12+H12+I12+J12+K12+M12</f>
        <v>0</v>
      </c>
    </row>
    <row r="13" spans="3:15">
      <c r="C13">
        <f>2.0</f>
        <v>0</v>
      </c>
      <c r="D13">
        <f>2.0</f>
        <v>0</v>
      </c>
      <c r="E13">
        <f>E9*45.218199999999996</f>
        <v>0</v>
      </c>
      <c r="F13">
        <f>F9*407.82615</f>
        <v>0</v>
      </c>
      <c r="G13">
        <f>G9*58.63435</f>
        <v>0</v>
      </c>
      <c r="H13">
        <f>H9*0.0</f>
        <v>0</v>
      </c>
      <c r="I13">
        <f>I9*0.048299999999999996</f>
        <v>0</v>
      </c>
      <c r="J13">
        <f>J9*-7.7421</f>
        <v>0</v>
      </c>
      <c r="K13">
        <f>K9*5.8066</f>
        <v>0</v>
      </c>
      <c r="L13">
        <f>L9*607.7422</f>
        <v>0</v>
      </c>
      <c r="M13">
        <f>M9*-11.8496</f>
        <v>0</v>
      </c>
      <c r="N13">
        <f>E13+F13+G13+H13+I13+J13+K13+L13</f>
        <v>0</v>
      </c>
      <c r="O13">
        <f>E13+F13+G13+H13+I13+J13+K13+M13</f>
        <v>0</v>
      </c>
    </row>
    <row r="14" spans="3:15">
      <c r="C14">
        <f>3.0</f>
        <v>0</v>
      </c>
      <c r="D14">
        <f>3.0</f>
        <v>0</v>
      </c>
      <c r="E14">
        <f>E9*56.71395</f>
        <v>0</v>
      </c>
      <c r="F14">
        <f>F9*575.17675</f>
        <v>0</v>
      </c>
      <c r="G14">
        <f>G9*82.7955</f>
        <v>0</v>
      </c>
      <c r="H14">
        <f>H9*0.0</f>
        <v>0</v>
      </c>
      <c r="I14">
        <f>I9*0.04195</f>
        <v>0</v>
      </c>
      <c r="J14">
        <f>J9*73.8221</f>
        <v>0</v>
      </c>
      <c r="K14">
        <f>K9*-55.366550000000004</f>
        <v>0</v>
      </c>
      <c r="L14">
        <f>L9*823.2009499999999</f>
        <v>0</v>
      </c>
      <c r="M14">
        <f>M9*-13.69455</f>
        <v>0</v>
      </c>
      <c r="N14">
        <f>E14+F14+G14+H14+I14+J14+K14+L14</f>
        <v>0</v>
      </c>
      <c r="O14">
        <f>E14+F14+G14+H14+I14+J14+K14+M14</f>
        <v>0</v>
      </c>
    </row>
    <row r="15" spans="3:15">
      <c r="C15">
        <f>4.0</f>
        <v>0</v>
      </c>
      <c r="D15">
        <f>4.0</f>
        <v>0</v>
      </c>
      <c r="E15">
        <f>E9*68.03395</f>
        <v>0</v>
      </c>
      <c r="F15">
        <f>F9*709.47955</f>
        <v>0</v>
      </c>
      <c r="G15">
        <f>G9*101.61959999999999</f>
        <v>0</v>
      </c>
      <c r="H15">
        <f>H9*0.0</f>
        <v>0</v>
      </c>
      <c r="I15">
        <f>I9*0.03585</f>
        <v>0</v>
      </c>
      <c r="J15">
        <f>J9*156.55295</f>
        <v>0</v>
      </c>
      <c r="K15">
        <f>K9*-117.41470000000001</f>
        <v>0</v>
      </c>
      <c r="L15">
        <f>L9*990.0986</f>
        <v>0</v>
      </c>
      <c r="M15">
        <f>M9*-15.7503</f>
        <v>0</v>
      </c>
      <c r="N15">
        <f>E15+F15+G15+H15+I15+J15+K15+L15</f>
        <v>0</v>
      </c>
      <c r="O15">
        <f>E15+F15+G15+H15+I15+J15+K15+M15</f>
        <v>0</v>
      </c>
    </row>
    <row r="16" spans="3:15">
      <c r="C16">
        <f>5.0</f>
        <v>0</v>
      </c>
      <c r="D16">
        <f>5.0</f>
        <v>0</v>
      </c>
      <c r="E16">
        <f>E9*80.86525</f>
        <v>0</v>
      </c>
      <c r="F16">
        <f>F9*833.6185499999999</f>
        <v>0</v>
      </c>
      <c r="G16">
        <f>G9*118.3476</f>
        <v>0</v>
      </c>
      <c r="H16">
        <f>H9*0.0</f>
        <v>0</v>
      </c>
      <c r="I16">
        <f>I9*0.030600000000000002</f>
        <v>0</v>
      </c>
      <c r="J16">
        <f>J9*220.00905</f>
        <v>0</v>
      </c>
      <c r="K16">
        <f>K9*-165.00685</f>
        <v>0</v>
      </c>
      <c r="L16">
        <f>L9*1135.6127999999999</f>
        <v>0</v>
      </c>
      <c r="M16">
        <f>M9*-18.095399999999998</f>
        <v>0</v>
      </c>
      <c r="N16">
        <f>E16+F16+G16+H16+I16+J16+K16+L16</f>
        <v>0</v>
      </c>
      <c r="O16">
        <f>E16+F16+G16+H16+I16+J16+K16+M16</f>
        <v>0</v>
      </c>
    </row>
    <row r="17" spans="3:15">
      <c r="C17">
        <f>6.0</f>
        <v>0</v>
      </c>
      <c r="D17">
        <f>6.0</f>
        <v>0</v>
      </c>
      <c r="E17">
        <f>E9*87.1956</f>
        <v>0</v>
      </c>
      <c r="F17">
        <f>F9*931.4942</f>
        <v>0</v>
      </c>
      <c r="G17">
        <f>G9*133.42195</f>
        <v>0</v>
      </c>
      <c r="H17">
        <f>H9*0.0</f>
        <v>0</v>
      </c>
      <c r="I17">
        <f>I9*0.026799999999999997</f>
        <v>0</v>
      </c>
      <c r="J17">
        <f>J9*202.0867</f>
        <v>0</v>
      </c>
      <c r="K17">
        <f>K9*-151.565</f>
        <v>0</v>
      </c>
      <c r="L17">
        <f>L9*1268.1601</f>
        <v>0</v>
      </c>
      <c r="M17">
        <f>M9*-20.406550000000003</f>
        <v>0</v>
      </c>
      <c r="N17">
        <f>E17+F17+G17+H17+I17+J17+K17+L17</f>
        <v>0</v>
      </c>
      <c r="O17">
        <f>E17+F17+G17+H17+I17+J17+K17+M17</f>
        <v>0</v>
      </c>
    </row>
    <row r="18" spans="3:15">
      <c r="C18">
        <f>7.0</f>
        <v>0</v>
      </c>
      <c r="D18">
        <f>7.0</f>
        <v>0</v>
      </c>
      <c r="E18">
        <f>E9*92.19274999999999</f>
        <v>0</v>
      </c>
      <c r="F18">
        <f>F9*1004.01095</f>
        <v>0</v>
      </c>
      <c r="G18">
        <f>G9*144.31015</f>
        <v>0</v>
      </c>
      <c r="H18">
        <f>H9*0.0</f>
        <v>0</v>
      </c>
      <c r="I18">
        <f>I9*0.0233</f>
        <v>0</v>
      </c>
      <c r="J18">
        <f>J9*192.2855</f>
        <v>0</v>
      </c>
      <c r="K18">
        <f>K9*-144.21415</f>
        <v>0</v>
      </c>
      <c r="L18">
        <f>L9*1365.2770500000001</f>
        <v>0</v>
      </c>
      <c r="M18">
        <f>M9*-22.5895</f>
        <v>0</v>
      </c>
      <c r="N18">
        <f>E18+F18+G18+H18+I18+J18+K18+L18</f>
        <v>0</v>
      </c>
      <c r="O18">
        <f>E18+F18+G18+H18+I18+J18+K18+M18</f>
        <v>0</v>
      </c>
    </row>
    <row r="19" spans="3:15">
      <c r="C19">
        <f>8.0</f>
        <v>0</v>
      </c>
      <c r="D19">
        <f>8.0</f>
        <v>0</v>
      </c>
      <c r="E19">
        <f>E9*97.3862</f>
        <v>0</v>
      </c>
      <c r="F19">
        <f>F9*1055.92235</f>
        <v>0</v>
      </c>
      <c r="G19">
        <f>G9*151.6948</f>
        <v>0</v>
      </c>
      <c r="H19">
        <f>H9*0.0</f>
        <v>0</v>
      </c>
      <c r="I19">
        <f>I9*0.0199</f>
        <v>0</v>
      </c>
      <c r="J19">
        <f>J9*192.7491</f>
        <v>0</v>
      </c>
      <c r="K19">
        <f>K9*-144.5618</f>
        <v>0</v>
      </c>
      <c r="L19">
        <f>L9*1427.9038500000001</f>
        <v>0</v>
      </c>
      <c r="M19">
        <f>M9*-24.7683</f>
        <v>0</v>
      </c>
      <c r="N19">
        <f>E19+F19+G19+H19+I19+J19+K19+L19</f>
        <v>0</v>
      </c>
      <c r="O19">
        <f>E19+F19+G19+H19+I19+J19+K19+M19</f>
        <v>0</v>
      </c>
    </row>
    <row r="20" spans="3:15">
      <c r="C20">
        <f>9.0</f>
        <v>0</v>
      </c>
      <c r="D20">
        <f>9.0</f>
        <v>0</v>
      </c>
      <c r="E20">
        <f>E9*102.82435</f>
        <v>0</v>
      </c>
      <c r="F20">
        <f>F9*1088.2349</f>
        <v>0</v>
      </c>
      <c r="G20">
        <f>G9*155.70615</f>
        <v>0</v>
      </c>
      <c r="H20">
        <f>H9*0.0</f>
        <v>0</v>
      </c>
      <c r="I20">
        <f>I9*0.01675</f>
        <v>0</v>
      </c>
      <c r="J20">
        <f>J9*203.833</f>
        <v>0</v>
      </c>
      <c r="K20">
        <f>K9*-152.8748</f>
        <v>0</v>
      </c>
      <c r="L20">
        <f>L9*1454.8243499999999</f>
        <v>0</v>
      </c>
      <c r="M20">
        <f>M9*-27.0837</f>
        <v>0</v>
      </c>
      <c r="N20">
        <f>E20+F20+G20+H20+I20+J20+K20+L20</f>
        <v>0</v>
      </c>
      <c r="O20">
        <f>E20+F20+G20+H20+I20+J20+K20+M20</f>
        <v>0</v>
      </c>
    </row>
    <row r="21" spans="3:15">
      <c r="C21">
        <f>10.0</f>
        <v>0</v>
      </c>
      <c r="D21">
        <f>10.0</f>
        <v>0</v>
      </c>
      <c r="E21">
        <f>E9*107.70570000000001</f>
        <v>0</v>
      </c>
      <c r="F21">
        <f>F9*1098.9587000000001</f>
        <v>0</v>
      </c>
      <c r="G21">
        <f>G9*156.02975</f>
        <v>0</v>
      </c>
      <c r="H21">
        <f>H9*0.0</f>
        <v>0</v>
      </c>
      <c r="I21">
        <f>I9*0.01395</f>
        <v>0</v>
      </c>
      <c r="J21">
        <f>J9*218.1857</f>
        <v>0</v>
      </c>
      <c r="K21">
        <f>K9*-163.63925</f>
        <v>0</v>
      </c>
      <c r="L21">
        <f>L9*1448.3124</f>
        <v>0</v>
      </c>
      <c r="M21">
        <f>M9*-29.4144</f>
        <v>0</v>
      </c>
      <c r="N21">
        <f>E21+F21+G21+H21+I21+J21+K21+L21</f>
        <v>0</v>
      </c>
      <c r="O21">
        <f>E21+F21+G21+H21+I21+J21+K21+M21</f>
        <v>0</v>
      </c>
    </row>
    <row r="22" spans="3:15">
      <c r="C22">
        <f>11.0</f>
        <v>0</v>
      </c>
      <c r="D22">
        <f>11.0</f>
        <v>0</v>
      </c>
      <c r="E22">
        <f>E9*102.06235000000001</f>
        <v>0</v>
      </c>
      <c r="F22">
        <f>F9*1081.9598</f>
        <v>0</v>
      </c>
      <c r="G22">
        <f>G9*154.7793</f>
        <v>0</v>
      </c>
      <c r="H22">
        <f>H9*0.0</f>
        <v>0</v>
      </c>
      <c r="I22">
        <f>I9*0.01375</f>
        <v>0</v>
      </c>
      <c r="J22">
        <f>J9*202.31635</f>
        <v>0</v>
      </c>
      <c r="K22">
        <f>K9*-151.7373</f>
        <v>0</v>
      </c>
      <c r="L22">
        <f>L9*1452.28215</f>
        <v>0</v>
      </c>
      <c r="M22">
        <f>M9*-32.2619</f>
        <v>0</v>
      </c>
      <c r="N22">
        <f>E22+F22+G22+H22+I22+J22+K22+L22</f>
        <v>0</v>
      </c>
      <c r="O22">
        <f>E22+F22+G22+H22+I22+J22+K22+M22</f>
        <v>0</v>
      </c>
    </row>
    <row r="23" spans="3:15">
      <c r="C23">
        <f>12.0</f>
        <v>0</v>
      </c>
      <c r="D23">
        <f>12.0</f>
        <v>0</v>
      </c>
      <c r="E23">
        <f>E9*95.6084</f>
        <v>0</v>
      </c>
      <c r="F23">
        <f>F9*1042.56185</f>
        <v>0</v>
      </c>
      <c r="G23">
        <f>G9*149.739</f>
        <v>0</v>
      </c>
      <c r="H23">
        <f>H9*0.0</f>
        <v>0</v>
      </c>
      <c r="I23">
        <f>I9*0.0139</f>
        <v>0</v>
      </c>
      <c r="J23">
        <f>J9*192.14255</f>
        <v>0</v>
      </c>
      <c r="K23">
        <f>K9*-144.10694999999998</f>
        <v>0</v>
      </c>
      <c r="L23">
        <f>L9*1419.2383</f>
        <v>0</v>
      </c>
      <c r="M23">
        <f>M9*-35.34745</f>
        <v>0</v>
      </c>
      <c r="N23">
        <f>E23+F23+G23+H23+I23+J23+K23+L23</f>
        <v>0</v>
      </c>
      <c r="O23">
        <f>E23+F23+G23+H23+I23+J23+K23+M23</f>
        <v>0</v>
      </c>
    </row>
    <row r="24" spans="3:15">
      <c r="C24">
        <f>13.0</f>
        <v>0</v>
      </c>
      <c r="D24">
        <f>13.0</f>
        <v>0</v>
      </c>
      <c r="E24">
        <f>E9*89.4624</f>
        <v>0</v>
      </c>
      <c r="F24">
        <f>F9*984.1265000000001</f>
        <v>0</v>
      </c>
      <c r="G24">
        <f>G9*141.4055</f>
        <v>0</v>
      </c>
      <c r="H24">
        <f>H9*0.0</f>
        <v>0</v>
      </c>
      <c r="I24">
        <f>I9*0.0146</f>
        <v>0</v>
      </c>
      <c r="J24">
        <f>J9*192.56525</f>
        <v>0</v>
      </c>
      <c r="K24">
        <f>K9*-144.4239</f>
        <v>0</v>
      </c>
      <c r="L24">
        <f>L9*1350.5648500000002</f>
        <v>0</v>
      </c>
      <c r="M24">
        <f>M9*-38.2286</f>
        <v>0</v>
      </c>
      <c r="N24">
        <f>E24+F24+G24+H24+I24+J24+K24+L24</f>
        <v>0</v>
      </c>
      <c r="O24">
        <f>E24+F24+G24+H24+I24+J24+K24+M24</f>
        <v>0</v>
      </c>
    </row>
    <row r="25" spans="3:15">
      <c r="C25">
        <f>14.0</f>
        <v>0</v>
      </c>
      <c r="D25">
        <f>14.0</f>
        <v>0</v>
      </c>
      <c r="E25">
        <f>E9*83.531</f>
        <v>0</v>
      </c>
      <c r="F25">
        <f>F9*905.4884999999999</f>
        <v>0</v>
      </c>
      <c r="G25">
        <f>G9*129.6255</f>
        <v>0</v>
      </c>
      <c r="H25">
        <f>H9*0.0</f>
        <v>0</v>
      </c>
      <c r="I25">
        <f>I9*0.0161</f>
        <v>0</v>
      </c>
      <c r="J25">
        <f>J9*203.4469</f>
        <v>0</v>
      </c>
      <c r="K25">
        <f>K9*-152.58515</f>
        <v>0</v>
      </c>
      <c r="L25">
        <f>L9*1252.12205</f>
        <v>0</v>
      </c>
      <c r="M25">
        <f>M9*-41.0517</f>
        <v>0</v>
      </c>
      <c r="N25">
        <f>E25+F25+G25+H25+I25+J25+K25+L25</f>
        <v>0</v>
      </c>
      <c r="O25">
        <f>E25+F25+G25+H25+I25+J25+K25+M25</f>
        <v>0</v>
      </c>
    </row>
    <row r="26" spans="3:15">
      <c r="C26">
        <f>15.0</f>
        <v>0</v>
      </c>
      <c r="D26">
        <f>15.0</f>
        <v>0</v>
      </c>
      <c r="E26">
        <f>E9*76.31715</f>
        <v>0</v>
      </c>
      <c r="F26">
        <f>F9*802.4513999999999</f>
        <v>0</v>
      </c>
      <c r="G26">
        <f>G9*113.785</f>
        <v>0</v>
      </c>
      <c r="H26">
        <f>H9*0.0</f>
        <v>0</v>
      </c>
      <c r="I26">
        <f>I9*0.019799999999999998</f>
        <v>0</v>
      </c>
      <c r="J26">
        <f>J9*221.9905</f>
        <v>0</v>
      </c>
      <c r="K26">
        <f>K9*-166.49290000000002</f>
        <v>0</v>
      </c>
      <c r="L26">
        <f>L9*1112.8739500000001</f>
        <v>0</v>
      </c>
      <c r="M26">
        <f>M9*-44.02625</f>
        <v>0</v>
      </c>
      <c r="N26">
        <f>E26+F26+G26+H26+I26+J26+K26+L26</f>
        <v>0</v>
      </c>
      <c r="O26">
        <f>E26+F26+G26+H26+I26+J26+K26+M26</f>
        <v>0</v>
      </c>
    </row>
    <row r="27" spans="3:15">
      <c r="C27">
        <f>15.91</f>
        <v>0</v>
      </c>
      <c r="D27">
        <f>15.91</f>
        <v>0</v>
      </c>
      <c r="E27">
        <f>E9*61.387299999999996</f>
        <v>0</v>
      </c>
      <c r="F27">
        <f>F9*679.7180000000001</f>
        <v>0</v>
      </c>
      <c r="G27">
        <f>G9*97.3645</f>
        <v>0</v>
      </c>
      <c r="H27">
        <f>H9*0.0</f>
        <v>0</v>
      </c>
      <c r="I27">
        <f>I9*0.0196</f>
        <v>0</v>
      </c>
      <c r="J27">
        <f>J9*197.06275</f>
        <v>0</v>
      </c>
      <c r="K27">
        <f>K9*-147.79705</f>
        <v>0</v>
      </c>
      <c r="L27">
        <f>L9*975.8645</f>
        <v>0</v>
      </c>
      <c r="M27">
        <f>M9*-49.4863</f>
        <v>0</v>
      </c>
      <c r="N27">
        <f>E27+F27+G27+H27+I27+J27+K27+L27</f>
        <v>0</v>
      </c>
      <c r="O27">
        <f>E27+F27+G27+H27+I27+J27+K27+M27</f>
        <v>0</v>
      </c>
    </row>
    <row r="28" spans="3:15">
      <c r="C28">
        <f>16.82</f>
        <v>0</v>
      </c>
      <c r="D28">
        <f>16.82</f>
        <v>0</v>
      </c>
      <c r="E28">
        <f>E9*46.8987</f>
        <v>0</v>
      </c>
      <c r="F28">
        <f>F9*544.6212499999999</f>
        <v>0</v>
      </c>
      <c r="G28">
        <f>G9*78.6858</f>
        <v>0</v>
      </c>
      <c r="H28">
        <f>H9*0.0</f>
        <v>0</v>
      </c>
      <c r="I28">
        <f>I9*0.018250000000000002</f>
        <v>0</v>
      </c>
      <c r="J28">
        <f>J9*160.6198</f>
        <v>0</v>
      </c>
      <c r="K28">
        <f>K9*-120.46485</f>
        <v>0</v>
      </c>
      <c r="L28">
        <f>L9*811.18435</f>
        <v>0</v>
      </c>
      <c r="M28">
        <f>M9*-56.6614</f>
        <v>0</v>
      </c>
      <c r="N28">
        <f>E28+F28+G28+H28+I28+J28+K28+L28</f>
        <v>0</v>
      </c>
      <c r="O28">
        <f>E28+F28+G28+H28+I28+J28+K28+M28</f>
        <v>0</v>
      </c>
    </row>
    <row r="29" spans="3:15">
      <c r="C29">
        <f>17.73</f>
        <v>0</v>
      </c>
      <c r="D29">
        <f>17.73</f>
        <v>0</v>
      </c>
      <c r="E29">
        <f>E9*31.57935</f>
        <v>0</v>
      </c>
      <c r="F29">
        <f>F9*380.53094999999996</f>
        <v>0</v>
      </c>
      <c r="G29">
        <f>G9*55.38605</f>
        <v>0</v>
      </c>
      <c r="H29">
        <f>H9*0.0</f>
        <v>0</v>
      </c>
      <c r="I29">
        <f>I9*0.01435</f>
        <v>0</v>
      </c>
      <c r="J29">
        <f>J9*129.39755</f>
        <v>0</v>
      </c>
      <c r="K29">
        <f>K9*-97.04814999999999</f>
        <v>0</v>
      </c>
      <c r="L29">
        <f>L9*593.1632</f>
        <v>0</v>
      </c>
      <c r="M29">
        <f>M9*-64.74244999999999</f>
        <v>0</v>
      </c>
      <c r="N29">
        <f>E29+F29+G29+H29+I29+J29+K29+L29</f>
        <v>0</v>
      </c>
      <c r="O29">
        <f>E29+F29+G29+H29+I29+J29+K29+M29</f>
        <v>0</v>
      </c>
    </row>
    <row r="30" spans="3:15">
      <c r="C30">
        <f>18.64</f>
        <v>0</v>
      </c>
      <c r="D30">
        <f>18.64</f>
        <v>0</v>
      </c>
      <c r="E30">
        <f>E9*16.53965</f>
        <v>0</v>
      </c>
      <c r="F30">
        <f>F9*196.7634</f>
        <v>0</v>
      </c>
      <c r="G30">
        <f>G9*28.78595</f>
        <v>0</v>
      </c>
      <c r="H30">
        <f>H9*0.0</f>
        <v>0</v>
      </c>
      <c r="I30">
        <f>I9*0.0053</f>
        <v>0</v>
      </c>
      <c r="J30">
        <f>J9*103.83224999999999</f>
        <v>0</v>
      </c>
      <c r="K30">
        <f>K9*-77.87415</f>
        <v>0</v>
      </c>
      <c r="L30">
        <f>L9*327.19820000000004</f>
        <v>0</v>
      </c>
      <c r="M30">
        <f>M9*-74.48415</f>
        <v>0</v>
      </c>
      <c r="N30">
        <f>E30+F30+G30+H30+I30+J30+K30+L30</f>
        <v>0</v>
      </c>
      <c r="O30">
        <f>E30+F30+G30+H30+I30+J30+K30+M30</f>
        <v>0</v>
      </c>
    </row>
    <row r="31" spans="3:15">
      <c r="C31">
        <f>19.55</f>
        <v>0</v>
      </c>
      <c r="D31">
        <f>19.55</f>
        <v>0</v>
      </c>
      <c r="E31">
        <f>E9*-0.06025</f>
        <v>0</v>
      </c>
      <c r="F31">
        <f>F9*-19.763150000000003</f>
        <v>0</v>
      </c>
      <c r="G31">
        <f>G9*-2.9428</f>
        <v>0</v>
      </c>
      <c r="H31">
        <f>H9*0.0</f>
        <v>0</v>
      </c>
      <c r="I31">
        <f>I9*-0.01245</f>
        <v>0</v>
      </c>
      <c r="J31">
        <f>J9*73.0445</f>
        <v>0</v>
      </c>
      <c r="K31">
        <f>K9*-54.78335</f>
        <v>0</v>
      </c>
      <c r="L31">
        <f>L9*6.2482999999999995</f>
        <v>0</v>
      </c>
      <c r="M31">
        <f>M9*-105.79775000000001</f>
        <v>0</v>
      </c>
      <c r="N31">
        <f>E31+F31+G31+H31+I31+J31+K31+L31</f>
        <v>0</v>
      </c>
      <c r="O31">
        <f>E31+F31+G31+H31+I31+J31+K31+M31</f>
        <v>0</v>
      </c>
    </row>
    <row r="32" spans="3:15">
      <c r="C32">
        <f>20.0</f>
        <v>0</v>
      </c>
      <c r="D32">
        <f>20.0</f>
        <v>0</v>
      </c>
      <c r="E32">
        <f>E9*-0.8332</f>
        <v>0</v>
      </c>
      <c r="F32">
        <f>F9*-8.5964</f>
        <v>0</v>
      </c>
      <c r="G32">
        <f>G9*-1.2441</f>
        <v>0</v>
      </c>
      <c r="H32">
        <f>H9*0.0</f>
        <v>0</v>
      </c>
      <c r="I32">
        <f>I9*-0.0001237</f>
        <v>0</v>
      </c>
      <c r="J32">
        <f>J9*87.8214</f>
        <v>0</v>
      </c>
      <c r="K32">
        <f>K9*-65.866</f>
        <v>0</v>
      </c>
      <c r="L32">
        <f>L9*4.3125</f>
        <v>0</v>
      </c>
      <c r="M32">
        <f>M9*-12.6058</f>
        <v>0</v>
      </c>
      <c r="N32">
        <f>E32+F32+G32+H32+I32+J32+K32+L32</f>
        <v>0</v>
      </c>
      <c r="O32">
        <f>E32+F32+G32+H32+I32+J32+K32+M32</f>
        <v>0</v>
      </c>
    </row>
    <row r="33" spans="3:15">
      <c r="C33">
        <f>20.0</f>
        <v>0</v>
      </c>
      <c r="D33">
        <f>0.0</f>
        <v>0</v>
      </c>
      <c r="E33">
        <f>E9*-0.9484</f>
        <v>0</v>
      </c>
      <c r="F33">
        <f>F9*-7.3093</f>
        <v>0</v>
      </c>
      <c r="G33">
        <f>G9*-1.0505</f>
        <v>0</v>
      </c>
      <c r="H33">
        <f>H9*0.0</f>
        <v>0</v>
      </c>
      <c r="I33">
        <f>I9*-0.1302</f>
        <v>0</v>
      </c>
      <c r="J33">
        <f>J9*90.065</f>
        <v>0</v>
      </c>
      <c r="K33">
        <f>K9*-67.5487</f>
        <v>0</v>
      </c>
      <c r="L33">
        <f>L9*1.494</f>
        <v>0</v>
      </c>
      <c r="M33">
        <f>M9*-11.886</f>
        <v>0</v>
      </c>
      <c r="N33">
        <f>E33+F33+G33+H33+I33+J33+K33+L33</f>
        <v>0</v>
      </c>
      <c r="O33">
        <f>E33+F33+G33+H33+I33+J33+K33+M33</f>
        <v>0</v>
      </c>
    </row>
    <row r="34" spans="3:15">
      <c r="C34">
        <f>20.45</f>
        <v>0</v>
      </c>
      <c r="D34">
        <f>0.45</f>
        <v>0</v>
      </c>
      <c r="E34">
        <f>E9*0.9461</f>
        <v>0</v>
      </c>
      <c r="F34">
        <f>F9*-27.833</f>
        <v>0</v>
      </c>
      <c r="G34">
        <f>G9*-4.16455</f>
        <v>0</v>
      </c>
      <c r="H34">
        <f>H9*0.0</f>
        <v>0</v>
      </c>
      <c r="I34">
        <f>I9*0.9757500000000001</f>
        <v>0</v>
      </c>
      <c r="J34">
        <f>J9*56.5827</f>
        <v>0</v>
      </c>
      <c r="K34">
        <f>K9*-42.43705</f>
        <v>0</v>
      </c>
      <c r="L34">
        <f>L9*36.886</f>
        <v>0</v>
      </c>
      <c r="M34">
        <f>M9*-67.4656</f>
        <v>0</v>
      </c>
      <c r="N34">
        <f>E34+F34+G34+H34+I34+J34+K34+L34</f>
        <v>0</v>
      </c>
      <c r="O34">
        <f>E34+F34+G34+H34+I34+J34+K34+M34</f>
        <v>0</v>
      </c>
    </row>
    <row r="35" spans="3:15">
      <c r="C35">
        <f>21.36</f>
        <v>0</v>
      </c>
      <c r="D35">
        <f>1.36</f>
        <v>0</v>
      </c>
      <c r="E35">
        <f>E9*17.73875</f>
        <v>0</v>
      </c>
      <c r="F35">
        <f>F9*178.66045</f>
        <v>0</v>
      </c>
      <c r="G35">
        <f>G9*26.076900000000002</f>
        <v>0</v>
      </c>
      <c r="H35">
        <f>H9*0.0</f>
        <v>0</v>
      </c>
      <c r="I35">
        <f>I9*1.6684999999999999</f>
        <v>0</v>
      </c>
      <c r="J35">
        <f>J9*76.06625</f>
        <v>0</v>
      </c>
      <c r="K35">
        <f>K9*-57.0497</f>
        <v>0</v>
      </c>
      <c r="L35">
        <f>L9*314.06635</f>
        <v>0</v>
      </c>
      <c r="M35">
        <f>M9*-19.25995</f>
        <v>0</v>
      </c>
      <c r="N35">
        <f>E35+F35+G35+H35+I35+J35+K35+L35</f>
        <v>0</v>
      </c>
      <c r="O35">
        <f>E35+F35+G35+H35+I35+J35+K35+M35</f>
        <v>0</v>
      </c>
    </row>
    <row r="36" spans="3:15">
      <c r="C36">
        <f>22.27</f>
        <v>0</v>
      </c>
      <c r="D36">
        <f>2.27</f>
        <v>0</v>
      </c>
      <c r="E36">
        <f>E9*31.912950000000002</f>
        <v>0</v>
      </c>
      <c r="F36">
        <f>F9*361.6372</f>
        <v>0</v>
      </c>
      <c r="G36">
        <f>G9*52.5867</f>
        <v>0</v>
      </c>
      <c r="H36">
        <f>H9*0.0</f>
        <v>0</v>
      </c>
      <c r="I36">
        <f>I9*1.4428999999999998</f>
        <v>0</v>
      </c>
      <c r="J36">
        <f>J9*108.39215</f>
        <v>0</v>
      </c>
      <c r="K36">
        <f>K9*-81.29415</f>
        <v>0</v>
      </c>
      <c r="L36">
        <f>L9*572.7075</f>
        <v>0</v>
      </c>
      <c r="M36">
        <f>M9*-14.3226</f>
        <v>0</v>
      </c>
      <c r="N36">
        <f>E36+F36+G36+H36+I36+J36+K36+L36</f>
        <v>0</v>
      </c>
      <c r="O36">
        <f>E36+F36+G36+H36+I36+J36+K36+M36</f>
        <v>0</v>
      </c>
    </row>
    <row r="37" spans="3:15">
      <c r="C37">
        <f>23.18</f>
        <v>0</v>
      </c>
      <c r="D37">
        <f>3.18</f>
        <v>0</v>
      </c>
      <c r="E37">
        <f>E9*46.46575</f>
        <v>0</v>
      </c>
      <c r="F37">
        <f>F9*524.0958499999999</f>
        <v>0</v>
      </c>
      <c r="G37">
        <f>G9*75.66890000000001</f>
        <v>0</v>
      </c>
      <c r="H37">
        <f>H9*0.0</f>
        <v>0</v>
      </c>
      <c r="I37">
        <f>I9*1.3225500000000001</f>
        <v>0</v>
      </c>
      <c r="J37">
        <f>J9*144.69164999999998</f>
        <v>0</v>
      </c>
      <c r="K37">
        <f>K9*-108.51875000000001</f>
        <v>0</v>
      </c>
      <c r="L37">
        <f>L9*792.8297</f>
        <v>0</v>
      </c>
      <c r="M37">
        <f>M9*-15.2525</f>
        <v>0</v>
      </c>
      <c r="N37">
        <f>E37+F37+G37+H37+I37+J37+K37+L37</f>
        <v>0</v>
      </c>
      <c r="O37">
        <f>E37+F37+G37+H37+I37+J37+K37+M37</f>
        <v>0</v>
      </c>
    </row>
    <row r="38" spans="3:15">
      <c r="C38">
        <f>24.09</f>
        <v>0</v>
      </c>
      <c r="D38">
        <f>4.09</f>
        <v>0</v>
      </c>
      <c r="E38">
        <f>E9*60.2809</f>
        <v>0</v>
      </c>
      <c r="F38">
        <f>F9*657.3268</f>
        <v>0</v>
      </c>
      <c r="G38">
        <f>G9*94.0925</f>
        <v>0</v>
      </c>
      <c r="H38">
        <f>H9*0.0</f>
        <v>0</v>
      </c>
      <c r="I38">
        <f>I9*1.25495</f>
        <v>0</v>
      </c>
      <c r="J38">
        <f>J9*185.15865</f>
        <v>0</v>
      </c>
      <c r="K38">
        <f>K9*-138.869</f>
        <v>0</v>
      </c>
      <c r="L38">
        <f>L9*959.37505</f>
        <v>0</v>
      </c>
      <c r="M38">
        <f>M9*-15.636800000000001</f>
        <v>0</v>
      </c>
      <c r="N38">
        <f>E38+F38+G38+H38+I38+J38+K38+L38</f>
        <v>0</v>
      </c>
      <c r="O38">
        <f>E38+F38+G38+H38+I38+J38+K38+M38</f>
        <v>0</v>
      </c>
    </row>
    <row r="39" spans="3:15">
      <c r="C39">
        <f>25.0</f>
        <v>0</v>
      </c>
      <c r="D39">
        <f>5.0</f>
        <v>0</v>
      </c>
      <c r="E39">
        <f>E9*74.59465</f>
        <v>0</v>
      </c>
      <c r="F39">
        <f>F9*777.6006500000001</f>
        <v>0</v>
      </c>
      <c r="G39">
        <f>G9*110.167</f>
        <v>0</v>
      </c>
      <c r="H39">
        <f>H9*0.0</f>
        <v>0</v>
      </c>
      <c r="I39">
        <f>I9*1.2730000000000001</f>
        <v>0</v>
      </c>
      <c r="J39">
        <f>J9*212.9032</f>
        <v>0</v>
      </c>
      <c r="K39">
        <f>K9*-159.6774</f>
        <v>0</v>
      </c>
      <c r="L39">
        <f>L9*1096.72465</f>
        <v>0</v>
      </c>
      <c r="M39">
        <f>M9*-16.6433</f>
        <v>0</v>
      </c>
      <c r="N39">
        <f>E39+F39+G39+H39+I39+J39+K39+L39</f>
        <v>0</v>
      </c>
      <c r="O39">
        <f>E39+F39+G39+H39+I39+J39+K39+M39</f>
        <v>0</v>
      </c>
    </row>
    <row r="40" spans="3:15">
      <c r="C40">
        <f>26.0</f>
        <v>0</v>
      </c>
      <c r="D40">
        <f>6.0</f>
        <v>0</v>
      </c>
      <c r="E40">
        <f>E9*81.3172</f>
        <v>0</v>
      </c>
      <c r="F40">
        <f>F9*876.6270999999999</f>
        <v>0</v>
      </c>
      <c r="G40">
        <f>G9*125.42429999999999</f>
        <v>0</v>
      </c>
      <c r="H40">
        <f>H9*0.0</f>
        <v>0</v>
      </c>
      <c r="I40">
        <f>I9*1.57875</f>
        <v>0</v>
      </c>
      <c r="J40">
        <f>J9*194.2015</f>
        <v>0</v>
      </c>
      <c r="K40">
        <f>K9*-145.65115</f>
        <v>0</v>
      </c>
      <c r="L40">
        <f>L9*1233.32935</f>
        <v>0</v>
      </c>
      <c r="M40">
        <f>M9*-18.21785</f>
        <v>0</v>
      </c>
      <c r="N40">
        <f>E40+F40+G40+H40+I40+J40+K40+L40</f>
        <v>0</v>
      </c>
      <c r="O40">
        <f>E40+F40+G40+H40+I40+J40+K40+M40</f>
        <v>0</v>
      </c>
    </row>
    <row r="41" spans="3:15">
      <c r="C41">
        <f>27.0</f>
        <v>0</v>
      </c>
      <c r="D41">
        <f>7.0</f>
        <v>0</v>
      </c>
      <c r="E41">
        <f>E9*86.80225</f>
        <v>0</v>
      </c>
      <c r="F41">
        <f>F9*951.4226000000001</f>
        <v>0</v>
      </c>
      <c r="G41">
        <f>G9*136.6441</f>
        <v>0</v>
      </c>
      <c r="H41">
        <f>H9*0.0</f>
        <v>0</v>
      </c>
      <c r="I41">
        <f>I9*1.86385</f>
        <v>0</v>
      </c>
      <c r="J41">
        <f>J9*182.88420000000002</f>
        <v>0</v>
      </c>
      <c r="K41">
        <f>K9*-137.16315</f>
        <v>0</v>
      </c>
      <c r="L41">
        <f>L9*1329.51595</f>
        <v>0</v>
      </c>
      <c r="M41">
        <f>M9*-20.186349999999997</f>
        <v>0</v>
      </c>
      <c r="N41">
        <f>E41+F41+G41+H41+I41+J41+K41+L41</f>
        <v>0</v>
      </c>
      <c r="O41">
        <f>E41+F41+G41+H41+I41+J41+K41+M41</f>
        <v>0</v>
      </c>
    </row>
    <row r="42" spans="3:15">
      <c r="C42">
        <f>28.0</f>
        <v>0</v>
      </c>
      <c r="D42">
        <f>8.0</f>
        <v>0</v>
      </c>
      <c r="E42">
        <f>E9*92.5339</f>
        <v>0</v>
      </c>
      <c r="F42">
        <f>F9*1006.0003</f>
        <v>0</v>
      </c>
      <c r="G42">
        <f>G9*144.4118</f>
        <v>0</v>
      </c>
      <c r="H42">
        <f>H9*0.0</f>
        <v>0</v>
      </c>
      <c r="I42">
        <f>I9*2.1686</f>
        <v>0</v>
      </c>
      <c r="J42">
        <f>J9*181.4973</f>
        <v>0</v>
      </c>
      <c r="K42">
        <f>K9*-136.123</f>
        <v>0</v>
      </c>
      <c r="L42">
        <f>L9*1395.1682</f>
        <v>0</v>
      </c>
      <c r="M42">
        <f>M9*-22.92615</f>
        <v>0</v>
      </c>
      <c r="N42">
        <f>E42+F42+G42+H42+I42+J42+K42+L42</f>
        <v>0</v>
      </c>
      <c r="O42">
        <f>E42+F42+G42+H42+I42+J42+K42+M42</f>
        <v>0</v>
      </c>
    </row>
    <row r="43" spans="3:15">
      <c r="C43">
        <f>29.0</f>
        <v>0</v>
      </c>
      <c r="D43">
        <f>9.0</f>
        <v>0</v>
      </c>
      <c r="E43">
        <f>E9*98.59084999999999</f>
        <v>0</v>
      </c>
      <c r="F43">
        <f>F9*1041.4407</f>
        <v>0</v>
      </c>
      <c r="G43">
        <f>G9*148.8673</f>
        <v>0</v>
      </c>
      <c r="H43">
        <f>H9*0.0</f>
        <v>0</v>
      </c>
      <c r="I43">
        <f>I9*2.51755</f>
        <v>0</v>
      </c>
      <c r="J43">
        <f>J9*190.11180000000002</f>
        <v>0</v>
      </c>
      <c r="K43">
        <f>K9*-142.5838</f>
        <v>0</v>
      </c>
      <c r="L43">
        <f>L9*1424.7523</f>
        <v>0</v>
      </c>
      <c r="M43">
        <f>M9*-25.89565</f>
        <v>0</v>
      </c>
      <c r="N43">
        <f>E43+F43+G43+H43+I43+J43+K43+L43</f>
        <v>0</v>
      </c>
      <c r="O43">
        <f>E43+F43+G43+H43+I43+J43+K43+M43</f>
        <v>0</v>
      </c>
    </row>
    <row r="44" spans="3:15">
      <c r="C44">
        <f>30.0</f>
        <v>0</v>
      </c>
      <c r="D44">
        <f>10.0</f>
        <v>0</v>
      </c>
      <c r="E44">
        <f>E9*103.99799999999999</f>
        <v>0</v>
      </c>
      <c r="F44">
        <f>F9*1054.9714</f>
        <v>0</v>
      </c>
      <c r="G44">
        <f>G9*149.59265</f>
        <v>0</v>
      </c>
      <c r="H44">
        <f>H9*0.0</f>
        <v>0</v>
      </c>
      <c r="I44">
        <f>I9*3.0126999999999997</f>
        <v>0</v>
      </c>
      <c r="J44">
        <f>J9*202.73579999999998</f>
        <v>0</v>
      </c>
      <c r="K44">
        <f>K9*-152.05180000000001</f>
        <v>0</v>
      </c>
      <c r="L44">
        <f>L9*1418.3775500000002</f>
        <v>0</v>
      </c>
      <c r="M44">
        <f>M9*-28.6184</f>
        <v>0</v>
      </c>
      <c r="N44">
        <f>E44+F44+G44+H44+I44+J44+K44+L44</f>
        <v>0</v>
      </c>
      <c r="O44">
        <f>E44+F44+G44+H44+I44+J44+K44+M44</f>
        <v>0</v>
      </c>
    </row>
    <row r="45" spans="3:15">
      <c r="C45">
        <f>31.0</f>
        <v>0</v>
      </c>
      <c r="D45">
        <f>11.0</f>
        <v>0</v>
      </c>
      <c r="E45">
        <f>E9*98.47025</f>
        <v>0</v>
      </c>
      <c r="F45">
        <f>F9*1040.7584000000002</f>
        <v>0</v>
      </c>
      <c r="G45">
        <f>G9*148.7722</f>
        <v>0</v>
      </c>
      <c r="H45">
        <f>H9*0.0</f>
        <v>0</v>
      </c>
      <c r="I45">
        <f>I9*2.7443999999999997</f>
        <v>0</v>
      </c>
      <c r="J45">
        <f>J9*190.6182</f>
        <v>0</v>
      </c>
      <c r="K45">
        <f>K9*-142.96365</f>
        <v>0</v>
      </c>
      <c r="L45">
        <f>L9*1424.78895</f>
        <v>0</v>
      </c>
      <c r="M45">
        <f>M9*-31.58485</f>
        <v>0</v>
      </c>
      <c r="N45">
        <f>E45+F45+G45+H45+I45+J45+K45+L45</f>
        <v>0</v>
      </c>
      <c r="O45">
        <f>E45+F45+G45+H45+I45+J45+K45+M45</f>
        <v>0</v>
      </c>
    </row>
    <row r="46" spans="3:15">
      <c r="C46">
        <f>32.0</f>
        <v>0</v>
      </c>
      <c r="D46">
        <f>12.0</f>
        <v>0</v>
      </c>
      <c r="E46">
        <f>E9*92.2781</f>
        <v>0</v>
      </c>
      <c r="F46">
        <f>F9*1004.8532</f>
        <v>0</v>
      </c>
      <c r="G46">
        <f>G9*144.254</f>
        <v>0</v>
      </c>
      <c r="H46">
        <f>H9*0.0</f>
        <v>0</v>
      </c>
      <c r="I46">
        <f>I9*2.2877</f>
        <v>0</v>
      </c>
      <c r="J46">
        <f>J9*182.847</f>
        <v>0</v>
      </c>
      <c r="K46">
        <f>K9*-137.13524999999998</f>
        <v>0</v>
      </c>
      <c r="L46">
        <f>L9*1395.7402499999998</f>
        <v>0</v>
      </c>
      <c r="M46">
        <f>M9*-34.7959</f>
        <v>0</v>
      </c>
      <c r="N46">
        <f>E46+F46+G46+H46+I46+J46+K46+L46</f>
        <v>0</v>
      </c>
      <c r="O46">
        <f>E46+F46+G46+H46+I46+J46+K46+M46</f>
        <v>0</v>
      </c>
    </row>
    <row r="47" spans="3:15">
      <c r="C47">
        <f>33.0</f>
        <v>0</v>
      </c>
      <c r="D47">
        <f>13.0</f>
        <v>0</v>
      </c>
      <c r="E47">
        <f>E9*86.41040000000001</f>
        <v>0</v>
      </c>
      <c r="F47">
        <f>F9*949.81185</f>
        <v>0</v>
      </c>
      <c r="G47">
        <f>G9*136.42385000000002</f>
        <v>0</v>
      </c>
      <c r="H47">
        <f>H9*0.0</f>
        <v>0</v>
      </c>
      <c r="I47">
        <f>I9*1.75665</f>
        <v>0</v>
      </c>
      <c r="J47">
        <f>J9*185.08695</f>
        <v>0</v>
      </c>
      <c r="K47">
        <f>K9*-138.8152</f>
        <v>0</v>
      </c>
      <c r="L47">
        <f>L9*1330.60975</f>
        <v>0</v>
      </c>
      <c r="M47">
        <f>M9*-37.80445</f>
        <v>0</v>
      </c>
      <c r="N47">
        <f>E47+F47+G47+H47+I47+J47+K47+L47</f>
        <v>0</v>
      </c>
      <c r="O47">
        <f>E47+F47+G47+H47+I47+J47+K47+M47</f>
        <v>0</v>
      </c>
    </row>
    <row r="48" spans="3:15">
      <c r="C48">
        <f>34.0</f>
        <v>0</v>
      </c>
      <c r="D48">
        <f>14.0</f>
        <v>0</v>
      </c>
      <c r="E48">
        <f>E9*80.77699999999999</f>
        <v>0</v>
      </c>
      <c r="F48">
        <f>F9*874.52895</f>
        <v>0</v>
      </c>
      <c r="G48">
        <f>G9*125.1387</f>
        <v>0</v>
      </c>
      <c r="H48">
        <f>H9*0.0</f>
        <v>0</v>
      </c>
      <c r="I48">
        <f>I9*1.117</f>
        <v>0</v>
      </c>
      <c r="J48">
        <f>J9*197.35320000000002</f>
        <v>0</v>
      </c>
      <c r="K48">
        <f>K9*-148.0149</f>
        <v>0</v>
      </c>
      <c r="L48">
        <f>L9*1234.7734500000001</f>
        <v>0</v>
      </c>
      <c r="M48">
        <f>M9*-40.7725</f>
        <v>0</v>
      </c>
      <c r="N48">
        <f>E48+F48+G48+H48+I48+J48+K48+L48</f>
        <v>0</v>
      </c>
      <c r="O48">
        <f>E48+F48+G48+H48+I48+J48+K48+M48</f>
        <v>0</v>
      </c>
    </row>
    <row r="49" spans="3:15">
      <c r="C49">
        <f>35.0</f>
        <v>0</v>
      </c>
      <c r="D49">
        <f>15.0</f>
        <v>0</v>
      </c>
      <c r="E49">
        <f>E9*73.8441</f>
        <v>0</v>
      </c>
      <c r="F49">
        <f>F9*774.7399</f>
        <v>0</v>
      </c>
      <c r="G49">
        <f>G9*109.77815</f>
        <v>0</v>
      </c>
      <c r="H49">
        <f>H9*0.0</f>
        <v>0</v>
      </c>
      <c r="I49">
        <f>I9*0.1817</f>
        <v>0</v>
      </c>
      <c r="J49">
        <f>J9*217.33785</f>
        <v>0</v>
      </c>
      <c r="K49">
        <f>K9*-163.0034</f>
        <v>0</v>
      </c>
      <c r="L49">
        <f>L9*1098.8649</f>
        <v>0</v>
      </c>
      <c r="M49">
        <f>M9*-43.92465</f>
        <v>0</v>
      </c>
      <c r="N49">
        <f>E49+F49+G49+H49+I49+J49+K49+L49</f>
        <v>0</v>
      </c>
      <c r="O49">
        <f>E49+F49+G49+H49+I49+J49+K49+M49</f>
        <v>0</v>
      </c>
    </row>
    <row r="50" spans="3:15">
      <c r="C50">
        <f>35.91</f>
        <v>0</v>
      </c>
      <c r="D50">
        <f>15.91</f>
        <v>0</v>
      </c>
      <c r="E50">
        <f>E9*59.363150000000005</f>
        <v>0</v>
      </c>
      <c r="F50">
        <f>F9*657.31635</f>
        <v>0</v>
      </c>
      <c r="G50">
        <f>G9*94.12819999999999</f>
        <v>0</v>
      </c>
      <c r="H50">
        <f>H9*0.0</f>
        <v>0</v>
      </c>
      <c r="I50">
        <f>I9*-1.40915</f>
        <v>0</v>
      </c>
      <c r="J50">
        <f>J9*193.71300000000002</f>
        <v>0</v>
      </c>
      <c r="K50">
        <f>K9*-145.28475</f>
        <v>0</v>
      </c>
      <c r="L50">
        <f>L9*965.4241999999999</f>
        <v>0</v>
      </c>
      <c r="M50">
        <f>M9*-49.4083</f>
        <v>0</v>
      </c>
      <c r="N50">
        <f>E50+F50+G50+H50+I50+J50+K50+L50</f>
        <v>0</v>
      </c>
      <c r="O50">
        <f>E50+F50+G50+H50+I50+J50+K50+M50</f>
        <v>0</v>
      </c>
    </row>
    <row r="51" spans="3:15">
      <c r="C51">
        <f>36.82</f>
        <v>0</v>
      </c>
      <c r="D51">
        <f>16.82</f>
        <v>0</v>
      </c>
      <c r="E51">
        <f>E9*45.3689</f>
        <v>0</v>
      </c>
      <c r="F51">
        <f>F9*527.7302999999999</f>
        <v>0</v>
      </c>
      <c r="G51">
        <f>G9*76.24600000000001</f>
        <v>0</v>
      </c>
      <c r="H51">
        <f>H9*0.0</f>
        <v>0</v>
      </c>
      <c r="I51">
        <f>I9*-2.9486</f>
        <v>0</v>
      </c>
      <c r="J51">
        <f>J9*158.18455</f>
        <v>0</v>
      </c>
      <c r="K51">
        <f>K9*-118.63845</f>
        <v>0</v>
      </c>
      <c r="L51">
        <f>L9*803.7871</f>
        <v>0</v>
      </c>
      <c r="M51">
        <f>M9*-56.5068</f>
        <v>0</v>
      </c>
      <c r="N51">
        <f>E51+F51+G51+H51+I51+J51+K51+L51</f>
        <v>0</v>
      </c>
      <c r="O51">
        <f>E51+F51+G51+H51+I51+J51+K51+M51</f>
        <v>0</v>
      </c>
    </row>
    <row r="52" spans="3:15">
      <c r="C52">
        <f>37.73</f>
        <v>0</v>
      </c>
      <c r="D52">
        <f>17.73</f>
        <v>0</v>
      </c>
      <c r="E52">
        <f>E9*30.585</f>
        <v>0</v>
      </c>
      <c r="F52">
        <f>F9*369.53655</f>
        <v>0</v>
      </c>
      <c r="G52">
        <f>G9*53.79795</f>
        <v>0</v>
      </c>
      <c r="H52">
        <f>H9*0.0</f>
        <v>0</v>
      </c>
      <c r="I52">
        <f>I9*-3.5498</f>
        <v>0</v>
      </c>
      <c r="J52">
        <f>J9*127.83515</f>
        <v>0</v>
      </c>
      <c r="K52">
        <f>K9*-95.87639999999999</f>
        <v>0</v>
      </c>
      <c r="L52">
        <f>L9*588.4413999999999</f>
        <v>0</v>
      </c>
      <c r="M52">
        <f>M9*-64.4653</f>
        <v>0</v>
      </c>
      <c r="N52">
        <f>E52+F52+G52+H52+I52+J52+K52+L52</f>
        <v>0</v>
      </c>
      <c r="O52">
        <f>E52+F52+G52+H52+I52+J52+K52+M52</f>
        <v>0</v>
      </c>
    </row>
    <row r="53" spans="3:15">
      <c r="C53">
        <f>38.64</f>
        <v>0</v>
      </c>
      <c r="D53">
        <f>18.64</f>
        <v>0</v>
      </c>
      <c r="E53">
        <f>E9*16.1049</f>
        <v>0</v>
      </c>
      <c r="F53">
        <f>F9*191.8365</f>
        <v>0</v>
      </c>
      <c r="G53">
        <f>G9*28.07325</f>
        <v>0</v>
      </c>
      <c r="H53">
        <f>H9*0.0</f>
        <v>0</v>
      </c>
      <c r="I53">
        <f>I9*-2.1671</f>
        <v>0</v>
      </c>
      <c r="J53">
        <f>J9*103.01245</f>
        <v>0</v>
      </c>
      <c r="K53">
        <f>K9*-77.2593</f>
        <v>0</v>
      </c>
      <c r="L53">
        <f>L9*324.82574999999997</f>
        <v>0</v>
      </c>
      <c r="M53">
        <f>M9*-74.256</f>
        <v>0</v>
      </c>
      <c r="N53">
        <f>E53+F53+G53+H53+I53+J53+K53+L53</f>
        <v>0</v>
      </c>
      <c r="O53">
        <f>E53+F53+G53+H53+I53+J53+K53+M53</f>
        <v>0</v>
      </c>
    </row>
    <row r="54" spans="3:15">
      <c r="C54">
        <f>39.55</f>
        <v>0</v>
      </c>
      <c r="D54">
        <f>19.55</f>
        <v>0</v>
      </c>
      <c r="E54">
        <f>E9*0.14725000000000002</f>
        <v>0</v>
      </c>
      <c r="F54">
        <f>F9*-17.7685</f>
        <v>0</v>
      </c>
      <c r="G54">
        <f>G9*-2.65825</f>
        <v>0</v>
      </c>
      <c r="H54">
        <f>H9*0.0</f>
        <v>0</v>
      </c>
      <c r="I54">
        <f>I9*2.20405</f>
        <v>0</v>
      </c>
      <c r="J54">
        <f>J9*72.92269999999999</f>
        <v>0</v>
      </c>
      <c r="K54">
        <f>K9*-54.692</f>
        <v>0</v>
      </c>
      <c r="L54">
        <f>L9*7.24255</f>
        <v>0</v>
      </c>
      <c r="M54">
        <f>M9*-105.82305</f>
        <v>0</v>
      </c>
      <c r="N54">
        <f>E54+F54+G54+H54+I54+J54+K54+L54</f>
        <v>0</v>
      </c>
      <c r="O54">
        <f>E54+F54+G54+H54+I54+J54+K54+M54</f>
        <v>0</v>
      </c>
    </row>
    <row r="55" spans="3:15">
      <c r="C55">
        <f>40.0</f>
        <v>0</v>
      </c>
      <c r="D55">
        <f>20.0</f>
        <v>0</v>
      </c>
      <c r="E55">
        <f>E9*-0.8061</f>
        <v>0</v>
      </c>
      <c r="F55">
        <f>F9*-8.2867</f>
        <v>0</v>
      </c>
      <c r="G55">
        <f>G9*-1.1994</f>
        <v>0</v>
      </c>
      <c r="H55">
        <f>H9*0.0</f>
        <v>0</v>
      </c>
      <c r="I55">
        <f>I9*-0.0467</f>
        <v>0</v>
      </c>
      <c r="J55">
        <f>J9*87.8758</f>
        <v>0</v>
      </c>
      <c r="K55">
        <f>K9*-65.9068</f>
        <v>0</v>
      </c>
      <c r="L55">
        <f>L9*4.3124</f>
        <v>0</v>
      </c>
      <c r="M55">
        <f>M9*-12.4674</f>
        <v>0</v>
      </c>
      <c r="N55">
        <f>E55+F55+G55+H55+I55+J55+K55+L55</f>
        <v>0</v>
      </c>
      <c r="O55">
        <f>E55+F55+G55+H55+I55+J55+K55+M55</f>
        <v>0</v>
      </c>
    </row>
    <row r="56" spans="3:15">
      <c r="C56">
        <f>40.0</f>
        <v>0</v>
      </c>
      <c r="D56">
        <f>0.0</f>
        <v>0</v>
      </c>
      <c r="E56">
        <f>E9*-0.3541</f>
        <v>0</v>
      </c>
      <c r="F56">
        <f>F9*-3.1233</f>
        <v>0</v>
      </c>
      <c r="G56">
        <f>G9*-0.4664</f>
        <v>0</v>
      </c>
      <c r="H56">
        <f>H9*0.0</f>
        <v>0</v>
      </c>
      <c r="I56">
        <f>I9*-3.2289</f>
        <v>0</v>
      </c>
      <c r="J56">
        <f>J9*85.48299999999999</f>
        <v>0</v>
      </c>
      <c r="K56">
        <f>K9*-64.1123</f>
        <v>0</v>
      </c>
      <c r="L56">
        <f>L9*1.1836</f>
        <v>0</v>
      </c>
      <c r="M56">
        <f>M9*-8.382</f>
        <v>0</v>
      </c>
      <c r="N56">
        <f>E56+F56+G56+H56+I56+J56+K56+L56</f>
        <v>0</v>
      </c>
      <c r="O56">
        <f>E56+F56+G56+H56+I56+J56+K56+M56</f>
        <v>0</v>
      </c>
    </row>
    <row r="57" spans="3:15">
      <c r="C57">
        <f>40.45</f>
        <v>0</v>
      </c>
      <c r="D57">
        <f>0.45</f>
        <v>0</v>
      </c>
      <c r="E57">
        <f>E9*0.60815</f>
        <v>0</v>
      </c>
      <c r="F57">
        <f>F9*-21.479799999999997</f>
        <v>0</v>
      </c>
      <c r="G57">
        <f>G9*-3.2062999999999997</f>
        <v>0</v>
      </c>
      <c r="H57">
        <f>H9*0.0</f>
        <v>0</v>
      </c>
      <c r="I57">
        <f>I9*23.57075</f>
        <v>0</v>
      </c>
      <c r="J57">
        <f>J9*73.2786</f>
        <v>0</v>
      </c>
      <c r="K57">
        <f>K9*-54.95895</f>
        <v>0</v>
      </c>
      <c r="L57">
        <f>L9*26.695349999999998</f>
        <v>0</v>
      </c>
      <c r="M57">
        <f>M9*-50.36435</f>
        <v>0</v>
      </c>
      <c r="N57">
        <f>E57+F57+G57+H57+I57+J57+K57+L57</f>
        <v>0</v>
      </c>
      <c r="O57">
        <f>E57+F57+G57+H57+I57+J57+K57+M57</f>
        <v>0</v>
      </c>
    </row>
    <row r="58" spans="3:15">
      <c r="C58">
        <f>41.36</f>
        <v>0</v>
      </c>
      <c r="D58">
        <f>1.36</f>
        <v>0</v>
      </c>
      <c r="E58">
        <f>E9*4.9988</f>
        <v>0</v>
      </c>
      <c r="F58">
        <f>F9*77.06145000000001</f>
        <v>0</v>
      </c>
      <c r="G58">
        <f>G9*11.774049999999999</f>
        <v>0</v>
      </c>
      <c r="H58">
        <f>H9*0.0</f>
        <v>0</v>
      </c>
      <c r="I58">
        <f>I9*42.3331</f>
        <v>0</v>
      </c>
      <c r="J58">
        <f>J9*125.14615</f>
        <v>0</v>
      </c>
      <c r="K58">
        <f>K9*-93.8596</f>
        <v>0</v>
      </c>
      <c r="L58">
        <f>L9*226.5137</f>
        <v>0</v>
      </c>
      <c r="M58">
        <f>M9*-16.00265</f>
        <v>0</v>
      </c>
      <c r="N58">
        <f>E58+F58+G58+H58+I58+J58+K58+L58</f>
        <v>0</v>
      </c>
      <c r="O58">
        <f>E58+F58+G58+H58+I58+J58+K58+M58</f>
        <v>0</v>
      </c>
    </row>
    <row r="59" spans="3:15">
      <c r="C59">
        <f>42.27</f>
        <v>0</v>
      </c>
      <c r="D59">
        <f>2.27</f>
        <v>0</v>
      </c>
      <c r="E59">
        <f>E9*8.3359</f>
        <v>0</v>
      </c>
      <c r="F59">
        <f>F9*157.5693</f>
        <v>0</v>
      </c>
      <c r="G59">
        <f>G9*23.73405</f>
        <v>0</v>
      </c>
      <c r="H59">
        <f>H9*0.0</f>
        <v>0</v>
      </c>
      <c r="I59">
        <f>I9*44.481300000000005</f>
        <v>0</v>
      </c>
      <c r="J59">
        <f>J9*170.452</f>
        <v>0</v>
      </c>
      <c r="K59">
        <f>K9*-127.83895000000001</f>
        <v>0</v>
      </c>
      <c r="L59">
        <f>L9*389.88155</f>
        <v>0</v>
      </c>
      <c r="M59">
        <f>M9*-8.30885</f>
        <v>0</v>
      </c>
      <c r="N59">
        <f>E59+F59+G59+H59+I59+J59+K59+L59</f>
        <v>0</v>
      </c>
      <c r="O59">
        <f>E59+F59+G59+H59+I59+J59+K59+M59</f>
        <v>0</v>
      </c>
    </row>
    <row r="60" spans="3:15">
      <c r="C60">
        <f>43.18</f>
        <v>0</v>
      </c>
      <c r="D60">
        <f>3.18</f>
        <v>0</v>
      </c>
      <c r="E60">
        <f>E9*12.046299999999999</f>
        <v>0</v>
      </c>
      <c r="F60">
        <f>F9*220.18394999999998</f>
        <v>0</v>
      </c>
      <c r="G60">
        <f>G9*32.6794</f>
        <v>0</v>
      </c>
      <c r="H60">
        <f>H9*0.0</f>
        <v>0</v>
      </c>
      <c r="I60">
        <f>I9*51.35785</f>
        <v>0</v>
      </c>
      <c r="J60">
        <f>J9*207.676</f>
        <v>0</v>
      </c>
      <c r="K60">
        <f>K9*-155.75705</f>
        <v>0</v>
      </c>
      <c r="L60">
        <f>L9*504.766</f>
        <v>0</v>
      </c>
      <c r="M60">
        <f>M9*-7.92785</f>
        <v>0</v>
      </c>
      <c r="N60">
        <f>E60+F60+G60+H60+I60+J60+K60+L60</f>
        <v>0</v>
      </c>
      <c r="O60">
        <f>E60+F60+G60+H60+I60+J60+K60+M60</f>
        <v>0</v>
      </c>
    </row>
    <row r="61" spans="3:15">
      <c r="C61">
        <f>44.09</f>
        <v>0</v>
      </c>
      <c r="D61">
        <f>4.09</f>
        <v>0</v>
      </c>
      <c r="E61">
        <f>E9*15.748899999999999</f>
        <v>0</v>
      </c>
      <c r="F61">
        <f>F9*262.18345</f>
        <v>0</v>
      </c>
      <c r="G61">
        <f>G9*38.19765</f>
        <v>0</v>
      </c>
      <c r="H61">
        <f>H9*0.0</f>
        <v>0</v>
      </c>
      <c r="I61">
        <f>I9*59.8277</f>
        <v>0</v>
      </c>
      <c r="J61">
        <f>J9*249.66445</f>
        <v>0</v>
      </c>
      <c r="K61">
        <f>K9*-187.24835000000002</f>
        <v>0</v>
      </c>
      <c r="L61">
        <f>L9*567.26095</f>
        <v>0</v>
      </c>
      <c r="M61">
        <f>M9*-6.7808</f>
        <v>0</v>
      </c>
      <c r="N61">
        <f>E61+F61+G61+H61+I61+J61+K61+L61</f>
        <v>0</v>
      </c>
      <c r="O61">
        <f>E61+F61+G61+H61+I61+J61+K61+M61</f>
        <v>0</v>
      </c>
    </row>
    <row r="62" spans="3:15">
      <c r="C62">
        <f>45.0</f>
        <v>0</v>
      </c>
      <c r="D62">
        <f>5.0</f>
        <v>0</v>
      </c>
      <c r="E62">
        <f>E9*18.8111</f>
        <v>0</v>
      </c>
      <c r="F62">
        <f>F9*285.1386</f>
        <v>0</v>
      </c>
      <c r="G62">
        <f>G9*40.5188</f>
        <v>0</v>
      </c>
      <c r="H62">
        <f>H9*0.0</f>
        <v>0</v>
      </c>
      <c r="I62">
        <f>I9*66.737</f>
        <v>0</v>
      </c>
      <c r="J62">
        <f>J9*294.89385</f>
        <v>0</v>
      </c>
      <c r="K62">
        <f>K9*-221.17034999999998</f>
        <v>0</v>
      </c>
      <c r="L62">
        <f>L9*586.8715500000001</f>
        <v>0</v>
      </c>
      <c r="M62">
        <f>M9*-5.9292</f>
        <v>0</v>
      </c>
      <c r="N62">
        <f>E62+F62+G62+H62+I62+J62+K62+L62</f>
        <v>0</v>
      </c>
      <c r="O62">
        <f>E62+F62+G62+H62+I62+J62+K62+M62</f>
        <v>0</v>
      </c>
    </row>
    <row r="63" spans="3:15">
      <c r="C63">
        <f>46.0</f>
        <v>0</v>
      </c>
      <c r="D63">
        <f>6.0</f>
        <v>0</v>
      </c>
      <c r="E63">
        <f>E9*15.3192</f>
        <v>0</v>
      </c>
      <c r="F63">
        <f>F9*271.47029999999995</f>
        <v>0</v>
      </c>
      <c r="G63">
        <f>G9*39.7004</f>
        <v>0</v>
      </c>
      <c r="H63">
        <f>H9*0.0</f>
        <v>0</v>
      </c>
      <c r="I63">
        <f>I9*57.4187</f>
        <v>0</v>
      </c>
      <c r="J63">
        <f>J9*256.04815</f>
        <v>0</v>
      </c>
      <c r="K63">
        <f>K9*-192.03615000000002</f>
        <v>0</v>
      </c>
      <c r="L63">
        <f>L9*582.9058</f>
        <v>0</v>
      </c>
      <c r="M63">
        <f>M9*-4.27045</f>
        <v>0</v>
      </c>
      <c r="N63">
        <f>E63+F63+G63+H63+I63+J63+K63+L63</f>
        <v>0</v>
      </c>
      <c r="O63">
        <f>E63+F63+G63+H63+I63+J63+K63+M63</f>
        <v>0</v>
      </c>
    </row>
    <row r="64" spans="3:15">
      <c r="C64">
        <f>47.0</f>
        <v>0</v>
      </c>
      <c r="D64">
        <f>7.0</f>
        <v>0</v>
      </c>
      <c r="E64">
        <f>E9*11.48725</f>
        <v>0</v>
      </c>
      <c r="F64">
        <f>F9*237.38845</f>
        <v>0</v>
      </c>
      <c r="G64">
        <f>G9*35.35355</f>
        <v>0</v>
      </c>
      <c r="H64">
        <f>H9*0.0</f>
        <v>0</v>
      </c>
      <c r="I64">
        <f>I9*45.03545</f>
        <v>0</v>
      </c>
      <c r="J64">
        <f>J9*217.74985</f>
        <v>0</v>
      </c>
      <c r="K64">
        <f>K9*-163.31240000000003</f>
        <v>0</v>
      </c>
      <c r="L64">
        <f>L9*534.24365</f>
        <v>0</v>
      </c>
      <c r="M64">
        <f>M9*-3.80115</f>
        <v>0</v>
      </c>
      <c r="N64">
        <f>E64+F64+G64+H64+I64+J64+K64+L64</f>
        <v>0</v>
      </c>
      <c r="O64">
        <f>E64+F64+G64+H64+I64+J64+K64+M64</f>
        <v>0</v>
      </c>
    </row>
    <row r="65" spans="3:15">
      <c r="C65">
        <f>48.0</f>
        <v>0</v>
      </c>
      <c r="D65">
        <f>8.0</f>
        <v>0</v>
      </c>
      <c r="E65">
        <f>E9*7.7357</f>
        <v>0</v>
      </c>
      <c r="F65">
        <f>F9*181.38574999999997</f>
        <v>0</v>
      </c>
      <c r="G65">
        <f>G9*27.30425</f>
        <v>0</v>
      </c>
      <c r="H65">
        <f>H9*0.0</f>
        <v>0</v>
      </c>
      <c r="I65">
        <f>I9*32.20975</f>
        <v>0</v>
      </c>
      <c r="J65">
        <f>J9*188.3706</f>
        <v>0</v>
      </c>
      <c r="K65">
        <f>K9*-141.27794999999998</f>
        <v>0</v>
      </c>
      <c r="L65">
        <f>L9*428.60455</f>
        <v>0</v>
      </c>
      <c r="M65">
        <f>M9*-4.135149999999999</f>
        <v>0</v>
      </c>
      <c r="N65">
        <f>E65+F65+G65+H65+I65+J65+K65+L65</f>
        <v>0</v>
      </c>
      <c r="O65">
        <f>E65+F65+G65+H65+I65+J65+K65+M65</f>
        <v>0</v>
      </c>
    </row>
    <row r="66" spans="3:15">
      <c r="C66">
        <f>49.0</f>
        <v>0</v>
      </c>
      <c r="D66">
        <f>9.0</f>
        <v>0</v>
      </c>
      <c r="E66">
        <f>E9*4.387499999999999</f>
        <v>0</v>
      </c>
      <c r="F66">
        <f>F9*104.5155</f>
        <v>0</v>
      </c>
      <c r="G66">
        <f>G9*15.709299999999999</f>
        <v>0</v>
      </c>
      <c r="H66">
        <f>H9*0.0</f>
        <v>0</v>
      </c>
      <c r="I66">
        <f>I9*19.4103</f>
        <v>0</v>
      </c>
      <c r="J66">
        <f>J9*147.3111</f>
        <v>0</v>
      </c>
      <c r="K66">
        <f>K9*-110.48335</f>
        <v>0</v>
      </c>
      <c r="L66">
        <f>L9*262.78525</f>
        <v>0</v>
      </c>
      <c r="M66">
        <f>M9*-3.7100999999999997</f>
        <v>0</v>
      </c>
      <c r="N66">
        <f>E66+F66+G66+H66+I66+J66+K66+L66</f>
        <v>0</v>
      </c>
      <c r="O66">
        <f>E66+F66+G66+H66+I66+J66+K66+M66</f>
        <v>0</v>
      </c>
    </row>
    <row r="74" spans="3:15"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</row>
    <row r="75" spans="3:15">
      <c r="C75">
        <f>0.0</f>
        <v>0</v>
      </c>
      <c r="D75">
        <f>0.0</f>
        <v>0</v>
      </c>
      <c r="E75">
        <f>E73*-10.534</f>
        <v>0</v>
      </c>
      <c r="F75">
        <f>F73*-258.129</f>
        <v>0</v>
      </c>
      <c r="G75">
        <f>G73*-37.851</f>
        <v>0</v>
      </c>
      <c r="H75">
        <f>H73*0.0</f>
        <v>0</v>
      </c>
      <c r="I75">
        <f>I73*0.007084</f>
        <v>0</v>
      </c>
      <c r="J75">
        <f>J73*-141.18200000000002</f>
        <v>0</v>
      </c>
      <c r="K75">
        <f>K73*105.887</f>
        <v>0</v>
      </c>
      <c r="L75">
        <f>L73*6.318</f>
        <v>0</v>
      </c>
      <c r="M75">
        <f>M73*-445.151</f>
        <v>0</v>
      </c>
      <c r="N75">
        <f>E75+F75+G75+H75+I75+J75+K75+L75</f>
        <v>0</v>
      </c>
      <c r="O75">
        <f>E75+F75+G75+H75+I75+J75+K75+M75</f>
        <v>0</v>
      </c>
    </row>
    <row r="76" spans="3:15">
      <c r="C76">
        <f>1.0</f>
        <v>0</v>
      </c>
      <c r="D76">
        <f>1.0</f>
        <v>0</v>
      </c>
      <c r="E76">
        <f>E73*-11.04</f>
        <v>0</v>
      </c>
      <c r="F76">
        <f>F73*-231.001</f>
        <v>0</v>
      </c>
      <c r="G76">
        <f>G73*-34.3885</f>
        <v>0</v>
      </c>
      <c r="H76">
        <f>H73*0.0</f>
        <v>0</v>
      </c>
      <c r="I76">
        <f>I73*0.007065500000000001</f>
        <v>0</v>
      </c>
      <c r="J76">
        <f>J73*-125.91150000000002</f>
        <v>0</v>
      </c>
      <c r="K76">
        <f>K73*94.43350000000001</f>
        <v>0</v>
      </c>
      <c r="L76">
        <f>L73*17.061</f>
        <v>0</v>
      </c>
      <c r="M76">
        <f>M73*-408.37</f>
        <v>0</v>
      </c>
      <c r="N76">
        <f>E76+F76+G76+H76+I76+J76+K76+L76</f>
        <v>0</v>
      </c>
      <c r="O76">
        <f>E76+F76+G76+H76+I76+J76+K76+M76</f>
        <v>0</v>
      </c>
    </row>
    <row r="77" spans="3:15">
      <c r="C77">
        <f>2.0</f>
        <v>0</v>
      </c>
      <c r="D77">
        <f>2.0</f>
        <v>0</v>
      </c>
      <c r="E77">
        <f>E73*-12.014</f>
        <v>0</v>
      </c>
      <c r="F77">
        <f>F73*-202.71450000000002</f>
        <v>0</v>
      </c>
      <c r="G77">
        <f>G73*-29.634500000000003</f>
        <v>0</v>
      </c>
      <c r="H77">
        <f>H73*0.0</f>
        <v>0</v>
      </c>
      <c r="I77">
        <f>I73*0.007271</f>
        <v>0</v>
      </c>
      <c r="J77">
        <f>J73*-105.6285</f>
        <v>0</v>
      </c>
      <c r="K77">
        <f>K73*79.221</f>
        <v>0</v>
      </c>
      <c r="L77">
        <f>L73*33.6705</f>
        <v>0</v>
      </c>
      <c r="M77">
        <f>M73*-363.93350000000004</f>
        <v>0</v>
      </c>
      <c r="N77">
        <f>E77+F77+G77+H77+I77+J77+K77+L77</f>
        <v>0</v>
      </c>
      <c r="O77">
        <f>E77+F77+G77+H77+I77+J77+K77+M77</f>
        <v>0</v>
      </c>
    </row>
    <row r="78" spans="3:15">
      <c r="C78">
        <f>3.0</f>
        <v>0</v>
      </c>
      <c r="D78">
        <f>3.0</f>
        <v>0</v>
      </c>
      <c r="E78">
        <f>E73*-12.5585</f>
        <v>0</v>
      </c>
      <c r="F78">
        <f>F73*-174.60199999999998</f>
        <v>0</v>
      </c>
      <c r="G78">
        <f>G73*-24.9395</f>
        <v>0</v>
      </c>
      <c r="H78">
        <f>H73*0.0</f>
        <v>0</v>
      </c>
      <c r="I78">
        <f>I73*0.0071565000000000005</f>
        <v>0</v>
      </c>
      <c r="J78">
        <f>J73*-95.525</f>
        <v>0</v>
      </c>
      <c r="K78">
        <f>K73*71.64349999999999</f>
        <v>0</v>
      </c>
      <c r="L78">
        <f>L73*58.765</f>
        <v>0</v>
      </c>
      <c r="M78">
        <f>M73*-325.36699999999996</f>
        <v>0</v>
      </c>
      <c r="N78">
        <f>E78+F78+G78+H78+I78+J78+K78+L78</f>
        <v>0</v>
      </c>
      <c r="O78">
        <f>E78+F78+G78+H78+I78+J78+K78+M78</f>
        <v>0</v>
      </c>
    </row>
    <row r="79" spans="3:15">
      <c r="C79">
        <f>4.0</f>
        <v>0</v>
      </c>
      <c r="D79">
        <f>4.0</f>
        <v>0</v>
      </c>
      <c r="E79">
        <f>E73*-13.0235</f>
        <v>0</v>
      </c>
      <c r="F79">
        <f>F73*-151.942</f>
        <v>0</v>
      </c>
      <c r="G79">
        <f>G73*-21.067</f>
        <v>0</v>
      </c>
      <c r="H79">
        <f>H73*0.0</f>
        <v>0</v>
      </c>
      <c r="I79">
        <f>I73*0.0065365</f>
        <v>0</v>
      </c>
      <c r="J79">
        <f>J73*-83.80799999999999</f>
        <v>0</v>
      </c>
      <c r="K79">
        <f>K73*62.855999999999995</f>
        <v>0</v>
      </c>
      <c r="L79">
        <f>L73*83.6465</f>
        <v>0</v>
      </c>
      <c r="M79">
        <f>M73*-296.2335</f>
        <v>0</v>
      </c>
      <c r="N79">
        <f>E79+F79+G79+H79+I79+J79+K79+L79</f>
        <v>0</v>
      </c>
      <c r="O79">
        <f>E79+F79+G79+H79+I79+J79+K79+M79</f>
        <v>0</v>
      </c>
    </row>
    <row r="80" spans="3:15">
      <c r="C80">
        <f>5.0</f>
        <v>0</v>
      </c>
      <c r="D80">
        <f>5.0</f>
        <v>0</v>
      </c>
      <c r="E80">
        <f>E73*-9.894</f>
        <v>0</v>
      </c>
      <c r="F80">
        <f>F73*-126.169</f>
        <v>0</v>
      </c>
      <c r="G80">
        <f>G73*-18.1385</f>
        <v>0</v>
      </c>
      <c r="H80">
        <f>H73*0.0</f>
        <v>0</v>
      </c>
      <c r="I80">
        <f>I73*0.005434</f>
        <v>0</v>
      </c>
      <c r="J80">
        <f>J73*-34.9075</f>
        <v>0</v>
      </c>
      <c r="K80">
        <f>K73*26.1805</f>
        <v>0</v>
      </c>
      <c r="L80">
        <f>L73*90.8115</f>
        <v>0</v>
      </c>
      <c r="M80">
        <f>M73*-281.673</f>
        <v>0</v>
      </c>
      <c r="N80">
        <f>E80+F80+G80+H80+I80+J80+K80+L80</f>
        <v>0</v>
      </c>
      <c r="O80">
        <f>E80+F80+G80+H80+I80+J80+K80+M80</f>
        <v>0</v>
      </c>
    </row>
    <row r="81" spans="3:15">
      <c r="C81">
        <f>6.0</f>
        <v>0</v>
      </c>
      <c r="D81">
        <f>6.0</f>
        <v>0</v>
      </c>
      <c r="E81">
        <f>E73*-6.1825</f>
        <v>0</v>
      </c>
      <c r="F81">
        <f>F73*-96.84700000000001</f>
        <v>0</v>
      </c>
      <c r="G81">
        <f>G73*-14.7105</f>
        <v>0</v>
      </c>
      <c r="H81">
        <f>H73*0.0</f>
        <v>0</v>
      </c>
      <c r="I81">
        <f>I73*0.0047125</f>
        <v>0</v>
      </c>
      <c r="J81">
        <f>J73*4.6655</f>
        <v>0</v>
      </c>
      <c r="K81">
        <f>K73*-3.499</f>
        <v>0</v>
      </c>
      <c r="L81">
        <f>L73*98.4645</f>
        <v>0</v>
      </c>
      <c r="M81">
        <f>M73*-262.7285</f>
        <v>0</v>
      </c>
      <c r="N81">
        <f>E81+F81+G81+H81+I81+J81+K81+L81</f>
        <v>0</v>
      </c>
      <c r="O81">
        <f>E81+F81+G81+H81+I81+J81+K81+M81</f>
        <v>0</v>
      </c>
    </row>
    <row r="82" spans="3:15">
      <c r="C82">
        <f>7.0</f>
        <v>0</v>
      </c>
      <c r="D82">
        <f>7.0</f>
        <v>0</v>
      </c>
      <c r="E82">
        <f>E73*-5.826</f>
        <v>0</v>
      </c>
      <c r="F82">
        <f>F73*-72.5095</f>
        <v>0</v>
      </c>
      <c r="G82">
        <f>G73*-10.638000000000002</f>
        <v>0</v>
      </c>
      <c r="H82">
        <f>H73*0.0</f>
        <v>0</v>
      </c>
      <c r="I82">
        <f>I73*0.0045415</f>
        <v>0</v>
      </c>
      <c r="J82">
        <f>J73*0.812</f>
        <v>0</v>
      </c>
      <c r="K82">
        <f>K73*-0.609</f>
        <v>0</v>
      </c>
      <c r="L82">
        <f>L73*122.6115</f>
        <v>0</v>
      </c>
      <c r="M82">
        <f>M73*-233.93</f>
        <v>0</v>
      </c>
      <c r="N82">
        <f>E82+F82+G82+H82+I82+J82+K82+L82</f>
        <v>0</v>
      </c>
      <c r="O82">
        <f>E82+F82+G82+H82+I82+J82+K82+M82</f>
        <v>0</v>
      </c>
    </row>
    <row r="83" spans="3:15">
      <c r="C83">
        <f>8.0</f>
        <v>0</v>
      </c>
      <c r="D83">
        <f>8.0</f>
        <v>0</v>
      </c>
      <c r="E83">
        <f>E73*-5.5755</f>
        <v>0</v>
      </c>
      <c r="F83">
        <f>F73*-48.354</f>
        <v>0</v>
      </c>
      <c r="G83">
        <f>G73*-6.586499999999999</f>
        <v>0</v>
      </c>
      <c r="H83">
        <f>H73*0.0</f>
        <v>0</v>
      </c>
      <c r="I83">
        <f>I73*0.0041545</f>
        <v>0</v>
      </c>
      <c r="J83">
        <f>J73*-6.112</f>
        <v>0</v>
      </c>
      <c r="K83">
        <f>K73*4.584</f>
        <v>0</v>
      </c>
      <c r="L83">
        <f>L73*147.2815</f>
        <v>0</v>
      </c>
      <c r="M83">
        <f>M73*-206.4875</f>
        <v>0</v>
      </c>
      <c r="N83">
        <f>E83+F83+G83+H83+I83+J83+K83+L83</f>
        <v>0</v>
      </c>
      <c r="O83">
        <f>E83+F83+G83+H83+I83+J83+K83+M83</f>
        <v>0</v>
      </c>
    </row>
    <row r="84" spans="3:15">
      <c r="C84">
        <f>9.0</f>
        <v>0</v>
      </c>
      <c r="D84">
        <f>9.0</f>
        <v>0</v>
      </c>
      <c r="E84">
        <f>E73*-5.0695</f>
        <v>0</v>
      </c>
      <c r="F84">
        <f>F73*-24.389499999999998</f>
        <v>0</v>
      </c>
      <c r="G84">
        <f>G73*-2.5685</f>
        <v>0</v>
      </c>
      <c r="H84">
        <f>H73*0.0</f>
        <v>0</v>
      </c>
      <c r="I84">
        <f>I73*0.003555</f>
        <v>0</v>
      </c>
      <c r="J84">
        <f>J73*-12.466000000000001</f>
        <v>0</v>
      </c>
      <c r="K84">
        <f>K73*9.349499999999999</f>
        <v>0</v>
      </c>
      <c r="L84">
        <f>L73*171.02450000000002</f>
        <v>0</v>
      </c>
      <c r="M84">
        <f>M73*-180.334</f>
        <v>0</v>
      </c>
      <c r="N84">
        <f>E84+F84+G84+H84+I84+J84+K84+L84</f>
        <v>0</v>
      </c>
      <c r="O84">
        <f>E84+F84+G84+H84+I84+J84+K84+M84</f>
        <v>0</v>
      </c>
    </row>
    <row r="85" spans="3:15">
      <c r="C85">
        <f>10.0</f>
        <v>0</v>
      </c>
      <c r="D85">
        <f>10.0</f>
        <v>0</v>
      </c>
      <c r="E85">
        <f>E73*0.585</f>
        <v>0</v>
      </c>
      <c r="F85">
        <f>F73*3.439</f>
        <v>0</v>
      </c>
      <c r="G85">
        <f>G73*0.499</f>
        <v>0</v>
      </c>
      <c r="H85">
        <f>H73*0.0</f>
        <v>0</v>
      </c>
      <c r="I85">
        <f>I73*0.0019076</f>
        <v>0</v>
      </c>
      <c r="J85">
        <f>J73*-1.065500000000001</f>
        <v>0</v>
      </c>
      <c r="K85">
        <f>K73*0.7994999999999992</f>
        <v>0</v>
      </c>
      <c r="L85">
        <f>L73*176.9415</f>
        <v>0</v>
      </c>
      <c r="M85">
        <f>M73*-173.3465</f>
        <v>0</v>
      </c>
      <c r="N85">
        <f>E85+F85+G85+H85+I85+J85+K85+L85</f>
        <v>0</v>
      </c>
      <c r="O85">
        <f>E85+F85+G85+H85+I85+J85+K85+M85</f>
        <v>0</v>
      </c>
    </row>
    <row r="86" spans="3:15">
      <c r="C86">
        <f>11.0</f>
        <v>0</v>
      </c>
      <c r="D86">
        <f>11.0</f>
        <v>0</v>
      </c>
      <c r="E86">
        <f>E73*6.26</f>
        <v>0</v>
      </c>
      <c r="F86">
        <f>F73*31.243499999999997</f>
        <v>0</v>
      </c>
      <c r="G86">
        <f>G73*3.5620000000000003</f>
        <v>0</v>
      </c>
      <c r="H86">
        <f>H73*0.0</f>
        <v>0</v>
      </c>
      <c r="I86">
        <f>I73*0.0003118</f>
        <v>0</v>
      </c>
      <c r="J86">
        <f>J73*10.068000000000001</f>
        <v>0</v>
      </c>
      <c r="K86">
        <f>K73*-7.5504999999999995</f>
        <v>0</v>
      </c>
      <c r="L86">
        <f>L73*182.47799999999998</f>
        <v>0</v>
      </c>
      <c r="M86">
        <f>M73*-166.796</f>
        <v>0</v>
      </c>
      <c r="N86">
        <f>E86+F86+G86+H86+I86+J86+K86+L86</f>
        <v>0</v>
      </c>
      <c r="O86">
        <f>E86+F86+G86+H86+I86+J86+K86+M86</f>
        <v>0</v>
      </c>
    </row>
    <row r="87" spans="3:15">
      <c r="C87">
        <f>12.0</f>
        <v>0</v>
      </c>
      <c r="D87">
        <f>12.0</f>
        <v>0</v>
      </c>
      <c r="E87">
        <f>E73*6.818</f>
        <v>0</v>
      </c>
      <c r="F87">
        <f>F73*55.108000000000004</f>
        <v>0</v>
      </c>
      <c r="G87">
        <f>G73*7.5625</f>
        <v>0</v>
      </c>
      <c r="H87">
        <f>H73*0.0</f>
        <v>0</v>
      </c>
      <c r="I87">
        <f>I73*-0.000273535</f>
        <v>0</v>
      </c>
      <c r="J87">
        <f>J73*3.0105</f>
        <v>0</v>
      </c>
      <c r="K87">
        <f>K73*-2.258</f>
        <v>0</v>
      </c>
      <c r="L87">
        <f>L73*208.0625</f>
        <v>0</v>
      </c>
      <c r="M87">
        <f>M73*-145.9185</f>
        <v>0</v>
      </c>
      <c r="N87">
        <f>E87+F87+G87+H87+I87+J87+K87+L87</f>
        <v>0</v>
      </c>
      <c r="O87">
        <f>E87+F87+G87+H87+I87+J87+K87+M87</f>
        <v>0</v>
      </c>
    </row>
    <row r="88" spans="3:15">
      <c r="C88">
        <f>13.0</f>
        <v>0</v>
      </c>
      <c r="D88">
        <f>13.0</f>
        <v>0</v>
      </c>
      <c r="E88">
        <f>E73*7.1645</f>
        <v>0</v>
      </c>
      <c r="F88">
        <f>F73*79.1305</f>
        <v>0</v>
      </c>
      <c r="G88">
        <f>G73*11.588000000000001</f>
        <v>0</v>
      </c>
      <c r="H88">
        <f>H73*0.0</f>
        <v>0</v>
      </c>
      <c r="I88">
        <f>I73*-0.0011412</f>
        <v>0</v>
      </c>
      <c r="J88">
        <f>J73*-5.225</f>
        <v>0</v>
      </c>
      <c r="K88">
        <f>K73*3.9185000000000003</f>
        <v>0</v>
      </c>
      <c r="L88">
        <f>L73*236.4165</f>
        <v>0</v>
      </c>
      <c r="M88">
        <f>M73*-127.76</f>
        <v>0</v>
      </c>
      <c r="N88">
        <f>E88+F88+G88+H88+I88+J88+K88+L88</f>
        <v>0</v>
      </c>
      <c r="O88">
        <f>E88+F88+G88+H88+I88+J88+K88+M88</f>
        <v>0</v>
      </c>
    </row>
    <row r="89" spans="3:15">
      <c r="C89">
        <f>14.0</f>
        <v>0</v>
      </c>
      <c r="D89">
        <f>14.0</f>
        <v>0</v>
      </c>
      <c r="E89">
        <f>E73*7.701500000000001</f>
        <v>0</v>
      </c>
      <c r="F89">
        <f>F73*103.4435</f>
        <v>0</v>
      </c>
      <c r="G89">
        <f>G73*15.644</f>
        <v>0</v>
      </c>
      <c r="H89">
        <f>H73*0.0</f>
        <v>0</v>
      </c>
      <c r="I89">
        <f>I73*-0.0021875</f>
        <v>0</v>
      </c>
      <c r="J89">
        <f>J73*-11.468499999999999</f>
        <v>0</v>
      </c>
      <c r="K89">
        <f>K73*8.600999999999999</f>
        <v>0</v>
      </c>
      <c r="L89">
        <f>L73*263.89549999999997</f>
        <v>0</v>
      </c>
      <c r="M89">
        <f>M73*-100.7495</f>
        <v>0</v>
      </c>
      <c r="N89">
        <f>E89+F89+G89+H89+I89+J89+K89+L89</f>
        <v>0</v>
      </c>
      <c r="O89">
        <f>E89+F89+G89+H89+I89+J89+K89+M89</f>
        <v>0</v>
      </c>
    </row>
    <row r="90" spans="3:15">
      <c r="C90">
        <f>15.0</f>
        <v>0</v>
      </c>
      <c r="D90">
        <f>15.0</f>
        <v>0</v>
      </c>
      <c r="E90">
        <f>E73*12.995000000000001</f>
        <v>0</v>
      </c>
      <c r="F90">
        <f>F73*137.174</f>
        <v>0</v>
      </c>
      <c r="G90">
        <f>G73*19.530500000000004</f>
        <v>0</v>
      </c>
      <c r="H90">
        <f>H73*0.0</f>
        <v>0</v>
      </c>
      <c r="I90">
        <f>I73*-0.0006765000000000001</f>
        <v>0</v>
      </c>
      <c r="J90">
        <f>J73*8.871500000000001</f>
        <v>0</v>
      </c>
      <c r="K90">
        <f>K73*-6.6535</f>
        <v>0</v>
      </c>
      <c r="L90">
        <f>L73*283.87149999999997</f>
        <v>0</v>
      </c>
      <c r="M90">
        <f>M73*-98.4365</f>
        <v>0</v>
      </c>
      <c r="N90">
        <f>E90+F90+G90+H90+I90+J90+K90+L90</f>
        <v>0</v>
      </c>
      <c r="O90">
        <f>E90+F90+G90+H90+I90+J90+K90+M90</f>
        <v>0</v>
      </c>
    </row>
    <row r="91" spans="3:15">
      <c r="C91">
        <f>15.91</f>
        <v>0</v>
      </c>
      <c r="D91">
        <f>15.91</f>
        <v>0</v>
      </c>
      <c r="E91">
        <f>E73*17.9455</f>
        <v>0</v>
      </c>
      <c r="F91">
        <f>F73*165.98950000000002</f>
        <v>0</v>
      </c>
      <c r="G91">
        <f>G73*22.750500000000002</f>
        <v>0</v>
      </c>
      <c r="H91">
        <f>H73*0.0</f>
        <v>0</v>
      </c>
      <c r="I91">
        <f>I73*0.0017785000000000001</f>
        <v>0</v>
      </c>
      <c r="J91">
        <f>J73*36.269</f>
        <v>0</v>
      </c>
      <c r="K91">
        <f>K73*-27.202</f>
        <v>0</v>
      </c>
      <c r="L91">
        <f>L73*295.632</f>
        <v>0</v>
      </c>
      <c r="M91">
        <f>M73*-95.3805</f>
        <v>0</v>
      </c>
      <c r="N91">
        <f>E91+F91+G91+H91+I91+J91+K91+L91</f>
        <v>0</v>
      </c>
      <c r="O91">
        <f>E91+F91+G91+H91+I91+J91+K91+M91</f>
        <v>0</v>
      </c>
    </row>
    <row r="92" spans="3:15">
      <c r="C92">
        <f>16.82</f>
        <v>0</v>
      </c>
      <c r="D92">
        <f>16.82</f>
        <v>0</v>
      </c>
      <c r="E92">
        <f>E73*18.168</f>
        <v>0</v>
      </c>
      <c r="F92">
        <f>F73*186.88</f>
        <v>0</v>
      </c>
      <c r="G92">
        <f>G73*26.2645</f>
        <v>0</v>
      </c>
      <c r="H92">
        <f>H73*0.0</f>
        <v>0</v>
      </c>
      <c r="I92">
        <f>I73*0.003802</f>
        <v>0</v>
      </c>
      <c r="J92">
        <f>J73*40.4135</f>
        <v>0</v>
      </c>
      <c r="K92">
        <f>K73*-30.310000000000002</f>
        <v>0</v>
      </c>
      <c r="L92">
        <f>L73*320.14700000000005</f>
        <v>0</v>
      </c>
      <c r="M92">
        <f>M73*-72.34549999999999</f>
        <v>0</v>
      </c>
      <c r="N92">
        <f>E92+F92+G92+H92+I92+J92+K92+L92</f>
        <v>0</v>
      </c>
      <c r="O92">
        <f>E92+F92+G92+H92+I92+J92+K92+M92</f>
        <v>0</v>
      </c>
    </row>
    <row r="93" spans="3:15">
      <c r="C93">
        <f>17.73</f>
        <v>0</v>
      </c>
      <c r="D93">
        <f>17.73</f>
        <v>0</v>
      </c>
      <c r="E93">
        <f>E73*18.532</f>
        <v>0</v>
      </c>
      <c r="F93">
        <f>F73*213.028</f>
        <v>0</v>
      </c>
      <c r="G93">
        <f>G73*30.5505</f>
        <v>0</v>
      </c>
      <c r="H93">
        <f>H73*0.0</f>
        <v>0</v>
      </c>
      <c r="I93">
        <f>I73*0.00838</f>
        <v>0</v>
      </c>
      <c r="J93">
        <f>J73*40.092</f>
        <v>0</v>
      </c>
      <c r="K93">
        <f>K73*-30.068999999999996</f>
        <v>0</v>
      </c>
      <c r="L93">
        <f>L73*354.4225</f>
        <v>0</v>
      </c>
      <c r="M93">
        <f>M73*-45.5415</f>
        <v>0</v>
      </c>
      <c r="N93">
        <f>E93+F93+G93+H93+I93+J93+K93+L93</f>
        <v>0</v>
      </c>
      <c r="O93">
        <f>E93+F93+G93+H93+I93+J93+K93+M93</f>
        <v>0</v>
      </c>
    </row>
    <row r="94" spans="3:15">
      <c r="C94">
        <f>18.64</f>
        <v>0</v>
      </c>
      <c r="D94">
        <f>18.64</f>
        <v>0</v>
      </c>
      <c r="E94">
        <f>E73*18.98</f>
        <v>0</v>
      </c>
      <c r="F94">
        <f>F73*242.076</f>
        <v>0</v>
      </c>
      <c r="G94">
        <f>G73*35.242999999999995</f>
        <v>0</v>
      </c>
      <c r="H94">
        <f>H73*0.0</f>
        <v>0</v>
      </c>
      <c r="I94">
        <f>I73*0.0175</f>
        <v>0</v>
      </c>
      <c r="J94">
        <f>J73*44.7395</f>
        <v>0</v>
      </c>
      <c r="K94">
        <f>K73*-33.5545</f>
        <v>0</v>
      </c>
      <c r="L94">
        <f>L73*397.2875</f>
        <v>0</v>
      </c>
      <c r="M94">
        <f>M73*-26.143500000000003</f>
        <v>0</v>
      </c>
      <c r="N94">
        <f>E94+F94+G94+H94+I94+J94+K94+L94</f>
        <v>0</v>
      </c>
      <c r="O94">
        <f>E94+F94+G94+H94+I94+J94+K94+M94</f>
        <v>0</v>
      </c>
    </row>
    <row r="95" spans="3:15">
      <c r="C95">
        <f>19.55</f>
        <v>0</v>
      </c>
      <c r="D95">
        <f>19.55</f>
        <v>0</v>
      </c>
      <c r="E95">
        <f>E73*10.01</f>
        <v>0</v>
      </c>
      <c r="F95">
        <f>F73*123.62099999999998</f>
        <v>0</v>
      </c>
      <c r="G95">
        <f>G73*18.104</f>
        <v>0</v>
      </c>
      <c r="H95">
        <f>H73*0.0</f>
        <v>0</v>
      </c>
      <c r="I95">
        <f>I73*0.004499999999999999</f>
        <v>0</v>
      </c>
      <c r="J95">
        <f>J73*19.917</f>
        <v>0</v>
      </c>
      <c r="K95">
        <f>K73*-14.937500000000002</f>
        <v>0</v>
      </c>
      <c r="L95">
        <f>L73*224.821</f>
        <v>0</v>
      </c>
      <c r="M95">
        <f>M73*-116.03500000000001</f>
        <v>0</v>
      </c>
      <c r="N95">
        <f>E95+F95+G95+H95+I95+J95+K95+L95</f>
        <v>0</v>
      </c>
      <c r="O95">
        <f>E95+F95+G95+H95+I95+J95+K95+M95</f>
        <v>0</v>
      </c>
    </row>
    <row r="96" spans="3:15">
      <c r="C96">
        <f>20.0</f>
        <v>0</v>
      </c>
      <c r="D96">
        <f>20.0</f>
        <v>0</v>
      </c>
      <c r="E96">
        <f>E73*0.633</f>
        <v>0</v>
      </c>
      <c r="F96">
        <f>F73*-12.462</f>
        <v>0</v>
      </c>
      <c r="G96">
        <f>G73*-2.778</f>
        <v>0</v>
      </c>
      <c r="H96">
        <f>H73*0.0</f>
        <v>0</v>
      </c>
      <c r="I96">
        <f>I73*-0.02</f>
        <v>0</v>
      </c>
      <c r="J96">
        <f>J73*-16.917</f>
        <v>0</v>
      </c>
      <c r="K96">
        <f>K73*12.687999999999999</f>
        <v>0</v>
      </c>
      <c r="L96">
        <f>L73*13.055</f>
        <v>0</v>
      </c>
      <c r="M96">
        <f>M73*-219.399</f>
        <v>0</v>
      </c>
      <c r="N96">
        <f>E96+F96+G96+H96+I96+J96+K96+L96</f>
        <v>0</v>
      </c>
      <c r="O96">
        <f>E96+F96+G96+H96+I96+J96+K96+M96</f>
        <v>0</v>
      </c>
    </row>
    <row r="97" spans="3:15">
      <c r="C97">
        <f>20.0</f>
        <v>0</v>
      </c>
      <c r="D97">
        <f>0.0</f>
        <v>0</v>
      </c>
      <c r="E97">
        <f>E73*-0.531</f>
        <v>0</v>
      </c>
      <c r="F97">
        <f>F73*11.600999999999999</f>
        <v>0</v>
      </c>
      <c r="G97">
        <f>G73*2.647</f>
        <v>0</v>
      </c>
      <c r="H97">
        <f>H73*0.0</f>
        <v>0</v>
      </c>
      <c r="I97">
        <f>I73*-0.141</f>
        <v>0</v>
      </c>
      <c r="J97">
        <f>J73*15.207</f>
        <v>0</v>
      </c>
      <c r="K97">
        <f>K73*-11.405</f>
        <v>0</v>
      </c>
      <c r="L97">
        <f>L73*25.881999999999998</f>
        <v>0</v>
      </c>
      <c r="M97">
        <f>M73*-13.475999999999999</f>
        <v>0</v>
      </c>
      <c r="N97">
        <f>E97+F97+G97+H97+I97+J97+K97+L97</f>
        <v>0</v>
      </c>
      <c r="O97">
        <f>E97+F97+G97+H97+I97+J97+K97+M97</f>
        <v>0</v>
      </c>
    </row>
    <row r="98" spans="3:15">
      <c r="C98">
        <f>20.45</f>
        <v>0</v>
      </c>
      <c r="D98">
        <f>0.45</f>
        <v>0</v>
      </c>
      <c r="E98">
        <f>E73*-9.398499999999999</f>
        <v>0</v>
      </c>
      <c r="F98">
        <f>F73*-123.814</f>
        <v>0</v>
      </c>
      <c r="G98">
        <f>G73*-18.151</f>
        <v>0</v>
      </c>
      <c r="H98">
        <f>H73*0.0</f>
        <v>0</v>
      </c>
      <c r="I98">
        <f>I73*0.1335</f>
        <v>0</v>
      </c>
      <c r="J98">
        <f>J73*-25.376499999999997</f>
        <v>0</v>
      </c>
      <c r="K98">
        <f>K73*19.0325</f>
        <v>0</v>
      </c>
      <c r="L98">
        <f>L73*17.453999999999997</f>
        <v>0</v>
      </c>
      <c r="M98">
        <f>M73*-228.5935</f>
        <v>0</v>
      </c>
      <c r="N98">
        <f>E98+F98+G98+H98+I98+J98+K98+L98</f>
        <v>0</v>
      </c>
      <c r="O98">
        <f>E98+F98+G98+H98+I98+J98+K98+M98</f>
        <v>0</v>
      </c>
    </row>
    <row r="99" spans="3:15">
      <c r="C99">
        <f>21.36</f>
        <v>0</v>
      </c>
      <c r="D99">
        <f>1.36</f>
        <v>0</v>
      </c>
      <c r="E99">
        <f>E73*-17.924999999999997</f>
        <v>0</v>
      </c>
      <c r="F99">
        <f>F73*-241.163</f>
        <v>0</v>
      </c>
      <c r="G99">
        <f>G73*-35.138999999999996</f>
        <v>0</v>
      </c>
      <c r="H99">
        <f>H73*0.0</f>
        <v>0</v>
      </c>
      <c r="I99">
        <f>I73*0.274</f>
        <v>0</v>
      </c>
      <c r="J99">
        <f>J73*-52.927499999999995</f>
        <v>0</v>
      </c>
      <c r="K99">
        <f>K73*39.695499999999996</f>
        <v>0</v>
      </c>
      <c r="L99">
        <f>L73*21.936500000000002</f>
        <v>0</v>
      </c>
      <c r="M99">
        <f>M73*-404.79499999999996</f>
        <v>0</v>
      </c>
      <c r="N99">
        <f>E99+F99+G99+H99+I99+J99+K99+L99</f>
        <v>0</v>
      </c>
      <c r="O99">
        <f>E99+F99+G99+H99+I99+J99+K99+M99</f>
        <v>0</v>
      </c>
    </row>
    <row r="100" spans="3:15">
      <c r="C100">
        <f>22.27</f>
        <v>0</v>
      </c>
      <c r="D100">
        <f>2.27</f>
        <v>0</v>
      </c>
      <c r="E100">
        <f>E73*-17.57</f>
        <v>0</v>
      </c>
      <c r="F100">
        <f>F73*-211.524</f>
        <v>0</v>
      </c>
      <c r="G100">
        <f>G73*-30.356</f>
        <v>0</v>
      </c>
      <c r="H100">
        <f>H73*0.0</f>
        <v>0</v>
      </c>
      <c r="I100">
        <f>I73*0.142</f>
        <v>0</v>
      </c>
      <c r="J100">
        <f>J73*-46.8615</f>
        <v>0</v>
      </c>
      <c r="K100">
        <f>K73*35.1465</f>
        <v>0</v>
      </c>
      <c r="L100">
        <f>L73*39.1995</f>
        <v>0</v>
      </c>
      <c r="M100">
        <f>M73*-360.53999999999996</f>
        <v>0</v>
      </c>
      <c r="N100">
        <f>E100+F100+G100+H100+I100+J100+K100+L100</f>
        <v>0</v>
      </c>
      <c r="O100">
        <f>E100+F100+G100+H100+I100+J100+K100+M100</f>
        <v>0</v>
      </c>
    </row>
    <row r="101" spans="3:15">
      <c r="C101">
        <f>23.18</f>
        <v>0</v>
      </c>
      <c r="D101">
        <f>3.18</f>
        <v>0</v>
      </c>
      <c r="E101">
        <f>E73*-17.283</f>
        <v>0</v>
      </c>
      <c r="F101">
        <f>F73*-184.9005</f>
        <v>0</v>
      </c>
      <c r="G101">
        <f>G73*-25.996499999999997</f>
        <v>0</v>
      </c>
      <c r="H101">
        <f>H73*0.0</f>
        <v>0</v>
      </c>
      <c r="I101">
        <f>I73*0.0405</f>
        <v>0</v>
      </c>
      <c r="J101">
        <f>J73*-45.9835</f>
        <v>0</v>
      </c>
      <c r="K101">
        <f>K73*34.4875</f>
        <v>0</v>
      </c>
      <c r="L101">
        <f>L73*64.567</f>
        <v>0</v>
      </c>
      <c r="M101">
        <f>M73*-324.252</f>
        <v>0</v>
      </c>
      <c r="N101">
        <f>E101+F101+G101+H101+I101+J101+K101+L101</f>
        <v>0</v>
      </c>
      <c r="O101">
        <f>E101+F101+G101+H101+I101+J101+K101+M101</f>
        <v>0</v>
      </c>
    </row>
    <row r="102" spans="3:15">
      <c r="C102">
        <f>24.09</f>
        <v>0</v>
      </c>
      <c r="D102">
        <f>4.09</f>
        <v>0</v>
      </c>
      <c r="E102">
        <f>E73*-17.1205</f>
        <v>0</v>
      </c>
      <c r="F102">
        <f>F73*-163.534</f>
        <v>0</v>
      </c>
      <c r="G102">
        <f>G73*-22.41</f>
        <v>0</v>
      </c>
      <c r="H102">
        <f>H73*0.0</f>
        <v>0</v>
      </c>
      <c r="I102">
        <f>I73*-0.052000000000000005</f>
        <v>0</v>
      </c>
      <c r="J102">
        <f>J73*-40.763000000000005</f>
        <v>0</v>
      </c>
      <c r="K102">
        <f>K73*30.572499999999998</f>
        <v>0</v>
      </c>
      <c r="L102">
        <f>L73*89.077</f>
        <v>0</v>
      </c>
      <c r="M102">
        <f>M73*-297.804</f>
        <v>0</v>
      </c>
      <c r="N102">
        <f>E102+F102+G102+H102+I102+J102+K102+L102</f>
        <v>0</v>
      </c>
      <c r="O102">
        <f>E102+F102+G102+H102+I102+J102+K102+M102</f>
        <v>0</v>
      </c>
    </row>
    <row r="103" spans="3:15">
      <c r="C103">
        <f>25.0</f>
        <v>0</v>
      </c>
      <c r="D103">
        <f>5.0</f>
        <v>0</v>
      </c>
      <c r="E103">
        <f>E73*-12.303</f>
        <v>0</v>
      </c>
      <c r="F103">
        <f>F73*-133.8845</f>
        <v>0</v>
      </c>
      <c r="G103">
        <f>G73*-19.06</f>
        <v>0</v>
      </c>
      <c r="H103">
        <f>H73*0.0</f>
        <v>0</v>
      </c>
      <c r="I103">
        <f>I73*-0.2395</f>
        <v>0</v>
      </c>
      <c r="J103">
        <f>J73*-11.160499999999999</f>
        <v>0</v>
      </c>
      <c r="K103">
        <f>K73*8.37</f>
        <v>0</v>
      </c>
      <c r="L103">
        <f>L73*94.58149999999999</f>
        <v>0</v>
      </c>
      <c r="M103">
        <f>M73*-282.1725</f>
        <v>0</v>
      </c>
      <c r="N103">
        <f>E103+F103+G103+H103+I103+J103+K103+L103</f>
        <v>0</v>
      </c>
      <c r="O103">
        <f>E103+F103+G103+H103+I103+J103+K103+M103</f>
        <v>0</v>
      </c>
    </row>
    <row r="104" spans="3:15">
      <c r="C104">
        <f>26.0</f>
        <v>0</v>
      </c>
      <c r="D104">
        <f>6.0</f>
        <v>0</v>
      </c>
      <c r="E104">
        <f>E73*-7.14</f>
        <v>0</v>
      </c>
      <c r="F104">
        <f>F73*-99.5365</f>
        <v>0</v>
      </c>
      <c r="G104">
        <f>G73*-15.075</f>
        <v>0</v>
      </c>
      <c r="H104">
        <f>H73*0.0</f>
        <v>0</v>
      </c>
      <c r="I104">
        <f>I73*-0.40099999999999997</f>
        <v>0</v>
      </c>
      <c r="J104">
        <f>J73*11.195</f>
        <v>0</v>
      </c>
      <c r="K104">
        <f>K73*-8.396</f>
        <v>0</v>
      </c>
      <c r="L104">
        <f>L73*99.46900000000001</f>
        <v>0</v>
      </c>
      <c r="M104">
        <f>M73*-261.5775</f>
        <v>0</v>
      </c>
      <c r="N104">
        <f>E104+F104+G104+H104+I104+J104+K104+L104</f>
        <v>0</v>
      </c>
      <c r="O104">
        <f>E104+F104+G104+H104+I104+J104+K104+M104</f>
        <v>0</v>
      </c>
    </row>
    <row r="105" spans="3:15">
      <c r="C105">
        <f>27.0</f>
        <v>0</v>
      </c>
      <c r="D105">
        <f>7.0</f>
        <v>0</v>
      </c>
      <c r="E105">
        <f>E73*-6.6434999999999995</f>
        <v>0</v>
      </c>
      <c r="F105">
        <f>F73*-75.16799999999999</f>
        <v>0</v>
      </c>
      <c r="G105">
        <f>G73*-11.0075</f>
        <v>0</v>
      </c>
      <c r="H105">
        <f>H73*0.0</f>
        <v>0</v>
      </c>
      <c r="I105">
        <f>I73*-0.428</f>
        <v>0</v>
      </c>
      <c r="J105">
        <f>J73*5.5635</f>
        <v>0</v>
      </c>
      <c r="K105">
        <f>K73*-4.1725</f>
        <v>0</v>
      </c>
      <c r="L105">
        <f>L73*126.676</f>
        <v>0</v>
      </c>
      <c r="M105">
        <f>M73*-232.5985</f>
        <v>0</v>
      </c>
      <c r="N105">
        <f>E105+F105+G105+H105+I105+J105+K105+L105</f>
        <v>0</v>
      </c>
      <c r="O105">
        <f>E105+F105+G105+H105+I105+J105+K105+M105</f>
        <v>0</v>
      </c>
    </row>
    <row r="106" spans="3:15">
      <c r="C106">
        <f>28.0</f>
        <v>0</v>
      </c>
      <c r="D106">
        <f>8.0</f>
        <v>0</v>
      </c>
      <c r="E106">
        <f>E73*-6.329</f>
        <v>0</v>
      </c>
      <c r="F106">
        <f>F73*-51.182500000000005</f>
        <v>0</v>
      </c>
      <c r="G106">
        <f>G73*-6.983499999999999</f>
        <v>0</v>
      </c>
      <c r="H106">
        <f>H73*0.0</f>
        <v>0</v>
      </c>
      <c r="I106">
        <f>I73*-0.4445</f>
        <v>0</v>
      </c>
      <c r="J106">
        <f>J73*-2.1905</f>
        <v>0</v>
      </c>
      <c r="K106">
        <f>K73*1.643</f>
        <v>0</v>
      </c>
      <c r="L106">
        <f>L73*149.5705</f>
        <v>0</v>
      </c>
      <c r="M106">
        <f>M73*-205.6605</f>
        <v>0</v>
      </c>
      <c r="N106">
        <f>E106+F106+G106+H106+I106+J106+K106+L106</f>
        <v>0</v>
      </c>
      <c r="O106">
        <f>E106+F106+G106+H106+I106+J106+K106+M106</f>
        <v>0</v>
      </c>
    </row>
    <row r="107" spans="3:15">
      <c r="C107">
        <f>29.0</f>
        <v>0</v>
      </c>
      <c r="D107">
        <f>9.0</f>
        <v>0</v>
      </c>
      <c r="E107">
        <f>E73*-5.791499999999999</f>
        <v>0</v>
      </c>
      <c r="F107">
        <f>F73*-27.4345</f>
        <v>0</v>
      </c>
      <c r="G107">
        <f>G73*-2.9975</f>
        <v>0</v>
      </c>
      <c r="H107">
        <f>H73*0.0</f>
        <v>0</v>
      </c>
      <c r="I107">
        <f>I73*-0.4485</f>
        <v>0</v>
      </c>
      <c r="J107">
        <f>J73*-8.956</f>
        <v>0</v>
      </c>
      <c r="K107">
        <f>K73*6.7170000000000005</f>
        <v>0</v>
      </c>
      <c r="L107">
        <f>L73*168.71250000000003</f>
        <v>0</v>
      </c>
      <c r="M107">
        <f>M73*-179.957</f>
        <v>0</v>
      </c>
      <c r="N107">
        <f>E107+F107+G107+H107+I107+J107+K107+L107</f>
        <v>0</v>
      </c>
      <c r="O107">
        <f>E107+F107+G107+H107+I107+J107+K107+M107</f>
        <v>0</v>
      </c>
    </row>
    <row r="108" spans="3:15">
      <c r="C108">
        <f>30.0</f>
        <v>0</v>
      </c>
      <c r="D108">
        <f>10.0</f>
        <v>0</v>
      </c>
      <c r="E108">
        <f>E73*0.09299999999999997</f>
        <v>0</v>
      </c>
      <c r="F108">
        <f>F73*0.2855000000000001</f>
        <v>0</v>
      </c>
      <c r="G108">
        <f>G73*0.038000000000000006</f>
        <v>0</v>
      </c>
      <c r="H108">
        <f>H73*0.0</f>
        <v>0</v>
      </c>
      <c r="I108">
        <f>I73*-0.05350000000000002</f>
        <v>0</v>
      </c>
      <c r="J108">
        <f>J73*-0.6135000000000002</f>
        <v>0</v>
      </c>
      <c r="K108">
        <f>K73*0.45999999999999996</f>
        <v>0</v>
      </c>
      <c r="L108">
        <f>L73*174.2965</f>
        <v>0</v>
      </c>
      <c r="M108">
        <f>M73*-174.34199999999998</f>
        <v>0</v>
      </c>
      <c r="N108">
        <f>E108+F108+G108+H108+I108+J108+K108+L108</f>
        <v>0</v>
      </c>
      <c r="O108">
        <f>E108+F108+G108+H108+I108+J108+K108+M108</f>
        <v>0</v>
      </c>
    </row>
    <row r="109" spans="3:15">
      <c r="C109">
        <f>31.0</f>
        <v>0</v>
      </c>
      <c r="D109">
        <f>11.0</f>
        <v>0</v>
      </c>
      <c r="E109">
        <f>E73*5.9815000000000005</f>
        <v>0</v>
      </c>
      <c r="F109">
        <f>F73*27.9865</f>
        <v>0</v>
      </c>
      <c r="G109">
        <f>G73*3.0705</f>
        <v>0</v>
      </c>
      <c r="H109">
        <f>H73*0.0</f>
        <v>0</v>
      </c>
      <c r="I109">
        <f>I73*0.409</f>
        <v>0</v>
      </c>
      <c r="J109">
        <f>J73*7.682</f>
        <v>0</v>
      </c>
      <c r="K109">
        <f>K73*-5.7615</f>
        <v>0</v>
      </c>
      <c r="L109">
        <f>L73*179.6215</f>
        <v>0</v>
      </c>
      <c r="M109">
        <f>M73*-168.6515</f>
        <v>0</v>
      </c>
      <c r="N109">
        <f>E109+F109+G109+H109+I109+J109+K109+L109</f>
        <v>0</v>
      </c>
      <c r="O109">
        <f>E109+F109+G109+H109+I109+J109+K109+M109</f>
        <v>0</v>
      </c>
    </row>
    <row r="110" spans="3:15">
      <c r="C110">
        <f>32.0</f>
        <v>0</v>
      </c>
      <c r="D110">
        <f>12.0</f>
        <v>0</v>
      </c>
      <c r="E110">
        <f>E73*6.5285</f>
        <v>0</v>
      </c>
      <c r="F110">
        <f>F73*51.6905</f>
        <v>0</v>
      </c>
      <c r="G110">
        <f>G73*7.0495</f>
        <v>0</v>
      </c>
      <c r="H110">
        <f>H73*0.0</f>
        <v>0</v>
      </c>
      <c r="I110">
        <f>I73*0.571</f>
        <v>0</v>
      </c>
      <c r="J110">
        <f>J73*0.7845</f>
        <v>0</v>
      </c>
      <c r="K110">
        <f>K73*-0.5885</f>
        <v>0</v>
      </c>
      <c r="L110">
        <f>L73*205.18099999999998</f>
        <v>0</v>
      </c>
      <c r="M110">
        <f>M73*-149.1695</f>
        <v>0</v>
      </c>
      <c r="N110">
        <f>E110+F110+G110+H110+I110+J110+K110+L110</f>
        <v>0</v>
      </c>
      <c r="O110">
        <f>E110+F110+G110+H110+I110+J110+K110+M110</f>
        <v>0</v>
      </c>
    </row>
    <row r="111" spans="3:15">
      <c r="C111">
        <f>33.0</f>
        <v>0</v>
      </c>
      <c r="D111">
        <f>13.0</f>
        <v>0</v>
      </c>
      <c r="E111">
        <f>E73*6.8595</f>
        <v>0</v>
      </c>
      <c r="F111">
        <f>F73*75.58500000000001</f>
        <v>0</v>
      </c>
      <c r="G111">
        <f>G73*11.0595</f>
        <v>0</v>
      </c>
      <c r="H111">
        <f>H73*0.0</f>
        <v>0</v>
      </c>
      <c r="I111">
        <f>I73*0.7730000000000001</f>
        <v>0</v>
      </c>
      <c r="J111">
        <f>J73*-7.201</f>
        <v>0</v>
      </c>
      <c r="K111">
        <f>K73*5.4005</f>
        <v>0</v>
      </c>
      <c r="L111">
        <f>L73*231.892</f>
        <v>0</v>
      </c>
      <c r="M111">
        <f>M73*-127.63850000000001</f>
        <v>0</v>
      </c>
      <c r="N111">
        <f>E111+F111+G111+H111+I111+J111+K111+L111</f>
        <v>0</v>
      </c>
      <c r="O111">
        <f>E111+F111+G111+H111+I111+J111+K111+M111</f>
        <v>0</v>
      </c>
    </row>
    <row r="112" spans="3:15">
      <c r="C112">
        <f>34.0</f>
        <v>0</v>
      </c>
      <c r="D112">
        <f>14.0</f>
        <v>0</v>
      </c>
      <c r="E112">
        <f>E73*7.376</f>
        <v>0</v>
      </c>
      <c r="F112">
        <f>F73*99.757</f>
        <v>0</v>
      </c>
      <c r="G112">
        <f>G73*15.0975</f>
        <v>0</v>
      </c>
      <c r="H112">
        <f>H73*0.0</f>
        <v>0</v>
      </c>
      <c r="I112">
        <f>I73*1.0165</f>
        <v>0</v>
      </c>
      <c r="J112">
        <f>J73*-13.204</f>
        <v>0</v>
      </c>
      <c r="K112">
        <f>K73*9.9025</f>
        <v>0</v>
      </c>
      <c r="L112">
        <f>L73*261.2935</f>
        <v>0</v>
      </c>
      <c r="M112">
        <f>M73*-100.523</f>
        <v>0</v>
      </c>
      <c r="N112">
        <f>E112+F112+G112+H112+I112+J112+K112+L112</f>
        <v>0</v>
      </c>
      <c r="O112">
        <f>E112+F112+G112+H112+I112+J112+K112+M112</f>
        <v>0</v>
      </c>
    </row>
    <row r="113" spans="3:15">
      <c r="C113">
        <f>35.0</f>
        <v>0</v>
      </c>
      <c r="D113">
        <f>15.0</f>
        <v>0</v>
      </c>
      <c r="E113">
        <f>E73*12.538499999999999</f>
        <v>0</v>
      </c>
      <c r="F113">
        <f>F73*131.942</f>
        <v>0</v>
      </c>
      <c r="G113">
        <f>G73*18.7655</f>
        <v>0</v>
      </c>
      <c r="H113">
        <f>H73*0.0</f>
        <v>0</v>
      </c>
      <c r="I113">
        <f>I73*1.6105</f>
        <v>0</v>
      </c>
      <c r="J113">
        <f>J73*7.219000000000001</f>
        <v>0</v>
      </c>
      <c r="K113">
        <f>K73*-5.414</f>
        <v>0</v>
      </c>
      <c r="L113">
        <f>L73*279.223</f>
        <v>0</v>
      </c>
      <c r="M113">
        <f>M73*-98.1445</f>
        <v>0</v>
      </c>
      <c r="N113">
        <f>E113+F113+G113+H113+I113+J113+K113+L113</f>
        <v>0</v>
      </c>
      <c r="O113">
        <f>E113+F113+G113+H113+I113+J113+K113+M113</f>
        <v>0</v>
      </c>
    </row>
    <row r="114" spans="3:15">
      <c r="C114">
        <f>35.91</f>
        <v>0</v>
      </c>
      <c r="D114">
        <f>15.91</f>
        <v>0</v>
      </c>
      <c r="E114">
        <f>E73*17.360999999999997</f>
        <v>0</v>
      </c>
      <c r="F114">
        <f>F73*159.262</f>
        <v>0</v>
      </c>
      <c r="G114">
        <f>G73*21.774</f>
        <v>0</v>
      </c>
      <c r="H114">
        <f>H73*0.0</f>
        <v>0</v>
      </c>
      <c r="I114">
        <f>I73*1.9714999999999998</f>
        <v>0</v>
      </c>
      <c r="J114">
        <f>J73*34.6935</f>
        <v>0</v>
      </c>
      <c r="K114">
        <f>K73*-26.02</f>
        <v>0</v>
      </c>
      <c r="L114">
        <f>L73*292.3515</f>
        <v>0</v>
      </c>
      <c r="M114">
        <f>M73*-95.39</f>
        <v>0</v>
      </c>
      <c r="N114">
        <f>E114+F114+G114+H114+I114+J114+K114+L114</f>
        <v>0</v>
      </c>
      <c r="O114">
        <f>E114+F114+G114+H114+I114+J114+K114+M114</f>
        <v>0</v>
      </c>
    </row>
    <row r="115" spans="3:15">
      <c r="C115">
        <f>36.82</f>
        <v>0</v>
      </c>
      <c r="D115">
        <f>16.82</f>
        <v>0</v>
      </c>
      <c r="E115">
        <f>E73*17.5545</f>
        <v>0</v>
      </c>
      <c r="F115">
        <f>F73*179.94400000000002</f>
        <v>0</v>
      </c>
      <c r="G115">
        <f>G73*25.259500000000003</f>
        <v>0</v>
      </c>
      <c r="H115">
        <f>H73*0.0</f>
        <v>0</v>
      </c>
      <c r="I115">
        <f>I73*1.4075000000000002</f>
        <v>0</v>
      </c>
      <c r="J115">
        <f>J73*39.025499999999994</f>
        <v>0</v>
      </c>
      <c r="K115">
        <f>K73*-29.269</f>
        <v>0</v>
      </c>
      <c r="L115">
        <f>L73*317.0385</f>
        <v>0</v>
      </c>
      <c r="M115">
        <f>M73*-72.30250000000001</f>
        <v>0</v>
      </c>
      <c r="N115">
        <f>E115+F115+G115+H115+I115+J115+K115+L115</f>
        <v>0</v>
      </c>
      <c r="O115">
        <f>E115+F115+G115+H115+I115+J115+K115+M115</f>
        <v>0</v>
      </c>
    </row>
    <row r="116" spans="3:15">
      <c r="C116">
        <f>37.73</f>
        <v>0</v>
      </c>
      <c r="D116">
        <f>17.73</f>
        <v>0</v>
      </c>
      <c r="E116">
        <f>E73*17.863999999999997</f>
        <v>0</v>
      </c>
      <c r="F116">
        <f>F73*205.606</f>
        <v>0</v>
      </c>
      <c r="G116">
        <f>G73*29.477</f>
        <v>0</v>
      </c>
      <c r="H116">
        <f>H73*0.0</f>
        <v>0</v>
      </c>
      <c r="I116">
        <f>I73*-0.09600000000000003</f>
        <v>0</v>
      </c>
      <c r="J116">
        <f>J73*38.874</f>
        <v>0</v>
      </c>
      <c r="K116">
        <f>K73*-29.155499999999996</f>
        <v>0</v>
      </c>
      <c r="L116">
        <f>L73*351.4525</f>
        <v>0</v>
      </c>
      <c r="M116">
        <f>M73*-45.5205</f>
        <v>0</v>
      </c>
      <c r="N116">
        <f>E116+F116+G116+H116+I116+J116+K116+L116</f>
        <v>0</v>
      </c>
      <c r="O116">
        <f>E116+F116+G116+H116+I116+J116+K116+M116</f>
        <v>0</v>
      </c>
    </row>
    <row r="117" spans="3:15">
      <c r="C117">
        <f>38.64</f>
        <v>0</v>
      </c>
      <c r="D117">
        <f>18.64</f>
        <v>0</v>
      </c>
      <c r="E117">
        <f>E73*18.215</f>
        <v>0</v>
      </c>
      <c r="F117">
        <f>F73*233.7725</f>
        <v>0</v>
      </c>
      <c r="G117">
        <f>G73*34.045</f>
        <v>0</v>
      </c>
      <c r="H117">
        <f>H73*0.0</f>
        <v>0</v>
      </c>
      <c r="I117">
        <f>I73*-2.979</f>
        <v>0</v>
      </c>
      <c r="J117">
        <f>J73*43.7155</f>
        <v>0</v>
      </c>
      <c r="K117">
        <f>K73*-32.786500000000004</f>
        <v>0</v>
      </c>
      <c r="L117">
        <f>L73*394.1985</f>
        <v>0</v>
      </c>
      <c r="M117">
        <f>M73*-26.207</f>
        <v>0</v>
      </c>
      <c r="N117">
        <f>E117+F117+G117+H117+I117+J117+K117+L117</f>
        <v>0</v>
      </c>
      <c r="O117">
        <f>E117+F117+G117+H117+I117+J117+K117+M117</f>
        <v>0</v>
      </c>
    </row>
    <row r="118" spans="3:15">
      <c r="C118">
        <f>39.55</f>
        <v>0</v>
      </c>
      <c r="D118">
        <f>19.55</f>
        <v>0</v>
      </c>
      <c r="E118">
        <f>E73*9.700000000000001</f>
        <v>0</v>
      </c>
      <c r="F118">
        <f>F73*120.13550000000001</f>
        <v>0</v>
      </c>
      <c r="G118">
        <f>G73*17.6005</f>
        <v>0</v>
      </c>
      <c r="H118">
        <f>H73*0.0</f>
        <v>0</v>
      </c>
      <c r="I118">
        <f>I73*-1.1115</f>
        <v>0</v>
      </c>
      <c r="J118">
        <f>J73*19.3435</f>
        <v>0</v>
      </c>
      <c r="K118">
        <f>K73*-14.507500000000002</f>
        <v>0</v>
      </c>
      <c r="L118">
        <f>L73*223.9935</f>
        <v>0</v>
      </c>
      <c r="M118">
        <f>M73*-116.089</f>
        <v>0</v>
      </c>
      <c r="N118">
        <f>E118+F118+G118+H118+I118+J118+K118+L118</f>
        <v>0</v>
      </c>
      <c r="O118">
        <f>E118+F118+G118+H118+I118+J118+K118+M118</f>
        <v>0</v>
      </c>
    </row>
    <row r="119" spans="3:15">
      <c r="C119">
        <f>40.0</f>
        <v>0</v>
      </c>
      <c r="D119">
        <f>20.0</f>
        <v>0</v>
      </c>
      <c r="E119">
        <f>E73*0.9009999999999999</f>
        <v>0</v>
      </c>
      <c r="F119">
        <f>F73*-9.967</f>
        <v>0</v>
      </c>
      <c r="G119">
        <f>G73*-2.423</f>
        <v>0</v>
      </c>
      <c r="H119">
        <f>H73*0.0</f>
        <v>0</v>
      </c>
      <c r="I119">
        <f>I73*4.045</f>
        <v>0</v>
      </c>
      <c r="J119">
        <f>J73*-17.235</f>
        <v>0</v>
      </c>
      <c r="K119">
        <f>K73*12.925999999999998</f>
        <v>0</v>
      </c>
      <c r="L119">
        <f>L73*14.979000000000001</f>
        <v>0</v>
      </c>
      <c r="M119">
        <f>M73*-218.794</f>
        <v>0</v>
      </c>
      <c r="N119">
        <f>E119+F119+G119+H119+I119+J119+K119+L119</f>
        <v>0</v>
      </c>
      <c r="O119">
        <f>E119+F119+G119+H119+I119+J119+K119+M119</f>
        <v>0</v>
      </c>
    </row>
    <row r="120" spans="3:15">
      <c r="C120">
        <f>40.0</f>
        <v>0</v>
      </c>
      <c r="D120">
        <f>0.0</f>
        <v>0</v>
      </c>
      <c r="E120">
        <f>E73*-0.38299999999999995</f>
        <v>0</v>
      </c>
      <c r="F120">
        <f>F73*9.54</f>
        <v>0</v>
      </c>
      <c r="G120">
        <f>G73*2.34</f>
        <v>0</v>
      </c>
      <c r="H120">
        <f>H73*0.0</f>
        <v>0</v>
      </c>
      <c r="I120">
        <f>I73*-11.607000000000001</f>
        <v>0</v>
      </c>
      <c r="J120">
        <f>J73*-0.7290000000000001</f>
        <v>0</v>
      </c>
      <c r="K120">
        <f>K73*0.547</f>
        <v>0</v>
      </c>
      <c r="L120">
        <f>L73*23.343000000000004</f>
        <v>0</v>
      </c>
      <c r="M120">
        <f>M73*-11.159</f>
        <v>0</v>
      </c>
      <c r="N120">
        <f>E120+F120+G120+H120+I120+J120+K120+L120</f>
        <v>0</v>
      </c>
      <c r="O120">
        <f>E120+F120+G120+H120+I120+J120+K120+M120</f>
        <v>0</v>
      </c>
    </row>
    <row r="121" spans="3:15">
      <c r="C121">
        <f>40.45</f>
        <v>0</v>
      </c>
      <c r="D121">
        <f>0.45</f>
        <v>0</v>
      </c>
      <c r="E121">
        <f>E73*-2.476</f>
        <v>0</v>
      </c>
      <c r="F121">
        <f>F73*-60.64</f>
        <v>0</v>
      </c>
      <c r="G121">
        <f>G73*-9.1985</f>
        <v>0</v>
      </c>
      <c r="H121">
        <f>H73*0.0</f>
        <v>0</v>
      </c>
      <c r="I121">
        <f>I73*-3.8850000000000007</f>
        <v>0</v>
      </c>
      <c r="J121">
        <f>J73*-44.893499999999996</f>
        <v>0</v>
      </c>
      <c r="K121">
        <f>K73*33.6705</f>
        <v>0</v>
      </c>
      <c r="L121">
        <f>L73*18.1</f>
        <v>0</v>
      </c>
      <c r="M121">
        <f>M73*-174.86999999999998</f>
        <v>0</v>
      </c>
      <c r="N121">
        <f>E121+F121+G121+H121+I121+J121+K121+L121</f>
        <v>0</v>
      </c>
      <c r="O121">
        <f>E121+F121+G121+H121+I121+J121+K121+M121</f>
        <v>0</v>
      </c>
    </row>
    <row r="122" spans="3:15">
      <c r="C122">
        <f>41.36</f>
        <v>0</v>
      </c>
      <c r="D122">
        <f>1.36</f>
        <v>0</v>
      </c>
      <c r="E122">
        <f>E73*-4.4055</f>
        <v>0</v>
      </c>
      <c r="F122">
        <f>F73*-114.8355</f>
        <v>0</v>
      </c>
      <c r="G122">
        <f>G73*-17.2225</f>
        <v>0</v>
      </c>
      <c r="H122">
        <f>H73*0.0</f>
        <v>0</v>
      </c>
      <c r="I122">
        <f>I73*-1.4609999999999999</f>
        <v>0</v>
      </c>
      <c r="J122">
        <f>J73*-72.7185</f>
        <v>0</v>
      </c>
      <c r="K122">
        <f>K73*54.5385</f>
        <v>0</v>
      </c>
      <c r="L122">
        <f>L73*25.725</f>
        <v>0</v>
      </c>
      <c r="M122">
        <f>M73*-294.62300000000005</f>
        <v>0</v>
      </c>
      <c r="N122">
        <f>E122+F122+G122+H122+I122+J122+K122+L122</f>
        <v>0</v>
      </c>
      <c r="O122">
        <f>E122+F122+G122+H122+I122+J122+K122+M122</f>
        <v>0</v>
      </c>
    </row>
    <row r="123" spans="3:15">
      <c r="C123">
        <f>42.27</f>
        <v>0</v>
      </c>
      <c r="D123">
        <f>2.27</f>
        <v>0</v>
      </c>
      <c r="E123">
        <f>E73*-4.3185</f>
        <v>0</v>
      </c>
      <c r="F123">
        <f>F73*-89.2305</f>
        <v>0</v>
      </c>
      <c r="G123">
        <f>G73*-13.028500000000001</f>
        <v>0</v>
      </c>
      <c r="H123">
        <f>H73*0.0</f>
        <v>0</v>
      </c>
      <c r="I123">
        <f>I73*-5.952</f>
        <v>0</v>
      </c>
      <c r="J123">
        <f>J73*-56.5715</f>
        <v>0</v>
      </c>
      <c r="K123">
        <f>K73*42.4285</f>
        <v>0</v>
      </c>
      <c r="L123">
        <f>L73*46.12950000000001</f>
        <v>0</v>
      </c>
      <c r="M123">
        <f>M73*-247.82</f>
        <v>0</v>
      </c>
      <c r="N123">
        <f>E123+F123+G123+H123+I123+J123+K123+L123</f>
        <v>0</v>
      </c>
      <c r="O123">
        <f>E123+F123+G123+H123+I123+J123+K123+M123</f>
        <v>0</v>
      </c>
    </row>
    <row r="124" spans="3:15">
      <c r="C124">
        <f>43.18</f>
        <v>0</v>
      </c>
      <c r="D124">
        <f>3.18</f>
        <v>0</v>
      </c>
      <c r="E124">
        <f>E73*-4.1865000000000006</f>
        <v>0</v>
      </c>
      <c r="F124">
        <f>F73*-65.37049999999999</f>
        <v>0</v>
      </c>
      <c r="G124">
        <f>G73*-9.078499999999998</f>
        <v>0</v>
      </c>
      <c r="H124">
        <f>H73*0.0</f>
        <v>0</v>
      </c>
      <c r="I124">
        <f>I73*-8.0705</f>
        <v>0</v>
      </c>
      <c r="J124">
        <f>J73*-49.685</f>
        <v>0</v>
      </c>
      <c r="K124">
        <f>K73*37.264</f>
        <v>0</v>
      </c>
      <c r="L124">
        <f>L73*74.6945</f>
        <v>0</v>
      </c>
      <c r="M124">
        <f>M73*-209.91299999999998</f>
        <v>0</v>
      </c>
      <c r="N124">
        <f>E124+F124+G124+H124+I124+J124+K124+L124</f>
        <v>0</v>
      </c>
      <c r="O124">
        <f>E124+F124+G124+H124+I124+J124+K124+M124</f>
        <v>0</v>
      </c>
    </row>
    <row r="125" spans="3:15">
      <c r="C125">
        <f>44.09</f>
        <v>0</v>
      </c>
      <c r="D125">
        <f>4.09</f>
        <v>0</v>
      </c>
      <c r="E125">
        <f>E73*-3.743</f>
        <v>0</v>
      </c>
      <c r="F125">
        <f>F73*-41.206</f>
        <v>0</v>
      </c>
      <c r="G125">
        <f>G73*-5.09</f>
        <v>0</v>
      </c>
      <c r="H125">
        <f>H73*0.0</f>
        <v>0</v>
      </c>
      <c r="I125">
        <f>I73*-7.529999999999999</f>
        <v>0</v>
      </c>
      <c r="J125">
        <f>J73*-50.447</f>
        <v>0</v>
      </c>
      <c r="K125">
        <f>K73*37.835</f>
        <v>0</v>
      </c>
      <c r="L125">
        <f>L73*107.411</f>
        <v>0</v>
      </c>
      <c r="M125">
        <f>M73*-174.31650000000002</f>
        <v>0</v>
      </c>
      <c r="N125">
        <f>E125+F125+G125+H125+I125+J125+K125+L125</f>
        <v>0</v>
      </c>
      <c r="O125">
        <f>E125+F125+G125+H125+I125+J125+K125+M125</f>
        <v>0</v>
      </c>
    </row>
    <row r="126" spans="3:15">
      <c r="C126">
        <f>45.0</f>
        <v>0</v>
      </c>
      <c r="D126">
        <f>5.0</f>
        <v>0</v>
      </c>
      <c r="E126">
        <f>E73*-0.0030000000000001137</f>
        <v>0</v>
      </c>
      <c r="F126">
        <f>F73*-8.385</f>
        <v>0</v>
      </c>
      <c r="G126">
        <f>G73*-1.2054999999999998</f>
        <v>0</v>
      </c>
      <c r="H126">
        <f>H73*0.0</f>
        <v>0</v>
      </c>
      <c r="I126">
        <f>I73*1.8235000000000001</f>
        <v>0</v>
      </c>
      <c r="J126">
        <f>J73*-6.3415000000000035</f>
        <v>0</v>
      </c>
      <c r="K126">
        <f>K73*4.7559999999999985</f>
        <v>0</v>
      </c>
      <c r="L126">
        <f>L73*132.721</f>
        <v>0</v>
      </c>
      <c r="M126">
        <f>M73*-151.082</f>
        <v>0</v>
      </c>
      <c r="N126">
        <f>E126+F126+G126+H126+I126+J126+K126+L126</f>
        <v>0</v>
      </c>
      <c r="O126">
        <f>E126+F126+G126+H126+I126+J126+K126+M126</f>
        <v>0</v>
      </c>
    </row>
    <row r="127" spans="3:15">
      <c r="C127">
        <f>46.0</f>
        <v>0</v>
      </c>
      <c r="D127">
        <f>6.0</f>
        <v>0</v>
      </c>
      <c r="E127">
        <f>E73*3.7175000000000002</f>
        <v>0</v>
      </c>
      <c r="F127">
        <f>F73*26.3885</f>
        <v>0</v>
      </c>
      <c r="G127">
        <f>G73*2.9205</f>
        <v>0</v>
      </c>
      <c r="H127">
        <f>H73*0.0</f>
        <v>0</v>
      </c>
      <c r="I127">
        <f>I73*11.7325</f>
        <v>0</v>
      </c>
      <c r="J127">
        <f>J73*37.66</f>
        <v>0</v>
      </c>
      <c r="K127">
        <f>K73*-28.2455</f>
        <v>0</v>
      </c>
      <c r="L127">
        <f>L73*157.22949999999997</f>
        <v>0</v>
      </c>
      <c r="M127">
        <f>M73*-126.3525</f>
        <v>0</v>
      </c>
      <c r="N127">
        <f>E127+F127+G127+H127+I127+J127+K127+L127</f>
        <v>0</v>
      </c>
      <c r="O127">
        <f>E127+F127+G127+H127+I127+J127+K127+M127</f>
        <v>0</v>
      </c>
    </row>
    <row r="128" spans="3:15">
      <c r="C128">
        <f>47.0</f>
        <v>0</v>
      </c>
      <c r="D128">
        <f>7.0</f>
        <v>0</v>
      </c>
      <c r="E128">
        <f>E73*4.0575</f>
        <v>0</v>
      </c>
      <c r="F128">
        <f>F73*51.923</f>
        <v>0</v>
      </c>
      <c r="G128">
        <f>G73*7.1725</f>
        <v>0</v>
      </c>
      <c r="H128">
        <f>H73*0.0</f>
        <v>0</v>
      </c>
      <c r="I128">
        <f>I73*13.786000000000001</f>
        <v>0</v>
      </c>
      <c r="J128">
        <f>J73*37.0205</f>
        <v>0</v>
      </c>
      <c r="K128">
        <f>K73*-27.765500000000003</f>
        <v>0</v>
      </c>
      <c r="L128">
        <f>L73*193.42000000000002</f>
        <v>0</v>
      </c>
      <c r="M128">
        <f>M73*-90.57050000000001</f>
        <v>0</v>
      </c>
      <c r="N128">
        <f>E128+F128+G128+H128+I128+J128+K128+L128</f>
        <v>0</v>
      </c>
      <c r="O128">
        <f>E128+F128+G128+H128+I128+J128+K128+M128</f>
        <v>0</v>
      </c>
    </row>
    <row r="129" spans="3:15">
      <c r="C129">
        <f>48.0</f>
        <v>0</v>
      </c>
      <c r="D129">
        <f>8.0</f>
        <v>0</v>
      </c>
      <c r="E129">
        <f>E73*3.9310000000000005</f>
        <v>0</v>
      </c>
      <c r="F129">
        <f>F73*75.52850000000001</f>
        <v>0</v>
      </c>
      <c r="G129">
        <f>G73*11.155999999999999</f>
        <v>0</v>
      </c>
      <c r="H129">
        <f>H73*0.0</f>
        <v>0</v>
      </c>
      <c r="I129">
        <f>I73*14.5095</f>
        <v>0</v>
      </c>
      <c r="J129">
        <f>J73*48.3215</f>
        <v>0</v>
      </c>
      <c r="K129">
        <f>K73*-36.2415</f>
        <v>0</v>
      </c>
      <c r="L129">
        <f>L73*228.58499999999998</f>
        <v>0</v>
      </c>
      <c r="M129">
        <f>M73*-56.748000000000005</f>
        <v>0</v>
      </c>
      <c r="N129">
        <f>E129+F129+G129+H129+I129+J129+K129+L129</f>
        <v>0</v>
      </c>
      <c r="O129">
        <f>E129+F129+G129+H129+I129+J129+K129+M129</f>
        <v>0</v>
      </c>
    </row>
    <row r="130" spans="3:15">
      <c r="C130">
        <f>49.0</f>
        <v>0</v>
      </c>
      <c r="D130">
        <f>9.0</f>
        <v>0</v>
      </c>
      <c r="E130">
        <f>E73*3.5925000000000002</f>
        <v>0</v>
      </c>
      <c r="F130">
        <f>F73*100.53399999999999</f>
        <v>0</v>
      </c>
      <c r="G130">
        <f>G73*15.3655</f>
        <v>0</v>
      </c>
      <c r="H130">
        <f>H73*0.0</f>
        <v>0</v>
      </c>
      <c r="I130">
        <f>I73*15.198</f>
        <v>0</v>
      </c>
      <c r="J130">
        <f>J73*69.373</f>
        <v>0</v>
      </c>
      <c r="K130">
        <f>K73*-52.03</f>
        <v>0</v>
      </c>
      <c r="L130">
        <f>L73*274.58349999999996</f>
        <v>0</v>
      </c>
      <c r="M130">
        <f>M73*-29.656000000000002</f>
        <v>0</v>
      </c>
      <c r="N130">
        <f>E130+F130+G130+H130+I130+J130+K130+L130</f>
        <v>0</v>
      </c>
      <c r="O130">
        <f>E130+F130+G130+H130+I130+J130+K130+M130</f>
        <v>0</v>
      </c>
    </row>
    <row r="138" spans="3:15"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11</v>
      </c>
      <c r="O138" t="s">
        <v>12</v>
      </c>
    </row>
    <row r="139" spans="3:15">
      <c r="C139">
        <f>0.0</f>
        <v>0</v>
      </c>
      <c r="D139">
        <f>0.0</f>
        <v>0</v>
      </c>
      <c r="E139">
        <f>E137*0.611</f>
        <v>0</v>
      </c>
      <c r="F139">
        <f>F137*1.3872</f>
        <v>0</v>
      </c>
      <c r="G139">
        <f>G137*0.1961</f>
        <v>0</v>
      </c>
      <c r="H139">
        <f>H137*0.0</f>
        <v>0</v>
      </c>
      <c r="I139">
        <f>I137*0.0007218</f>
        <v>0</v>
      </c>
      <c r="J139">
        <f>J137*-77.8815</f>
        <v>0</v>
      </c>
      <c r="K139">
        <f>K137*58.4112</f>
        <v>0</v>
      </c>
      <c r="L139">
        <f>L137*8.8416</f>
        <v>0</v>
      </c>
      <c r="M139">
        <f>M137*-10.0861</f>
        <v>0</v>
      </c>
      <c r="N139">
        <f>E139+F139+G139+H139+I139+J139+K139+L139</f>
        <v>0</v>
      </c>
      <c r="O139">
        <f>E139+F139+G139+H139+I139+J139+K139+M139</f>
        <v>0</v>
      </c>
    </row>
    <row r="140" spans="3:15">
      <c r="C140">
        <f>1.0</f>
        <v>0</v>
      </c>
      <c r="D140">
        <f>1.0</f>
        <v>0</v>
      </c>
      <c r="E140">
        <f>E137*-0.36929999999999996</f>
        <v>0</v>
      </c>
      <c r="F140">
        <f>F137*0.45694999999999997</f>
        <v>0</v>
      </c>
      <c r="G140">
        <f>G137*0.0010000000000000009</f>
        <v>0</v>
      </c>
      <c r="H140">
        <f>H137*0.0</f>
        <v>0</v>
      </c>
      <c r="I140">
        <f>I137*0.01315</f>
        <v>0</v>
      </c>
      <c r="J140">
        <f>J137*98.68095</f>
        <v>0</v>
      </c>
      <c r="K140">
        <f>K137*-74.01070000000001</f>
        <v>0</v>
      </c>
      <c r="L140">
        <f>L137*44.4229</f>
        <v>0</v>
      </c>
      <c r="M140">
        <f>M137*-42.0631</f>
        <v>0</v>
      </c>
      <c r="N140">
        <f>E140+F140+G140+H140+I140+J140+K140+L140</f>
        <v>0</v>
      </c>
      <c r="O140">
        <f>E140+F140+G140+H140+I140+J140+K140+M140</f>
        <v>0</v>
      </c>
    </row>
    <row r="141" spans="3:15">
      <c r="C141">
        <f>2.0</f>
        <v>0</v>
      </c>
      <c r="D141">
        <f>2.0</f>
        <v>0</v>
      </c>
      <c r="E141">
        <f>E137*1.807</f>
        <v>0</v>
      </c>
      <c r="F141">
        <f>F137*4.135549999999999</f>
        <v>0</v>
      </c>
      <c r="G141">
        <f>G137*0.4066000000000001</f>
        <v>0</v>
      </c>
      <c r="H141">
        <f>H137*0.0</f>
        <v>0</v>
      </c>
      <c r="I141">
        <f>I137*0.010106755</f>
        <v>0</v>
      </c>
      <c r="J141">
        <f>J137*44.7601</f>
        <v>0</v>
      </c>
      <c r="K141">
        <f>K137*-33.570100000000004</f>
        <v>0</v>
      </c>
      <c r="L141">
        <f>L137*55.94175</f>
        <v>0</v>
      </c>
      <c r="M141">
        <f>M137*-56.23735</f>
        <v>0</v>
      </c>
      <c r="N141">
        <f>E141+F141+G141+H141+I141+J141+K141+L141</f>
        <v>0</v>
      </c>
      <c r="O141">
        <f>E141+F141+G141+H141+I141+J141+K141+M141</f>
        <v>0</v>
      </c>
    </row>
    <row r="142" spans="3:15">
      <c r="C142">
        <f>3.0</f>
        <v>0</v>
      </c>
      <c r="D142">
        <f>3.0</f>
        <v>0</v>
      </c>
      <c r="E142">
        <f>E137*3.8579</f>
        <v>0</v>
      </c>
      <c r="F142">
        <f>F137*5.5732</f>
        <v>0</v>
      </c>
      <c r="G142">
        <f>G137*0.51875</f>
        <v>0</v>
      </c>
      <c r="H142">
        <f>H137*0.0</f>
        <v>0</v>
      </c>
      <c r="I142">
        <f>I137*0.0068</f>
        <v>0</v>
      </c>
      <c r="J142">
        <f>J137*26.1876</f>
        <v>0</v>
      </c>
      <c r="K142">
        <f>K137*-19.640749999999997</f>
        <v>0</v>
      </c>
      <c r="L142">
        <f>L137*80.74355</f>
        <v>0</v>
      </c>
      <c r="M142">
        <f>M137*-79.80495</f>
        <v>0</v>
      </c>
      <c r="N142">
        <f>E142+F142+G142+H142+I142+J142+K142+L142</f>
        <v>0</v>
      </c>
      <c r="O142">
        <f>E142+F142+G142+H142+I142+J142+K142+M142</f>
        <v>0</v>
      </c>
    </row>
    <row r="143" spans="3:15">
      <c r="C143">
        <f>4.0</f>
        <v>0</v>
      </c>
      <c r="D143">
        <f>4.0</f>
        <v>0</v>
      </c>
      <c r="E143">
        <f>E137*5.4003</f>
        <v>0</v>
      </c>
      <c r="F143">
        <f>F137*5.6584</f>
        <v>0</v>
      </c>
      <c r="G143">
        <f>G137*0.46205</f>
        <v>0</v>
      </c>
      <c r="H143">
        <f>H137*0.0</f>
        <v>0</v>
      </c>
      <c r="I143">
        <f>I137*0.0019000000000000006</f>
        <v>0</v>
      </c>
      <c r="J143">
        <f>J137*27.94175</f>
        <v>0</v>
      </c>
      <c r="K143">
        <f>K137*-20.95635</f>
        <v>0</v>
      </c>
      <c r="L143">
        <f>L137*105.74895000000001</f>
        <v>0</v>
      </c>
      <c r="M143">
        <f>M137*-103.70175</f>
        <v>0</v>
      </c>
      <c r="N143">
        <f>E143+F143+G143+H143+I143+J143+K143+L143</f>
        <v>0</v>
      </c>
      <c r="O143">
        <f>E143+F143+G143+H143+I143+J143+K143+M143</f>
        <v>0</v>
      </c>
    </row>
    <row r="144" spans="3:15">
      <c r="C144">
        <f>5.0</f>
        <v>0</v>
      </c>
      <c r="D144">
        <f>5.0</f>
        <v>0</v>
      </c>
      <c r="E144">
        <f>E137*1.31215</f>
        <v>0</v>
      </c>
      <c r="F144">
        <f>F137*10.529449999999999</f>
        <v>0</v>
      </c>
      <c r="G144">
        <f>G137*1.5033500000000002</f>
        <v>0</v>
      </c>
      <c r="H144">
        <f>H137*0.0</f>
        <v>0</v>
      </c>
      <c r="I144">
        <f>I137*0.000168835</f>
        <v>0</v>
      </c>
      <c r="J144">
        <f>J137*-31.171750000000003</f>
        <v>0</v>
      </c>
      <c r="K144">
        <f>K137*23.37885</f>
        <v>0</v>
      </c>
      <c r="L144">
        <f>L137*115.16935000000001</f>
        <v>0</v>
      </c>
      <c r="M144">
        <f>M137*-101.25995</f>
        <v>0</v>
      </c>
      <c r="N144">
        <f>E144+F144+G144+H144+I144+J144+K144+L144</f>
        <v>0</v>
      </c>
      <c r="O144">
        <f>E144+F144+G144+H144+I144+J144+K144+M144</f>
        <v>0</v>
      </c>
    </row>
    <row r="145" spans="3:15">
      <c r="C145">
        <f>6.0</f>
        <v>0</v>
      </c>
      <c r="D145">
        <f>6.0</f>
        <v>0</v>
      </c>
      <c r="E145">
        <f>E137*4.9186499999999995</f>
        <v>0</v>
      </c>
      <c r="F145">
        <f>F137*4.7475</f>
        <v>0</v>
      </c>
      <c r="G145">
        <f>G137*0.37070000000000003</f>
        <v>0</v>
      </c>
      <c r="H145">
        <f>H137*0.0</f>
        <v>0</v>
      </c>
      <c r="I145">
        <f>I137*0.0003500000000000005</f>
        <v>0</v>
      </c>
      <c r="J145">
        <f>J137*20.1024</f>
        <v>0</v>
      </c>
      <c r="K145">
        <f>K137*-15.076799999999999</f>
        <v>0</v>
      </c>
      <c r="L145">
        <f>L137*137.49275</f>
        <v>0</v>
      </c>
      <c r="M145">
        <f>M137*-134.36405</f>
        <v>0</v>
      </c>
      <c r="N145">
        <f>E145+F145+G145+H145+I145+J145+K145+L145</f>
        <v>0</v>
      </c>
      <c r="O145">
        <f>E145+F145+G145+H145+I145+J145+K145+M145</f>
        <v>0</v>
      </c>
    </row>
    <row r="146" spans="3:15">
      <c r="C146">
        <f>7.0</f>
        <v>0</v>
      </c>
      <c r="D146">
        <f>7.0</f>
        <v>0</v>
      </c>
      <c r="E146">
        <f>E137*3.84015</f>
        <v>0</v>
      </c>
      <c r="F146">
        <f>F137*4.2174000000000005</f>
        <v>0</v>
      </c>
      <c r="G146">
        <f>G137*0.3519</f>
        <v>0</v>
      </c>
      <c r="H146">
        <f>H137*0.0</f>
        <v>0</v>
      </c>
      <c r="I146">
        <f>I137*-0.0028000000000000004</f>
        <v>0</v>
      </c>
      <c r="J146">
        <f>J137*5.4548000000000005</f>
        <v>0</v>
      </c>
      <c r="K146">
        <f>K137*-4.0911</f>
        <v>0</v>
      </c>
      <c r="L146">
        <f>L137*152.98855</f>
        <v>0</v>
      </c>
      <c r="M146">
        <f>M137*-149.50505</f>
        <v>0</v>
      </c>
      <c r="N146">
        <f>E146+F146+G146+H146+I146+J146+K146+L146</f>
        <v>0</v>
      </c>
      <c r="O146">
        <f>E146+F146+G146+H146+I146+J146+K146+M146</f>
        <v>0</v>
      </c>
    </row>
    <row r="147" spans="3:15">
      <c r="C147">
        <f>8.0</f>
        <v>0</v>
      </c>
      <c r="D147">
        <f>8.0</f>
        <v>0</v>
      </c>
      <c r="E147">
        <f>E137*3.3761</f>
        <v>0</v>
      </c>
      <c r="F147">
        <f>F137*3.8343499999999997</f>
        <v>0</v>
      </c>
      <c r="G147">
        <f>G137*0.32299999999999995</f>
        <v>0</v>
      </c>
      <c r="H147">
        <f>H137*0.0</f>
        <v>0</v>
      </c>
      <c r="I147">
        <f>I137*-0.0037499999999999994</f>
        <v>0</v>
      </c>
      <c r="J147">
        <f>J137*4.9329</f>
        <v>0</v>
      </c>
      <c r="K147">
        <f>K137*-3.69965</f>
        <v>0</v>
      </c>
      <c r="L147">
        <f>L137*160.44155</f>
        <v>0</v>
      </c>
      <c r="M147">
        <f>M137*-157.16334999999998</f>
        <v>0</v>
      </c>
      <c r="N147">
        <f>E147+F147+G147+H147+I147+J147+K147+L147</f>
        <v>0</v>
      </c>
      <c r="O147">
        <f>E147+F147+G147+H147+I147+J147+K147+M147</f>
        <v>0</v>
      </c>
    </row>
    <row r="148" spans="3:15">
      <c r="C148">
        <f>9.0</f>
        <v>0</v>
      </c>
      <c r="D148">
        <f>9.0</f>
        <v>0</v>
      </c>
      <c r="E148">
        <f>E137*3.6151500000000003</f>
        <v>0</v>
      </c>
      <c r="F148">
        <f>F137*3.79485</f>
        <v>0</v>
      </c>
      <c r="G148">
        <f>G137*0.30825</f>
        <v>0</v>
      </c>
      <c r="H148">
        <f>H137*0.0</f>
        <v>0</v>
      </c>
      <c r="I148">
        <f>I137*-0.00685</f>
        <v>0</v>
      </c>
      <c r="J148">
        <f>J137*18.08505</f>
        <v>0</v>
      </c>
      <c r="K148">
        <f>K137*-13.563799999999999</f>
        <v>0</v>
      </c>
      <c r="L148">
        <f>L137*162.53975</f>
        <v>0</v>
      </c>
      <c r="M148">
        <f>M137*-159.2406</f>
        <v>0</v>
      </c>
      <c r="N148">
        <f>E148+F148+G148+H148+I148+J148+K148+L148</f>
        <v>0</v>
      </c>
      <c r="O148">
        <f>E148+F148+G148+H148+I148+J148+K148+M148</f>
        <v>0</v>
      </c>
    </row>
    <row r="149" spans="3:15">
      <c r="C149">
        <f>10.0</f>
        <v>0</v>
      </c>
      <c r="D149">
        <f>10.0</f>
        <v>0</v>
      </c>
      <c r="E149">
        <f>E137*-3.4709000000000003</f>
        <v>0</v>
      </c>
      <c r="F149">
        <f>F137*10.96125</f>
        <v>0</v>
      </c>
      <c r="G149">
        <f>G137*1.88225</f>
        <v>0</v>
      </c>
      <c r="H149">
        <f>H137*0.0</f>
        <v>0</v>
      </c>
      <c r="I149">
        <f>I137*-0.00605</f>
        <v>0</v>
      </c>
      <c r="J149">
        <f>J137*5.38415</f>
        <v>0</v>
      </c>
      <c r="K149">
        <f>K137*-4.0381</f>
        <v>0</v>
      </c>
      <c r="L149">
        <f>L137*157.32760000000002</f>
        <v>0</v>
      </c>
      <c r="M149">
        <f>M137*-141.39885</f>
        <v>0</v>
      </c>
      <c r="N149">
        <f>E149+F149+G149+H149+I149+J149+K149+L149</f>
        <v>0</v>
      </c>
      <c r="O149">
        <f>E149+F149+G149+H149+I149+J149+K149+M149</f>
        <v>0</v>
      </c>
    </row>
    <row r="150" spans="3:15">
      <c r="C150">
        <f>11.0</f>
        <v>0</v>
      </c>
      <c r="D150">
        <f>11.0</f>
        <v>0</v>
      </c>
      <c r="E150">
        <f>E137*3.2465</f>
        <v>0</v>
      </c>
      <c r="F150">
        <f>F137*4.1649</f>
        <v>0</v>
      </c>
      <c r="G150">
        <f>G137*0.38605</f>
        <v>0</v>
      </c>
      <c r="H150">
        <f>H137*0.0</f>
        <v>0</v>
      </c>
      <c r="I150">
        <f>I137*-0.004050000000000001</f>
        <v>0</v>
      </c>
      <c r="J150">
        <f>J137*22.9025</f>
        <v>0</v>
      </c>
      <c r="K150">
        <f>K137*-17.1769</f>
        <v>0</v>
      </c>
      <c r="L150">
        <f>L137*161.97109999999998</f>
        <v>0</v>
      </c>
      <c r="M150">
        <f>M137*-158.58065</f>
        <v>0</v>
      </c>
      <c r="N150">
        <f>E150+F150+G150+H150+I150+J150+K150+L150</f>
        <v>0</v>
      </c>
      <c r="O150">
        <f>E150+F150+G150+H150+I150+J150+K150+M150</f>
        <v>0</v>
      </c>
    </row>
    <row r="151" spans="3:15">
      <c r="C151">
        <f>12.0</f>
        <v>0</v>
      </c>
      <c r="D151">
        <f>12.0</f>
        <v>0</v>
      </c>
      <c r="E151">
        <f>E137*2.71645</f>
        <v>0</v>
      </c>
      <c r="F151">
        <f>F137*4.8286999999999995</f>
        <v>0</v>
      </c>
      <c r="G151">
        <f>G137*0.5085999999999999</f>
        <v>0</v>
      </c>
      <c r="H151">
        <f>H137*0.0</f>
        <v>0</v>
      </c>
      <c r="I151">
        <f>I137*-0.006450000000000001</f>
        <v>0</v>
      </c>
      <c r="J151">
        <f>J137*13.4058</f>
        <v>0</v>
      </c>
      <c r="K151">
        <f>K137*-10.0544</f>
        <v>0</v>
      </c>
      <c r="L151">
        <f>L137*160.338</f>
        <v>0</v>
      </c>
      <c r="M151">
        <f>M137*-155.4757</f>
        <v>0</v>
      </c>
      <c r="N151">
        <f>E151+F151+G151+H151+I151+J151+K151+L151</f>
        <v>0</v>
      </c>
      <c r="O151">
        <f>E151+F151+G151+H151+I151+J151+K151+M151</f>
        <v>0</v>
      </c>
    </row>
    <row r="152" spans="3:15">
      <c r="C152">
        <f>13.0</f>
        <v>0</v>
      </c>
      <c r="D152">
        <f>13.0</f>
        <v>0</v>
      </c>
      <c r="E152">
        <f>E137*2.9408000000000003</f>
        <v>0</v>
      </c>
      <c r="F152">
        <f>F137*6.004300000000001</f>
        <v>0</v>
      </c>
      <c r="G152">
        <f>G137*0.665</f>
        <v>0</v>
      </c>
      <c r="H152">
        <f>H137*0.0</f>
        <v>0</v>
      </c>
      <c r="I152">
        <f>I137*-0.006599999999999999</f>
        <v>0</v>
      </c>
      <c r="J152">
        <f>J137*16.345299999999998</f>
        <v>0</v>
      </c>
      <c r="K152">
        <f>K137*-12.259</f>
        <v>0</v>
      </c>
      <c r="L152">
        <f>L137*153.37175000000002</f>
        <v>0</v>
      </c>
      <c r="M152">
        <f>M137*-147.06625</f>
        <v>0</v>
      </c>
      <c r="N152">
        <f>E152+F152+G152+H152+I152+J152+K152+L152</f>
        <v>0</v>
      </c>
      <c r="O152">
        <f>E152+F152+G152+H152+I152+J152+K152+M152</f>
        <v>0</v>
      </c>
    </row>
    <row r="153" spans="3:15">
      <c r="C153">
        <f>14.0</f>
        <v>0</v>
      </c>
      <c r="D153">
        <f>14.0</f>
        <v>0</v>
      </c>
      <c r="E153">
        <f>E137*3.83115</f>
        <v>0</v>
      </c>
      <c r="F153">
        <f>F137*7.5425</f>
        <v>0</v>
      </c>
      <c r="G153">
        <f>G137*0.83805</f>
        <v>0</v>
      </c>
      <c r="H153">
        <f>H137*0.0</f>
        <v>0</v>
      </c>
      <c r="I153">
        <f>I137*-0.009250000000000001</f>
        <v>0</v>
      </c>
      <c r="J153">
        <f>J137*31.632199999999997</f>
        <v>0</v>
      </c>
      <c r="K153">
        <f>K137*-23.7241</f>
        <v>0</v>
      </c>
      <c r="L153">
        <f>L137*138.406</f>
        <v>0</v>
      </c>
      <c r="M153">
        <f>M137*-130.9029</f>
        <v>0</v>
      </c>
      <c r="N153">
        <f>E153+F153+G153+H153+I153+J153+K153+L153</f>
        <v>0</v>
      </c>
      <c r="O153">
        <f>E153+F153+G153+H153+I153+J153+K153+M153</f>
        <v>0</v>
      </c>
    </row>
    <row r="154" spans="3:15">
      <c r="C154">
        <f>15.0</f>
        <v>0</v>
      </c>
      <c r="D154">
        <f>15.0</f>
        <v>0</v>
      </c>
      <c r="E154">
        <f>E137*-2.068</f>
        <v>0</v>
      </c>
      <c r="F154">
        <f>F137*7.186349999999999</f>
        <v>0</v>
      </c>
      <c r="G154">
        <f>G137*1.27225</f>
        <v>0</v>
      </c>
      <c r="H154">
        <f>H137*0.0</f>
        <v>0</v>
      </c>
      <c r="I154">
        <f>I137*-0.0002499999999999998</f>
        <v>0</v>
      </c>
      <c r="J154">
        <f>J137*5.3997</f>
        <v>0</v>
      </c>
      <c r="K154">
        <f>K137*-4.04975</f>
        <v>0</v>
      </c>
      <c r="L154">
        <f>L137*115.57155</f>
        <v>0</v>
      </c>
      <c r="M154">
        <f>M137*-103.1617</f>
        <v>0</v>
      </c>
      <c r="N154">
        <f>E154+F154+G154+H154+I154+J154+K154+L154</f>
        <v>0</v>
      </c>
      <c r="O154">
        <f>E154+F154+G154+H154+I154+J154+K154+M154</f>
        <v>0</v>
      </c>
    </row>
    <row r="155" spans="3:15">
      <c r="C155">
        <f>15.91</f>
        <v>0</v>
      </c>
      <c r="D155">
        <f>15.91</f>
        <v>0</v>
      </c>
      <c r="E155">
        <f>E137*4.21845</f>
        <v>0</v>
      </c>
      <c r="F155">
        <f>F137*9.8281</f>
        <v>0</v>
      </c>
      <c r="G155">
        <f>G137*1.1342</f>
        <v>0</v>
      </c>
      <c r="H155">
        <f>H137*0.0</f>
        <v>0</v>
      </c>
      <c r="I155">
        <f>I137*-0.00695</f>
        <v>0</v>
      </c>
      <c r="J155">
        <f>J137*35.5124</f>
        <v>0</v>
      </c>
      <c r="K155">
        <f>K137*-26.6343</f>
        <v>0</v>
      </c>
      <c r="L155">
        <f>L137*113.3902</f>
        <v>0</v>
      </c>
      <c r="M155">
        <f>M137*-104.33564999999999</f>
        <v>0</v>
      </c>
      <c r="N155">
        <f>E155+F155+G155+H155+I155+J155+K155+L155</f>
        <v>0</v>
      </c>
      <c r="O155">
        <f>E155+F155+G155+H155+I155+J155+K155+M155</f>
        <v>0</v>
      </c>
    </row>
    <row r="156" spans="3:15">
      <c r="C156">
        <f>16.82</f>
        <v>0</v>
      </c>
      <c r="D156">
        <f>16.82</f>
        <v>0</v>
      </c>
      <c r="E156">
        <f>E137*3.52645</f>
        <v>0</v>
      </c>
      <c r="F156">
        <f>F137*11.80925</f>
        <v>0</v>
      </c>
      <c r="G156">
        <f>G137*1.4304999999999999</f>
        <v>0</v>
      </c>
      <c r="H156">
        <f>H137*0.0</f>
        <v>0</v>
      </c>
      <c r="I156">
        <f>I137*-0.01455</f>
        <v>0</v>
      </c>
      <c r="J156">
        <f>J137*26.32055</f>
        <v>0</v>
      </c>
      <c r="K156">
        <f>K137*-19.7404</f>
        <v>0</v>
      </c>
      <c r="L156">
        <f>L137*96.51050000000001</f>
        <v>0</v>
      </c>
      <c r="M156">
        <f>M137*-86.9668</f>
        <v>0</v>
      </c>
      <c r="N156">
        <f>E156+F156+G156+H156+I156+J156+K156+L156</f>
        <v>0</v>
      </c>
      <c r="O156">
        <f>E156+F156+G156+H156+I156+J156+K156+M156</f>
        <v>0</v>
      </c>
    </row>
    <row r="157" spans="3:15">
      <c r="C157">
        <f>17.73</f>
        <v>0</v>
      </c>
      <c r="D157">
        <f>17.73</f>
        <v>0</v>
      </c>
      <c r="E157">
        <f>E137*2.7081</f>
        <v>0</v>
      </c>
      <c r="F157">
        <f>F137*13.22915</f>
        <v>0</v>
      </c>
      <c r="G157">
        <f>G137*1.65475</f>
        <v>0</v>
      </c>
      <c r="H157">
        <f>H137*0.0</f>
        <v>0</v>
      </c>
      <c r="I157">
        <f>I137*-0.0209</f>
        <v>0</v>
      </c>
      <c r="J157">
        <f>J137*25.8022</f>
        <v>0</v>
      </c>
      <c r="K157">
        <f>K137*-19.35165</f>
        <v>0</v>
      </c>
      <c r="L157">
        <f>L137*76.85395</f>
        <v>0</v>
      </c>
      <c r="M157">
        <f>M137*-66.20685</f>
        <v>0</v>
      </c>
      <c r="N157">
        <f>E157+F157+G157+H157+I157+J157+K157+L157</f>
        <v>0</v>
      </c>
      <c r="O157">
        <f>E157+F157+G157+H157+I157+J157+K157+M157</f>
        <v>0</v>
      </c>
    </row>
    <row r="158" spans="3:15">
      <c r="C158">
        <f>18.64</f>
        <v>0</v>
      </c>
      <c r="D158">
        <f>18.64</f>
        <v>0</v>
      </c>
      <c r="E158">
        <f>E137*1.82765</f>
        <v>0</v>
      </c>
      <c r="F158">
        <f>F137*13.06625</f>
        <v>0</v>
      </c>
      <c r="G158">
        <f>G137*1.6748500000000002</f>
        <v>0</v>
      </c>
      <c r="H158">
        <f>H137*0.0</f>
        <v>0</v>
      </c>
      <c r="I158">
        <f>I137*-0.02905</f>
        <v>0</v>
      </c>
      <c r="J158">
        <f>J137*31.457800000000002</f>
        <v>0</v>
      </c>
      <c r="K158">
        <f>K137*-23.5933</f>
        <v>0</v>
      </c>
      <c r="L158">
        <f>L137*44.9979</f>
        <v>0</v>
      </c>
      <c r="M158">
        <f>M137*-34.377250000000004</f>
        <v>0</v>
      </c>
      <c r="N158">
        <f>E158+F158+G158+H158+I158+J158+K158+L158</f>
        <v>0</v>
      </c>
      <c r="O158">
        <f>E158+F158+G158+H158+I158+J158+K158+M158</f>
        <v>0</v>
      </c>
    </row>
    <row r="159" spans="3:15">
      <c r="C159">
        <f>19.55</f>
        <v>0</v>
      </c>
      <c r="D159">
        <f>19.55</f>
        <v>0</v>
      </c>
      <c r="E159">
        <f>E137*-1.81185</f>
        <v>0</v>
      </c>
      <c r="F159">
        <f>F137*-11.0684</f>
        <v>0</v>
      </c>
      <c r="G159">
        <f>G137*-1.401</f>
        <v>0</v>
      </c>
      <c r="H159">
        <f>H137*0.0</f>
        <v>0</v>
      </c>
      <c r="I159">
        <f>I137*0.021150000000000002</f>
        <v>0</v>
      </c>
      <c r="J159">
        <f>J137*-56.70885</f>
        <v>0</v>
      </c>
      <c r="K159">
        <f>K137*42.5316</f>
        <v>0</v>
      </c>
      <c r="L159">
        <f>L137*27.11645</f>
        <v>0</v>
      </c>
      <c r="M159">
        <f>M137*-37.6656</f>
        <v>0</v>
      </c>
      <c r="N159">
        <f>E159+F159+G159+H159+I159+J159+K159+L159</f>
        <v>0</v>
      </c>
      <c r="O159">
        <f>E159+F159+G159+H159+I159+J159+K159+M159</f>
        <v>0</v>
      </c>
    </row>
    <row r="160" spans="3:15">
      <c r="C160">
        <f>20.0</f>
        <v>0</v>
      </c>
      <c r="D160">
        <f>20.0</f>
        <v>0</v>
      </c>
      <c r="E160">
        <f>E137*-0.4897</f>
        <v>0</v>
      </c>
      <c r="F160">
        <f>F137*-3.4001</f>
        <v>0</v>
      </c>
      <c r="G160">
        <f>G137*-0.4416</f>
        <v>0</v>
      </c>
      <c r="H160">
        <f>H137*0.0</f>
        <v>0</v>
      </c>
      <c r="I160">
        <f>I137*0.0127</f>
        <v>0</v>
      </c>
      <c r="J160">
        <f>J137*-23.4577</f>
        <v>0</v>
      </c>
      <c r="K160">
        <f>K137*17.5932</f>
        <v>0</v>
      </c>
      <c r="L160">
        <f>L137*3.9865</f>
        <v>0</v>
      </c>
      <c r="M160">
        <f>M137*-5.8118</f>
        <v>0</v>
      </c>
      <c r="N160">
        <f>E160+F160+G160+H160+I160+J160+K160+L160</f>
        <v>0</v>
      </c>
      <c r="O160">
        <f>E160+F160+G160+H160+I160+J160+K160+M160</f>
        <v>0</v>
      </c>
    </row>
    <row r="161" spans="3:15">
      <c r="C161">
        <f>20.0</f>
        <v>0</v>
      </c>
      <c r="D161">
        <f>0.0</f>
        <v>0</v>
      </c>
      <c r="E161">
        <f>E137*-0.4862</f>
        <v>0</v>
      </c>
      <c r="F161">
        <f>F137*-4.2062</f>
        <v>0</v>
      </c>
      <c r="G161">
        <f>G137*-0.5573</f>
        <v>0</v>
      </c>
      <c r="H161">
        <f>H137*0.0</f>
        <v>0</v>
      </c>
      <c r="I161">
        <f>I137*-0.3292</f>
        <v>0</v>
      </c>
      <c r="J161">
        <f>J137*-23.8815</f>
        <v>0</v>
      </c>
      <c r="K161">
        <f>K137*17.9112</f>
        <v>0</v>
      </c>
      <c r="L161">
        <f>L137*9.5337</f>
        <v>0</v>
      </c>
      <c r="M161">
        <f>M137*-12.6312</f>
        <v>0</v>
      </c>
      <c r="N161">
        <f>E161+F161+G161+H161+I161+J161+K161+L161</f>
        <v>0</v>
      </c>
      <c r="O161">
        <f>E161+F161+G161+H161+I161+J161+K161+M161</f>
        <v>0</v>
      </c>
    </row>
    <row r="162" spans="3:15">
      <c r="C162">
        <f>20.45</f>
        <v>0</v>
      </c>
      <c r="D162">
        <f>0.45</f>
        <v>0</v>
      </c>
      <c r="E162">
        <f>E137*-1.79395</f>
        <v>0</v>
      </c>
      <c r="F162">
        <f>F137*-12.586849999999998</f>
        <v>0</v>
      </c>
      <c r="G162">
        <f>G137*-1.61985</f>
        <v>0</v>
      </c>
      <c r="H162">
        <f>H137*0.0</f>
        <v>0</v>
      </c>
      <c r="I162">
        <f>I137*-0.2403</f>
        <v>0</v>
      </c>
      <c r="J162">
        <f>J137*-57.644850000000005</f>
        <v>0</v>
      </c>
      <c r="K162">
        <f>K137*43.23365</f>
        <v>0</v>
      </c>
      <c r="L162">
        <f>L137*15.385</f>
        <v>0</v>
      </c>
      <c r="M162">
        <f>M137*-26.29665</f>
        <v>0</v>
      </c>
      <c r="N162">
        <f>E162+F162+G162+H162+I162+J162+K162+L162</f>
        <v>0</v>
      </c>
      <c r="O162">
        <f>E162+F162+G162+H162+I162+J162+K162+M162</f>
        <v>0</v>
      </c>
    </row>
    <row r="163" spans="3:15">
      <c r="C163">
        <f>21.36</f>
        <v>0</v>
      </c>
      <c r="D163">
        <f>1.36</f>
        <v>0</v>
      </c>
      <c r="E163">
        <f>E137*1.9295999999999998</f>
        <v>0</v>
      </c>
      <c r="F163">
        <f>F137*13.14705</f>
        <v>0</v>
      </c>
      <c r="G163">
        <f>G137*1.6792</f>
        <v>0</v>
      </c>
      <c r="H163">
        <f>H137*0.0</f>
        <v>0</v>
      </c>
      <c r="I163">
        <f>I137*0.47705000000000003</f>
        <v>0</v>
      </c>
      <c r="J163">
        <f>J137*30.146949999999997</f>
        <v>0</v>
      </c>
      <c r="K163">
        <f>K137*-22.61025</f>
        <v>0</v>
      </c>
      <c r="L163">
        <f>L137*37.6943</f>
        <v>0</v>
      </c>
      <c r="M163">
        <f>M137*-28.092750000000002</f>
        <v>0</v>
      </c>
      <c r="N163">
        <f>E163+F163+G163+H163+I163+J163+K163+L163</f>
        <v>0</v>
      </c>
      <c r="O163">
        <f>E163+F163+G163+H163+I163+J163+K163+M163</f>
        <v>0</v>
      </c>
    </row>
    <row r="164" spans="3:15">
      <c r="C164">
        <f>22.27</f>
        <v>0</v>
      </c>
      <c r="D164">
        <f>2.27</f>
        <v>0</v>
      </c>
      <c r="E164">
        <f>E137*2.77045</f>
        <v>0</v>
      </c>
      <c r="F164">
        <f>F137*13.45365</f>
        <v>0</v>
      </c>
      <c r="G164">
        <f>G137*1.6812</f>
        <v>0</v>
      </c>
      <c r="H164">
        <f>H137*0.0</f>
        <v>0</v>
      </c>
      <c r="I164">
        <f>I137*0.48095</f>
        <v>0</v>
      </c>
      <c r="J164">
        <f>J137*24.9979</f>
        <v>0</v>
      </c>
      <c r="K164">
        <f>K137*-18.74845</f>
        <v>0</v>
      </c>
      <c r="L164">
        <f>L137*62.6104</f>
        <v>0</v>
      </c>
      <c r="M164">
        <f>M137*-52.27815</f>
        <v>0</v>
      </c>
      <c r="N164">
        <f>E164+F164+G164+H164+I164+J164+K164+L164</f>
        <v>0</v>
      </c>
      <c r="O164">
        <f>E164+F164+G164+H164+I164+J164+K164+M164</f>
        <v>0</v>
      </c>
    </row>
    <row r="165" spans="3:15">
      <c r="C165">
        <f>23.18</f>
        <v>0</v>
      </c>
      <c r="D165">
        <f>3.18</f>
        <v>0</v>
      </c>
      <c r="E165">
        <f>E137*3.6334500000000003</f>
        <v>0</v>
      </c>
      <c r="F165">
        <f>F137*11.7556</f>
        <v>0</v>
      </c>
      <c r="G165">
        <f>G137*1.4131</f>
        <v>0</v>
      </c>
      <c r="H165">
        <f>H137*0.0</f>
        <v>0</v>
      </c>
      <c r="I165">
        <f>I137*0.47185</f>
        <v>0</v>
      </c>
      <c r="J165">
        <f>J137*24.7788</f>
        <v>0</v>
      </c>
      <c r="K165">
        <f>K137*-18.584049999999998</f>
        <v>0</v>
      </c>
      <c r="L165">
        <f>L137*84.06645</f>
        <v>0</v>
      </c>
      <c r="M165">
        <f>M137*-75.87625</f>
        <v>0</v>
      </c>
      <c r="N165">
        <f>E165+F165+G165+H165+I165+J165+K165+L165</f>
        <v>0</v>
      </c>
      <c r="O165">
        <f>E165+F165+G165+H165+I165+J165+K165+M165</f>
        <v>0</v>
      </c>
    </row>
    <row r="166" spans="3:15">
      <c r="C166">
        <f>24.09</f>
        <v>0</v>
      </c>
      <c r="D166">
        <f>4.09</f>
        <v>0</v>
      </c>
      <c r="E166">
        <f>E137*4.38655</f>
        <v>0</v>
      </c>
      <c r="F166">
        <f>F137*9.5076</f>
        <v>0</v>
      </c>
      <c r="G166">
        <f>G137*1.07345</f>
        <v>0</v>
      </c>
      <c r="H166">
        <f>H137*0.0</f>
        <v>0</v>
      </c>
      <c r="I166">
        <f>I137*0.38505</f>
        <v>0</v>
      </c>
      <c r="J166">
        <f>J137*33.05355</f>
        <v>0</v>
      </c>
      <c r="K166">
        <f>K137*-24.79015</f>
        <v>0</v>
      </c>
      <c r="L166">
        <f>L137*102.4495</f>
        <v>0</v>
      </c>
      <c r="M166">
        <f>M137*-95.75569999999999</f>
        <v>0</v>
      </c>
      <c r="N166">
        <f>E166+F166+G166+H166+I166+J166+K166+L166</f>
        <v>0</v>
      </c>
      <c r="O166">
        <f>E166+F166+G166+H166+I166+J166+K166+M166</f>
        <v>0</v>
      </c>
    </row>
    <row r="167" spans="3:15">
      <c r="C167">
        <f>25.0</f>
        <v>0</v>
      </c>
      <c r="D167">
        <f>5.0</f>
        <v>0</v>
      </c>
      <c r="E167">
        <f>E137*-1.72835</f>
        <v>0</v>
      </c>
      <c r="F167">
        <f>F137*6.047499999999999</f>
        <v>0</v>
      </c>
      <c r="G167">
        <f>G137*1.0814000000000001</f>
        <v>0</v>
      </c>
      <c r="H167">
        <f>H137*0.0</f>
        <v>0</v>
      </c>
      <c r="I167">
        <f>I137*0.67525</f>
        <v>0</v>
      </c>
      <c r="J167">
        <f>J137*0.35135000000000005</f>
        <v>0</v>
      </c>
      <c r="K167">
        <f>K137*-0.26349999999999985</f>
        <v>0</v>
      </c>
      <c r="L167">
        <f>L137*108.24195</f>
        <v>0</v>
      </c>
      <c r="M167">
        <f>M137*-94.8988</f>
        <v>0</v>
      </c>
      <c r="N167">
        <f>E167+F167+G167+H167+I167+J167+K167+L167</f>
        <v>0</v>
      </c>
      <c r="O167">
        <f>E167+F167+G167+H167+I167+J167+K167+M167</f>
        <v>0</v>
      </c>
    </row>
    <row r="168" spans="3:15">
      <c r="C168">
        <f>26.0</f>
        <v>0</v>
      </c>
      <c r="D168">
        <f>6.0</f>
        <v>0</v>
      </c>
      <c r="E168">
        <f>E137*4.035</f>
        <v>0</v>
      </c>
      <c r="F168">
        <f>F137*7.5496</f>
        <v>0</v>
      </c>
      <c r="G168">
        <f>G137*0.8208</f>
        <v>0</v>
      </c>
      <c r="H168">
        <f>H137*0.0</f>
        <v>0</v>
      </c>
      <c r="I168">
        <f>I137*0.63935</f>
        <v>0</v>
      </c>
      <c r="J168">
        <f>J137*28.968550000000004</f>
        <v>0</v>
      </c>
      <c r="K168">
        <f>K137*-21.72645</f>
        <v>0</v>
      </c>
      <c r="L168">
        <f>L137*126.5715</f>
        <v>0</v>
      </c>
      <c r="M168">
        <f>M137*-120.5776</f>
        <v>0</v>
      </c>
      <c r="N168">
        <f>E168+F168+G168+H168+I168+J168+K168+L168</f>
        <v>0</v>
      </c>
      <c r="O168">
        <f>E168+F168+G168+H168+I168+J168+K168+M168</f>
        <v>0</v>
      </c>
    </row>
    <row r="169" spans="3:15">
      <c r="C169">
        <f>27.0</f>
        <v>0</v>
      </c>
      <c r="D169">
        <f>7.0</f>
        <v>0</v>
      </c>
      <c r="E169">
        <f>E137*3.1060999999999996</f>
        <v>0</v>
      </c>
      <c r="F169">
        <f>F137*6.3781</f>
        <v>0</v>
      </c>
      <c r="G169">
        <f>G137*0.70235</f>
        <v>0</v>
      </c>
      <c r="H169">
        <f>H137*0.0</f>
        <v>0</v>
      </c>
      <c r="I169">
        <f>I137*0.65025</f>
        <v>0</v>
      </c>
      <c r="J169">
        <f>J137*14.4355</f>
        <v>0</v>
      </c>
      <c r="K169">
        <f>K137*-10.82665</f>
        <v>0</v>
      </c>
      <c r="L169">
        <f>L137*141.41625</f>
        <v>0</v>
      </c>
      <c r="M169">
        <f>M137*-135.92575</f>
        <v>0</v>
      </c>
      <c r="N169">
        <f>E169+F169+G169+H169+I169+J169+K169+L169</f>
        <v>0</v>
      </c>
      <c r="O169">
        <f>E169+F169+G169+H169+I169+J169+K169+M169</f>
        <v>0</v>
      </c>
    </row>
    <row r="170" spans="3:15">
      <c r="C170">
        <f>28.0</f>
        <v>0</v>
      </c>
      <c r="D170">
        <f>8.0</f>
        <v>0</v>
      </c>
      <c r="E170">
        <f>E137*2.8158</f>
        <v>0</v>
      </c>
      <c r="F170">
        <f>F137*5.6507000000000005</f>
        <v>0</v>
      </c>
      <c r="G170">
        <f>G137*0.6139</f>
        <v>0</v>
      </c>
      <c r="H170">
        <f>H137*0.0</f>
        <v>0</v>
      </c>
      <c r="I170">
        <f>I137*0.7722</f>
        <v>0</v>
      </c>
      <c r="J170">
        <f>J137*12.62735</f>
        <v>0</v>
      </c>
      <c r="K170">
        <f>K137*-9.4705</f>
        <v>0</v>
      </c>
      <c r="L170">
        <f>L137*148.1121</f>
        <v>0</v>
      </c>
      <c r="M170">
        <f>M137*-143.43425000000002</f>
        <v>0</v>
      </c>
      <c r="N170">
        <f>E170+F170+G170+H170+I170+J170+K170+L170</f>
        <v>0</v>
      </c>
      <c r="O170">
        <f>E170+F170+G170+H170+I170+J170+K170+M170</f>
        <v>0</v>
      </c>
    </row>
    <row r="171" spans="3:15">
      <c r="C171">
        <f>29.0</f>
        <v>0</v>
      </c>
      <c r="D171">
        <f>9.0</f>
        <v>0</v>
      </c>
      <c r="E171">
        <f>E137*3.2424</f>
        <v>0</v>
      </c>
      <c r="F171">
        <f>F137*5.451700000000001</f>
        <v>0</v>
      </c>
      <c r="G171">
        <f>G137*0.56395</f>
        <v>0</v>
      </c>
      <c r="H171">
        <f>H137*0.0</f>
        <v>0</v>
      </c>
      <c r="I171">
        <f>I137*0.8385000000000001</f>
        <v>0</v>
      </c>
      <c r="J171">
        <f>J137*23.692999999999998</f>
        <v>0</v>
      </c>
      <c r="K171">
        <f>K137*-17.76975</f>
        <v>0</v>
      </c>
      <c r="L171">
        <f>L137*149.9022</f>
        <v>0</v>
      </c>
      <c r="M171">
        <f>M137*-145.67955</f>
        <v>0</v>
      </c>
      <c r="N171">
        <f>E171+F171+G171+H171+I171+J171+K171+L171</f>
        <v>0</v>
      </c>
      <c r="O171">
        <f>E171+F171+G171+H171+I171+J171+K171+M171</f>
        <v>0</v>
      </c>
    </row>
    <row r="172" spans="3:15">
      <c r="C172">
        <f>30.0</f>
        <v>0</v>
      </c>
      <c r="D172">
        <f>10.0</f>
        <v>0</v>
      </c>
      <c r="E172">
        <f>E137*-4.01665</f>
        <v>0</v>
      </c>
      <c r="F172">
        <f>F137*12.3809</f>
        <v>0</v>
      </c>
      <c r="G172">
        <f>G137*2.1192</f>
        <v>0</v>
      </c>
      <c r="H172">
        <f>H137*0.0</f>
        <v>0</v>
      </c>
      <c r="I172">
        <f>I137*1.0047</f>
        <v>0</v>
      </c>
      <c r="J172">
        <f>J137*13.391749999999998</f>
        <v>0</v>
      </c>
      <c r="K172">
        <f>K137*-10.043849999999999</f>
        <v>0</v>
      </c>
      <c r="L172">
        <f>L137*146.11984999999999</f>
        <v>0</v>
      </c>
      <c r="M172">
        <f>M137*-127.91785</f>
        <v>0</v>
      </c>
      <c r="N172">
        <f>E172+F172+G172+H172+I172+J172+K172+L172</f>
        <v>0</v>
      </c>
      <c r="O172">
        <f>E172+F172+G172+H172+I172+J172+K172+M172</f>
        <v>0</v>
      </c>
    </row>
    <row r="173" spans="3:15">
      <c r="C173">
        <f>31.0</f>
        <v>0</v>
      </c>
      <c r="D173">
        <f>11.0</f>
        <v>0</v>
      </c>
      <c r="E173">
        <f>E137*3.1939</f>
        <v>0</v>
      </c>
      <c r="F173">
        <f>F137*5.7285</f>
        <v>0</v>
      </c>
      <c r="G173">
        <f>G137*0.6065</f>
        <v>0</v>
      </c>
      <c r="H173">
        <f>H137*0.0</f>
        <v>0</v>
      </c>
      <c r="I173">
        <f>I137*1.0904500000000001</f>
        <v>0</v>
      </c>
      <c r="J173">
        <f>J137*24.394399999999997</f>
        <v>0</v>
      </c>
      <c r="K173">
        <f>K137*-18.2958</f>
        <v>0</v>
      </c>
      <c r="L173">
        <f>L137*150.6599</f>
        <v>0</v>
      </c>
      <c r="M173">
        <f>M137*-146.144</f>
        <v>0</v>
      </c>
      <c r="N173">
        <f>E173+F173+G173+H173+I173+J173+K173+L173</f>
        <v>0</v>
      </c>
      <c r="O173">
        <f>E173+F173+G173+H173+I173+J173+K173+M173</f>
        <v>0</v>
      </c>
    </row>
    <row r="174" spans="3:15">
      <c r="C174">
        <f>32.0</f>
        <v>0</v>
      </c>
      <c r="D174">
        <f>12.0</f>
        <v>0</v>
      </c>
      <c r="E174">
        <f>E137*2.71825</f>
        <v>0</v>
      </c>
      <c r="F174">
        <f>F137*6.066599999999999</f>
        <v>0</v>
      </c>
      <c r="G174">
        <f>G137*0.6788</f>
        <v>0</v>
      </c>
      <c r="H174">
        <f>H137*0.0</f>
        <v>0</v>
      </c>
      <c r="I174">
        <f>I137*1.1324</f>
        <v>0</v>
      </c>
      <c r="J174">
        <f>J137*13.90775</f>
        <v>0</v>
      </c>
      <c r="K174">
        <f>K137*-10.43085</f>
        <v>0</v>
      </c>
      <c r="L174">
        <f>L137*149.73805</f>
        <v>0</v>
      </c>
      <c r="M174">
        <f>M137*-144.45749999999998</f>
        <v>0</v>
      </c>
      <c r="N174">
        <f>E174+F174+G174+H174+I174+J174+K174+L174</f>
        <v>0</v>
      </c>
      <c r="O174">
        <f>E174+F174+G174+H174+I174+J174+K174+M174</f>
        <v>0</v>
      </c>
    </row>
    <row r="175" spans="3:15">
      <c r="C175">
        <f>33.0</f>
        <v>0</v>
      </c>
      <c r="D175">
        <f>13.0</f>
        <v>0</v>
      </c>
      <c r="E175">
        <f>E137*2.9619999999999997</f>
        <v>0</v>
      </c>
      <c r="F175">
        <f>F137*6.823100000000001</f>
        <v>0</v>
      </c>
      <c r="G175">
        <f>G137*0.77335</f>
        <v>0</v>
      </c>
      <c r="H175">
        <f>H137*0.0</f>
        <v>0</v>
      </c>
      <c r="I175">
        <f>I137*1.43175</f>
        <v>0</v>
      </c>
      <c r="J175">
        <f>J137*16.17055</f>
        <v>0</v>
      </c>
      <c r="K175">
        <f>K137*-12.1279</f>
        <v>0</v>
      </c>
      <c r="L175">
        <f>L137*143.90715</f>
        <v>0</v>
      </c>
      <c r="M175">
        <f>M137*-137.47555</f>
        <v>0</v>
      </c>
      <c r="N175">
        <f>E175+F175+G175+H175+I175+J175+K175+L175</f>
        <v>0</v>
      </c>
      <c r="O175">
        <f>E175+F175+G175+H175+I175+J175+K175+M175</f>
        <v>0</v>
      </c>
    </row>
    <row r="176" spans="3:15">
      <c r="C176">
        <f>34.0</f>
        <v>0</v>
      </c>
      <c r="D176">
        <f>14.0</f>
        <v>0</v>
      </c>
      <c r="E176">
        <f>E137*3.84685</f>
        <v>0</v>
      </c>
      <c r="F176">
        <f>F137*7.8615</f>
        <v>0</v>
      </c>
      <c r="G176">
        <f>G137*0.87395</f>
        <v>0</v>
      </c>
      <c r="H176">
        <f>H137*0.0</f>
        <v>0</v>
      </c>
      <c r="I176">
        <f>I137*1.7798500000000002</f>
        <v>0</v>
      </c>
      <c r="J176">
        <f>J137*30.986849999999997</f>
        <v>0</v>
      </c>
      <c r="K176">
        <f>K137*-23.24015</f>
        <v>0</v>
      </c>
      <c r="L176">
        <f>L137*129.7807</f>
        <v>0</v>
      </c>
      <c r="M176">
        <f>M137*-122.5161</f>
        <v>0</v>
      </c>
      <c r="N176">
        <f>E176+F176+G176+H176+I176+J176+K176+L176</f>
        <v>0</v>
      </c>
      <c r="O176">
        <f>E176+F176+G176+H176+I176+J176+K176+M176</f>
        <v>0</v>
      </c>
    </row>
    <row r="177" spans="3:15">
      <c r="C177">
        <f>35.0</f>
        <v>0</v>
      </c>
      <c r="D177">
        <f>15.0</f>
        <v>0</v>
      </c>
      <c r="E177">
        <f>E137*-1.9186999999999999</f>
        <v>0</v>
      </c>
      <c r="F177">
        <f>F137*9.1799</f>
        <v>0</v>
      </c>
      <c r="G177">
        <f>G137*1.5488</f>
        <v>0</v>
      </c>
      <c r="H177">
        <f>H137*0.0</f>
        <v>0</v>
      </c>
      <c r="I177">
        <f>I137*-2.86015</f>
        <v>0</v>
      </c>
      <c r="J177">
        <f>J137*5.0309</f>
        <v>0</v>
      </c>
      <c r="K177">
        <f>K137*-3.7731500000000002</f>
        <v>0</v>
      </c>
      <c r="L177">
        <f>L137*110.59905</f>
        <v>0</v>
      </c>
      <c r="M177">
        <f>M137*-96.7091</f>
        <v>0</v>
      </c>
      <c r="N177">
        <f>E177+F177+G177+H177+I177+J177+K177+L177</f>
        <v>0</v>
      </c>
      <c r="O177">
        <f>E177+F177+G177+H177+I177+J177+K177+M177</f>
        <v>0</v>
      </c>
    </row>
    <row r="178" spans="3:15">
      <c r="C178">
        <f>35.91</f>
        <v>0</v>
      </c>
      <c r="D178">
        <f>15.91</f>
        <v>0</v>
      </c>
      <c r="E178">
        <f>E137*4.1829</f>
        <v>0</v>
      </c>
      <c r="F178">
        <f>F137*9.286349999999999</f>
        <v>0</v>
      </c>
      <c r="G178">
        <f>G137*1.049</f>
        <v>0</v>
      </c>
      <c r="H178">
        <f>H137*0.0</f>
        <v>0</v>
      </c>
      <c r="I178">
        <f>I137*3.3379000000000003</f>
        <v>0</v>
      </c>
      <c r="J178">
        <f>J137*34.70785</f>
        <v>0</v>
      </c>
      <c r="K178">
        <f>K137*-26.030900000000003</f>
        <v>0</v>
      </c>
      <c r="L178">
        <f>L137*107.6373</f>
        <v>0</v>
      </c>
      <c r="M178">
        <f>M137*-98.83755</f>
        <v>0</v>
      </c>
      <c r="N178">
        <f>E178+F178+G178+H178+I178+J178+K178+L178</f>
        <v>0</v>
      </c>
      <c r="O178">
        <f>E178+F178+G178+H178+I178+J178+K178+M178</f>
        <v>0</v>
      </c>
    </row>
    <row r="179" spans="3:15">
      <c r="C179">
        <f>36.82</f>
        <v>0</v>
      </c>
      <c r="D179">
        <f>16.82</f>
        <v>0</v>
      </c>
      <c r="E179">
        <f>E137*3.4327</f>
        <v>0</v>
      </c>
      <c r="F179">
        <f>F137*10.61195</f>
        <v>0</v>
      </c>
      <c r="G179">
        <f>G137*1.2529</f>
        <v>0</v>
      </c>
      <c r="H179">
        <f>H137*0.0</f>
        <v>0</v>
      </c>
      <c r="I179">
        <f>I137*5.63585</f>
        <v>0</v>
      </c>
      <c r="J179">
        <f>J137*25.5278</f>
        <v>0</v>
      </c>
      <c r="K179">
        <f>K137*-19.14585</f>
        <v>0</v>
      </c>
      <c r="L179">
        <f>L137*89.73580000000001</f>
        <v>0</v>
      </c>
      <c r="M179">
        <f>M137*-80.269</f>
        <v>0</v>
      </c>
      <c r="N179">
        <f>E179+F179+G179+H179+I179+J179+K179+L179</f>
        <v>0</v>
      </c>
      <c r="O179">
        <f>E179+F179+G179+H179+I179+J179+K179+M179</f>
        <v>0</v>
      </c>
    </row>
    <row r="180" spans="3:15">
      <c r="C180">
        <f>37.73</f>
        <v>0</v>
      </c>
      <c r="D180">
        <f>17.73</f>
        <v>0</v>
      </c>
      <c r="E180">
        <f>E137*2.558</f>
        <v>0</v>
      </c>
      <c r="F180">
        <f>F137*11.38815</f>
        <v>0</v>
      </c>
      <c r="G180">
        <f>G137*1.3860000000000001</f>
        <v>0</v>
      </c>
      <c r="H180">
        <f>H137*0.0</f>
        <v>0</v>
      </c>
      <c r="I180">
        <f>I137*8.5384</f>
        <v>0</v>
      </c>
      <c r="J180">
        <f>J137*24.971200000000003</f>
        <v>0</v>
      </c>
      <c r="K180">
        <f>K137*-18.7284</f>
        <v>0</v>
      </c>
      <c r="L180">
        <f>L137*68.24875</f>
        <v>0</v>
      </c>
      <c r="M180">
        <f>M137*-57.485</f>
        <v>0</v>
      </c>
      <c r="N180">
        <f>E180+F180+G180+H180+I180+J180+K180+L180</f>
        <v>0</v>
      </c>
      <c r="O180">
        <f>E180+F180+G180+H180+I180+J180+K180+M180</f>
        <v>0</v>
      </c>
    </row>
    <row r="181" spans="3:15">
      <c r="C181">
        <f>38.64</f>
        <v>0</v>
      </c>
      <c r="D181">
        <f>18.64</f>
        <v>0</v>
      </c>
      <c r="E181">
        <f>E137*1.646</f>
        <v>0</v>
      </c>
      <c r="F181">
        <f>F137*10.780000000000001</f>
        <v>0</v>
      </c>
      <c r="G181">
        <f>G137*1.3425</f>
        <v>0</v>
      </c>
      <c r="H181">
        <f>H137*0.0</f>
        <v>0</v>
      </c>
      <c r="I181">
        <f>I137*10.37655</f>
        <v>0</v>
      </c>
      <c r="J181">
        <f>J137*30.48045</f>
        <v>0</v>
      </c>
      <c r="K181">
        <f>K137*-22.86035</f>
        <v>0</v>
      </c>
      <c r="L181">
        <f>L137*37.79025</f>
        <v>0</v>
      </c>
      <c r="M181">
        <f>M137*-26.43785</f>
        <v>0</v>
      </c>
      <c r="N181">
        <f>E181+F181+G181+H181+I181+J181+K181+L181</f>
        <v>0</v>
      </c>
      <c r="O181">
        <f>E181+F181+G181+H181+I181+J181+K181+M181</f>
        <v>0</v>
      </c>
    </row>
    <row r="182" spans="3:15">
      <c r="C182">
        <f>39.55</f>
        <v>0</v>
      </c>
      <c r="D182">
        <f>19.55</f>
        <v>0</v>
      </c>
      <c r="E182">
        <f>E137*-1.6354000000000002</f>
        <v>0</v>
      </c>
      <c r="F182">
        <f>F137*-8.443</f>
        <v>0</v>
      </c>
      <c r="G182">
        <f>G137*-1.01745</f>
        <v>0</v>
      </c>
      <c r="H182">
        <f>H137*0.0</f>
        <v>0</v>
      </c>
      <c r="I182">
        <f>I137*-11.52135</f>
        <v>0</v>
      </c>
      <c r="J182">
        <f>J137*-55.178650000000005</f>
        <v>0</v>
      </c>
      <c r="K182">
        <f>K137*41.384</f>
        <v>0</v>
      </c>
      <c r="L182">
        <f>L137*18.77395</f>
        <v>0</v>
      </c>
      <c r="M182">
        <f>M137*-28.3119</f>
        <v>0</v>
      </c>
      <c r="N182">
        <f>E182+F182+G182+H182+I182+J182+K182+L182</f>
        <v>0</v>
      </c>
      <c r="O182">
        <f>E182+F182+G182+H182+I182+J182+K182+M182</f>
        <v>0</v>
      </c>
    </row>
    <row r="183" spans="3:15">
      <c r="C183">
        <f>40.0</f>
        <v>0</v>
      </c>
      <c r="D183">
        <f>20.0</f>
        <v>0</v>
      </c>
      <c r="E183">
        <f>E137*-0.4521</f>
        <v>0</v>
      </c>
      <c r="F183">
        <f>F137*-2.6435</f>
        <v>0</v>
      </c>
      <c r="G183">
        <f>G137*-0.3292</f>
        <v>0</v>
      </c>
      <c r="H183">
        <f>H137*0.0</f>
        <v>0</v>
      </c>
      <c r="I183">
        <f>I137*-3.1167</f>
        <v>0</v>
      </c>
      <c r="J183">
        <f>J137*-22.7293</f>
        <v>0</v>
      </c>
      <c r="K183">
        <f>K137*17.047</f>
        <v>0</v>
      </c>
      <c r="L183">
        <f>L137*7.9705</f>
        <v>0</v>
      </c>
      <c r="M183">
        <f>M137*-9.7791</f>
        <v>0</v>
      </c>
      <c r="N183">
        <f>E183+F183+G183+H183+I183+J183+K183+L183</f>
        <v>0</v>
      </c>
      <c r="O183">
        <f>E183+F183+G183+H183+I183+J183+K183+M183</f>
        <v>0</v>
      </c>
    </row>
    <row r="184" spans="3:15">
      <c r="C184">
        <f>40.0</f>
        <v>0</v>
      </c>
      <c r="D184">
        <f>0.0</f>
        <v>0</v>
      </c>
      <c r="E184">
        <f>E137*-0.45</f>
        <v>0</v>
      </c>
      <c r="F184">
        <f>F137*-3.5147</f>
        <v>0</v>
      </c>
      <c r="G184">
        <f>G137*-0.4591</f>
        <v>0</v>
      </c>
      <c r="H184">
        <f>H137*0.0</f>
        <v>0</v>
      </c>
      <c r="I184">
        <f>I137*-3.9027</f>
        <v>0</v>
      </c>
      <c r="J184">
        <f>J137*-24.2409</f>
        <v>0</v>
      </c>
      <c r="K184">
        <f>K137*18.1807</f>
        <v>0</v>
      </c>
      <c r="L184">
        <f>L137*2.7186</f>
        <v>0</v>
      </c>
      <c r="M184">
        <f>M137*-5.3872</f>
        <v>0</v>
      </c>
      <c r="N184">
        <f>E184+F184+G184+H184+I184+J184+K184+L184</f>
        <v>0</v>
      </c>
      <c r="O184">
        <f>E184+F184+G184+H184+I184+J184+K184+M184</f>
        <v>0</v>
      </c>
    </row>
    <row r="185" spans="3:15">
      <c r="C185">
        <f>40.45</f>
        <v>0</v>
      </c>
      <c r="D185">
        <f>0.45</f>
        <v>0</v>
      </c>
      <c r="E185">
        <f>E137*-1.36145</f>
        <v>0</v>
      </c>
      <c r="F185">
        <f>F137*-10.242750000000001</f>
        <v>0</v>
      </c>
      <c r="G185">
        <f>G137*-1.3013</f>
        <v>0</v>
      </c>
      <c r="H185">
        <f>H137*0.0</f>
        <v>0</v>
      </c>
      <c r="I185">
        <f>I137*-13.881049999999998</f>
        <v>0</v>
      </c>
      <c r="J185">
        <f>J137*-61.040150000000004</f>
        <v>0</v>
      </c>
      <c r="K185">
        <f>K137*45.7801</f>
        <v>0</v>
      </c>
      <c r="L185">
        <f>L137*7.19835</f>
        <v>0</v>
      </c>
      <c r="M185">
        <f>M137*-17.981849999999998</f>
        <v>0</v>
      </c>
      <c r="N185">
        <f>E185+F185+G185+H185+I185+J185+K185+L185</f>
        <v>0</v>
      </c>
      <c r="O185">
        <f>E185+F185+G185+H185+I185+J185+K185+M185</f>
        <v>0</v>
      </c>
    </row>
    <row r="186" spans="3:15">
      <c r="C186">
        <f>41.36</f>
        <v>0</v>
      </c>
      <c r="D186">
        <f>1.36</f>
        <v>0</v>
      </c>
      <c r="E186">
        <f>E137*2.1107</f>
        <v>0</v>
      </c>
      <c r="F186">
        <f>F137*8.85045</f>
        <v>0</v>
      </c>
      <c r="G186">
        <f>G137*1.03145</f>
        <v>0</v>
      </c>
      <c r="H186">
        <f>H137*0.0</f>
        <v>0</v>
      </c>
      <c r="I186">
        <f>I137*-2.9184</f>
        <v>0</v>
      </c>
      <c r="J186">
        <f>J137*27.041199999999996</f>
        <v>0</v>
      </c>
      <c r="K186">
        <f>K137*-20.280900000000003</f>
        <v>0</v>
      </c>
      <c r="L186">
        <f>L137*31.386499999999998</f>
        <v>0</v>
      </c>
      <c r="M186">
        <f>M137*-23.46175</f>
        <v>0</v>
      </c>
      <c r="N186">
        <f>E186+F186+G186+H186+I186+J186+K186+L186</f>
        <v>0</v>
      </c>
      <c r="O186">
        <f>E186+F186+G186+H186+I186+J186+K186+M186</f>
        <v>0</v>
      </c>
    </row>
    <row r="187" spans="3:15">
      <c r="C187">
        <f>42.27</f>
        <v>0</v>
      </c>
      <c r="D187">
        <f>2.27</f>
        <v>0</v>
      </c>
      <c r="E187">
        <f>E137*3.1723999999999997</f>
        <v>0</v>
      </c>
      <c r="F187">
        <f>F137*7.8889499999999995</f>
        <v>0</v>
      </c>
      <c r="G187">
        <f>G137*0.8363</f>
        <v>0</v>
      </c>
      <c r="H187">
        <f>H137*0.0</f>
        <v>0</v>
      </c>
      <c r="I187">
        <f>I137*-24.554850000000002</f>
        <v>0</v>
      </c>
      <c r="J187">
        <f>J137*23.83455</f>
        <v>0</v>
      </c>
      <c r="K187">
        <f>K137*-17.8759</f>
        <v>0</v>
      </c>
      <c r="L187">
        <f>L137*49.300399999999996</f>
        <v>0</v>
      </c>
      <c r="M187">
        <f>M137*-43.8346</f>
        <v>0</v>
      </c>
      <c r="N187">
        <f>E187+F187+G187+H187+I187+J187+K187+L187</f>
        <v>0</v>
      </c>
      <c r="O187">
        <f>E187+F187+G187+H187+I187+J187+K187+M187</f>
        <v>0</v>
      </c>
    </row>
    <row r="188" spans="3:15">
      <c r="C188">
        <f>43.18</f>
        <v>0</v>
      </c>
      <c r="D188">
        <f>3.18</f>
        <v>0</v>
      </c>
      <c r="E188">
        <f>E137*4.1939</f>
        <v>0</v>
      </c>
      <c r="F188">
        <f>F137*5.6442</f>
        <v>0</v>
      </c>
      <c r="G188">
        <f>G137*0.48275</f>
        <v>0</v>
      </c>
      <c r="H188">
        <f>H137*0.0</f>
        <v>0</v>
      </c>
      <c r="I188">
        <f>I137*-41.983599999999996</f>
        <v>0</v>
      </c>
      <c r="J188">
        <f>J137*28.40005</f>
        <v>0</v>
      </c>
      <c r="K188">
        <f>K137*-21.30005</f>
        <v>0</v>
      </c>
      <c r="L188">
        <f>L137*60.29485</f>
        <v>0</v>
      </c>
      <c r="M188">
        <f>M137*-57.07035</f>
        <v>0</v>
      </c>
      <c r="N188">
        <f>E188+F188+G188+H188+I188+J188+K188+L188</f>
        <v>0</v>
      </c>
      <c r="O188">
        <f>E188+F188+G188+H188+I188+J188+K188+M188</f>
        <v>0</v>
      </c>
    </row>
    <row r="189" spans="3:15">
      <c r="C189">
        <f>44.09</f>
        <v>0</v>
      </c>
      <c r="D189">
        <f>4.09</f>
        <v>0</v>
      </c>
      <c r="E189">
        <f>E137*5.1237</f>
        <v>0</v>
      </c>
      <c r="F189">
        <f>F137*3.25365</f>
        <v>0</v>
      </c>
      <c r="G189">
        <f>G137*0.1162</f>
        <v>0</v>
      </c>
      <c r="H189">
        <f>H137*0.0</f>
        <v>0</v>
      </c>
      <c r="I189">
        <f>I137*-56.31995</f>
        <v>0</v>
      </c>
      <c r="J189">
        <f>J137*42.422399999999996</f>
        <v>0</v>
      </c>
      <c r="K189">
        <f>K137*-31.8168</f>
        <v>0</v>
      </c>
      <c r="L189">
        <f>L137*64.0085</f>
        <v>0</v>
      </c>
      <c r="M189">
        <f>M137*-63.11255</f>
        <v>0</v>
      </c>
      <c r="N189">
        <f>E189+F189+G189+H189+I189+J189+K189+L189</f>
        <v>0</v>
      </c>
      <c r="O189">
        <f>E189+F189+G189+H189+I189+J189+K189+M189</f>
        <v>0</v>
      </c>
    </row>
    <row r="190" spans="3:15">
      <c r="C190">
        <f>45.0</f>
        <v>0</v>
      </c>
      <c r="D190">
        <f>5.0</f>
        <v>0</v>
      </c>
      <c r="E190">
        <f>E137*1.43935</f>
        <v>0</v>
      </c>
      <c r="F190">
        <f>F137*-0.79095</f>
        <v>0</v>
      </c>
      <c r="G190">
        <f>G137*-0.1092</f>
        <v>0</v>
      </c>
      <c r="H190">
        <f>H137*0.0</f>
        <v>0</v>
      </c>
      <c r="I190">
        <f>I137*-102.8468</f>
        <v>0</v>
      </c>
      <c r="J190">
        <f>J137*-17.759349999999998</f>
        <v>0</v>
      </c>
      <c r="K190">
        <f>K137*13.31955</f>
        <v>0</v>
      </c>
      <c r="L190">
        <f>L137*54.6992</f>
        <v>0</v>
      </c>
      <c r="M190">
        <f>M137*-51.05545</f>
        <v>0</v>
      </c>
      <c r="N190">
        <f>E190+F190+G190+H190+I190+J190+K190+L190</f>
        <v>0</v>
      </c>
      <c r="O190">
        <f>E190+F190+G190+H190+I190+J190+K190+M190</f>
        <v>0</v>
      </c>
    </row>
    <row r="191" spans="3:15">
      <c r="C191">
        <f>46.0</f>
        <v>0</v>
      </c>
      <c r="D191">
        <f>6.0</f>
        <v>0</v>
      </c>
      <c r="E191">
        <f>E137*5.1126499999999995</f>
        <v>0</v>
      </c>
      <c r="F191">
        <f>F137*1.3511</f>
        <v>0</v>
      </c>
      <c r="G191">
        <f>G137*-0.1543</f>
        <v>0</v>
      </c>
      <c r="H191">
        <f>H137*0.0</f>
        <v>0</v>
      </c>
      <c r="I191">
        <f>I137*-59.188599999999994</f>
        <v>0</v>
      </c>
      <c r="J191">
        <f>J137*46.9799</f>
        <v>0</v>
      </c>
      <c r="K191">
        <f>K137*-35.234899999999996</f>
        <v>0</v>
      </c>
      <c r="L191">
        <f>L137*65.5675</f>
        <v>0</v>
      </c>
      <c r="M191">
        <f>M137*-67.05855</f>
        <v>0</v>
      </c>
      <c r="N191">
        <f>E191+F191+G191+H191+I191+J191+K191+L191</f>
        <v>0</v>
      </c>
      <c r="O191">
        <f>E191+F191+G191+H191+I191+J191+K191+M191</f>
        <v>0</v>
      </c>
    </row>
    <row r="192" spans="3:15">
      <c r="C192">
        <f>47.0</f>
        <v>0</v>
      </c>
      <c r="D192">
        <f>7.0</f>
        <v>0</v>
      </c>
      <c r="E192">
        <f>E137*3.69465</f>
        <v>0</v>
      </c>
      <c r="F192">
        <f>F137*0.67</f>
        <v>0</v>
      </c>
      <c r="G192">
        <f>G137*-0.18695</f>
        <v>0</v>
      </c>
      <c r="H192">
        <f>H137*0.0</f>
        <v>0</v>
      </c>
      <c r="I192">
        <f>I137*-48.84555</f>
        <v>0</v>
      </c>
      <c r="J192">
        <f>J137*37.66135</f>
        <v>0</v>
      </c>
      <c r="K192">
        <f>K137*-28.246000000000002</f>
        <v>0</v>
      </c>
      <c r="L192">
        <f>L137*60.0994</f>
        <v>0</v>
      </c>
      <c r="M192">
        <f>M137*-63.023450000000004</f>
        <v>0</v>
      </c>
      <c r="N192">
        <f>E192+F192+G192+H192+I192+J192+K192+L192</f>
        <v>0</v>
      </c>
      <c r="O192">
        <f>E192+F192+G192+H192+I192+J192+K192+M192</f>
        <v>0</v>
      </c>
    </row>
    <row r="193" spans="3:15">
      <c r="C193">
        <f>48.0</f>
        <v>0</v>
      </c>
      <c r="D193">
        <f>8.0</f>
        <v>0</v>
      </c>
      <c r="E193">
        <f>E137*1.83125</f>
        <v>0</v>
      </c>
      <c r="F193">
        <f>F137*0.37179999999999996</f>
        <v>0</v>
      </c>
      <c r="G193">
        <f>G137*-0.1404</f>
        <v>0</v>
      </c>
      <c r="H193">
        <f>H137*0.0</f>
        <v>0</v>
      </c>
      <c r="I193">
        <f>I137*-32.8868</f>
        <v>0</v>
      </c>
      <c r="J193">
        <f>J137*49.37465</f>
        <v>0</v>
      </c>
      <c r="K193">
        <f>K137*-37.031</f>
        <v>0</v>
      </c>
      <c r="L193">
        <f>L137*45.5149</f>
        <v>0</v>
      </c>
      <c r="M193">
        <f>M137*-48.6489</f>
        <v>0</v>
      </c>
      <c r="N193">
        <f>E193+F193+G193+H193+I193+J193+K193+L193</f>
        <v>0</v>
      </c>
      <c r="O193">
        <f>E193+F193+G193+H193+I193+J193+K193+M193</f>
        <v>0</v>
      </c>
    </row>
    <row r="194" spans="3:15">
      <c r="C194">
        <f>49.0</f>
        <v>0</v>
      </c>
      <c r="D194">
        <f>9.0</f>
        <v>0</v>
      </c>
      <c r="E194">
        <f>E137*-0.63485</f>
        <v>0</v>
      </c>
      <c r="F194">
        <f>F137*0.71005</f>
        <v>0</v>
      </c>
      <c r="G194">
        <f>G137*0.0658</f>
        <v>0</v>
      </c>
      <c r="H194">
        <f>H137*0.0</f>
        <v>0</v>
      </c>
      <c r="I194">
        <f>I137*-6.875350000000001</f>
        <v>0</v>
      </c>
      <c r="J194">
        <f>J137*105.61885000000001</f>
        <v>0</v>
      </c>
      <c r="K194">
        <f>K137*-79.21414999999999</f>
        <v>0</v>
      </c>
      <c r="L194">
        <f>L137*25.8932</f>
        <v>0</v>
      </c>
      <c r="M194">
        <f>M137*-20.808500000000002</f>
        <v>0</v>
      </c>
      <c r="N194">
        <f>E194+F194+G194+H194+I194+J194+K194+L194</f>
        <v>0</v>
      </c>
      <c r="O194">
        <f>E194+F194+G194+H194+I194+J194+K194+M194</f>
        <v>0</v>
      </c>
    </row>
    <row r="202" spans="3:15"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 t="s">
        <v>8</v>
      </c>
      <c r="L202" t="s">
        <v>9</v>
      </c>
      <c r="M202" t="s">
        <v>10</v>
      </c>
      <c r="N202" t="s">
        <v>11</v>
      </c>
      <c r="O202" t="s">
        <v>12</v>
      </c>
    </row>
    <row r="203" spans="3:15">
      <c r="C203">
        <f>0.0</f>
        <v>0</v>
      </c>
      <c r="D203">
        <f>0.0</f>
        <v>0</v>
      </c>
      <c r="E203">
        <f>E201*4.617</f>
        <v>0</v>
      </c>
      <c r="F203">
        <f>F201*5.792999999999999</f>
        <v>0</v>
      </c>
      <c r="G203">
        <f>G201*0.713</f>
        <v>0</v>
      </c>
      <c r="H203">
        <f>H201*0.0</f>
        <v>0</v>
      </c>
      <c r="I203">
        <f>I201*-0.045</f>
        <v>0</v>
      </c>
      <c r="J203">
        <f>J201*-406.56</f>
        <v>0</v>
      </c>
      <c r="K203">
        <f>K201*304.92</f>
        <v>0</v>
      </c>
      <c r="L203">
        <f>L201*109.322</f>
        <v>0</v>
      </c>
      <c r="M203">
        <f>M201*-112.304</f>
        <v>0</v>
      </c>
      <c r="N203">
        <f>E203+F203+G203+H203+I203+J203+K203+L203</f>
        <v>0</v>
      </c>
      <c r="O203">
        <f>E203+F203+G203+H203+I203+J203+K203+M203</f>
        <v>0</v>
      </c>
    </row>
    <row r="204" spans="3:15">
      <c r="C204">
        <f>1.0</f>
        <v>0</v>
      </c>
      <c r="D204">
        <f>1.0</f>
        <v>0</v>
      </c>
      <c r="E204">
        <f>E201*5.425</f>
        <v>0</v>
      </c>
      <c r="F204">
        <f>F201*13.396</f>
        <v>0</v>
      </c>
      <c r="G204">
        <f>G201*1.6484999999999999</f>
        <v>0</v>
      </c>
      <c r="H204">
        <f>H201*0.0</f>
        <v>0</v>
      </c>
      <c r="I204">
        <f>I201*-0.03950000000000001</f>
        <v>0</v>
      </c>
      <c r="J204">
        <f>J201*-295.8985</f>
        <v>0</v>
      </c>
      <c r="K204">
        <f>K201*221.924</f>
        <v>0</v>
      </c>
      <c r="L204">
        <f>L201*82.757</f>
        <v>0</v>
      </c>
      <c r="M204">
        <f>M201*-68.344</f>
        <v>0</v>
      </c>
      <c r="N204">
        <f>E204+F204+G204+H204+I204+J204+K204+L204</f>
        <v>0</v>
      </c>
      <c r="O204">
        <f>E204+F204+G204+H204+I204+J204+K204+M204</f>
        <v>0</v>
      </c>
    </row>
    <row r="205" spans="3:15">
      <c r="C205">
        <f>2.0</f>
        <v>0</v>
      </c>
      <c r="D205">
        <f>2.0</f>
        <v>0</v>
      </c>
      <c r="E205">
        <f>E201*8.535</f>
        <v>0</v>
      </c>
      <c r="F205">
        <f>F201*22.2415</f>
        <v>0</v>
      </c>
      <c r="G205">
        <f>G201*2.721</f>
        <v>0</v>
      </c>
      <c r="H205">
        <f>H201*0.0</f>
        <v>0</v>
      </c>
      <c r="I205">
        <f>I201*-0.033</f>
        <v>0</v>
      </c>
      <c r="J205">
        <f>J201*-158.23749999999998</f>
        <v>0</v>
      </c>
      <c r="K205">
        <f>K201*118.678</f>
        <v>0</v>
      </c>
      <c r="L205">
        <f>L201*78.338</f>
        <v>0</v>
      </c>
      <c r="M205">
        <f>M201*-54.6075</f>
        <v>0</v>
      </c>
      <c r="N205">
        <f>E205+F205+G205+H205+I205+J205+K205+L205</f>
        <v>0</v>
      </c>
      <c r="O205">
        <f>E205+F205+G205+H205+I205+J205+K205+M205</f>
        <v>0</v>
      </c>
    </row>
    <row r="206" spans="3:15">
      <c r="C206">
        <f>3.0</f>
        <v>0</v>
      </c>
      <c r="D206">
        <f>3.0</f>
        <v>0</v>
      </c>
      <c r="E206">
        <f>E201*12.115</f>
        <v>0</v>
      </c>
      <c r="F206">
        <f>F201*25.1925</f>
        <v>0</v>
      </c>
      <c r="G206">
        <f>G201*2.949</f>
        <v>0</v>
      </c>
      <c r="H206">
        <f>H201*0.0</f>
        <v>0</v>
      </c>
      <c r="I206">
        <f>I201*-0.0335</f>
        <v>0</v>
      </c>
      <c r="J206">
        <f>J201*-42.737</f>
        <v>0</v>
      </c>
      <c r="K206">
        <f>K201*32.053</f>
        <v>0</v>
      </c>
      <c r="L206">
        <f>L201*87.71450000000002</f>
        <v>0</v>
      </c>
      <c r="M206">
        <f>M201*-62.739000000000004</f>
        <v>0</v>
      </c>
      <c r="N206">
        <f>E206+F206+G206+H206+I206+J206+K206+L206</f>
        <v>0</v>
      </c>
      <c r="O206">
        <f>E206+F206+G206+H206+I206+J206+K206+M206</f>
        <v>0</v>
      </c>
    </row>
    <row r="207" spans="3:15">
      <c r="C207">
        <f>4.0</f>
        <v>0</v>
      </c>
      <c r="D207">
        <f>4.0</f>
        <v>0</v>
      </c>
      <c r="E207">
        <f>E201*14.4875</f>
        <v>0</v>
      </c>
      <c r="F207">
        <f>F201*22.511499999999998</f>
        <v>0</v>
      </c>
      <c r="G207">
        <f>G201*2.4075</f>
        <v>0</v>
      </c>
      <c r="H207">
        <f>H201*0.0</f>
        <v>0</v>
      </c>
      <c r="I207">
        <f>I201*-0.034</f>
        <v>0</v>
      </c>
      <c r="J207">
        <f>J201*41.204499999999996</f>
        <v>0</v>
      </c>
      <c r="K207">
        <f>K201*-30.9035</f>
        <v>0</v>
      </c>
      <c r="L207">
        <f>L201*102.564</f>
        <v>0</v>
      </c>
      <c r="M207">
        <f>M201*-80.05850000000001</f>
        <v>0</v>
      </c>
      <c r="N207">
        <f>E207+F207+G207+H207+I207+J207+K207+L207</f>
        <v>0</v>
      </c>
      <c r="O207">
        <f>E207+F207+G207+H207+I207+J207+K207+M207</f>
        <v>0</v>
      </c>
    </row>
    <row r="208" spans="3:15">
      <c r="C208">
        <f>5.0</f>
        <v>0</v>
      </c>
      <c r="D208">
        <f>5.0</f>
        <v>0</v>
      </c>
      <c r="E208">
        <f>E201*8.304</f>
        <v>0</v>
      </c>
      <c r="F208">
        <f>F201*24.441499999999998</f>
        <v>0</v>
      </c>
      <c r="G208">
        <f>G201*3.1399999999999997</f>
        <v>0</v>
      </c>
      <c r="H208">
        <f>H201*0.0</f>
        <v>0</v>
      </c>
      <c r="I208">
        <f>I201*-0.035</f>
        <v>0</v>
      </c>
      <c r="J208">
        <f>J201*-18.413999999999994</f>
        <v>0</v>
      </c>
      <c r="K208">
        <f>K201*13.810500000000005</f>
        <v>0</v>
      </c>
      <c r="L208">
        <f>L201*114.3195</f>
        <v>0</v>
      </c>
      <c r="M208">
        <f>M201*-77.2825</f>
        <v>0</v>
      </c>
      <c r="N208">
        <f>E208+F208+G208+H208+I208+J208+K208+L208</f>
        <v>0</v>
      </c>
      <c r="O208">
        <f>E208+F208+G208+H208+I208+J208+K208+M208</f>
        <v>0</v>
      </c>
    </row>
    <row r="209" spans="3:15">
      <c r="C209">
        <f>6.0</f>
        <v>0</v>
      </c>
      <c r="D209">
        <f>6.0</f>
        <v>0</v>
      </c>
      <c r="E209">
        <f>E201*1.9289999999999998</f>
        <v>0</v>
      </c>
      <c r="F209">
        <f>F201*23.810499999999998</f>
        <v>0</v>
      </c>
      <c r="G209">
        <f>G201*3.4945</f>
        <v>0</v>
      </c>
      <c r="H209">
        <f>H201*0.0</f>
        <v>0</v>
      </c>
      <c r="I209">
        <f>I201*-0.035</f>
        <v>0</v>
      </c>
      <c r="J209">
        <f>J201*-89.45349999999999</f>
        <v>0</v>
      </c>
      <c r="K209">
        <f>K201*67.0895</f>
        <v>0</v>
      </c>
      <c r="L209">
        <f>L201*92.9485</f>
        <v>0</v>
      </c>
      <c r="M209">
        <f>M201*-57.485</f>
        <v>0</v>
      </c>
      <c r="N209">
        <f>E209+F209+G209+H209+I209+J209+K209+L209</f>
        <v>0</v>
      </c>
      <c r="O209">
        <f>E209+F209+G209+H209+I209+J209+K209+M209</f>
        <v>0</v>
      </c>
    </row>
    <row r="210" spans="3:15">
      <c r="C210">
        <f>7.0</f>
        <v>0</v>
      </c>
      <c r="D210">
        <f>7.0</f>
        <v>0</v>
      </c>
      <c r="E210">
        <f>E201*3.7645</f>
        <v>0</v>
      </c>
      <c r="F210">
        <f>F201*13.1715</f>
        <v>0</v>
      </c>
      <c r="G210">
        <f>G201*1.7770000000000001</f>
        <v>0</v>
      </c>
      <c r="H210">
        <f>H201*0.0</f>
        <v>0</v>
      </c>
      <c r="I210">
        <f>I201*-0.0345</f>
        <v>0</v>
      </c>
      <c r="J210">
        <f>J201*-44.0235</f>
        <v>0</v>
      </c>
      <c r="K210">
        <f>K201*33.0175</f>
        <v>0</v>
      </c>
      <c r="L210">
        <f>L201*88.459</f>
        <v>0</v>
      </c>
      <c r="M210">
        <f>M201*-70.97999999999999</f>
        <v>0</v>
      </c>
      <c r="N210">
        <f>E210+F210+G210+H210+I210+J210+K210+L210</f>
        <v>0</v>
      </c>
      <c r="O210">
        <f>E210+F210+G210+H210+I210+J210+K210+M210</f>
        <v>0</v>
      </c>
    </row>
    <row r="211" spans="3:15">
      <c r="C211">
        <f>8.0</f>
        <v>0</v>
      </c>
      <c r="D211">
        <f>8.0</f>
        <v>0</v>
      </c>
      <c r="E211">
        <f>E201*6.157</f>
        <v>0</v>
      </c>
      <c r="F211">
        <f>F201*2.2279999999999998</f>
        <v>0</v>
      </c>
      <c r="G211">
        <f>G201*-0.018000000000000016</f>
        <v>0</v>
      </c>
      <c r="H211">
        <f>H201*0.0</f>
        <v>0</v>
      </c>
      <c r="I211">
        <f>I201*-0.034</f>
        <v>0</v>
      </c>
      <c r="J211">
        <f>J201*4.925000000000001</f>
        <v>0</v>
      </c>
      <c r="K211">
        <f>K201*-3.6935000000000002</f>
        <v>0</v>
      </c>
      <c r="L211">
        <f>L201*90.5635</f>
        <v>0</v>
      </c>
      <c r="M211">
        <f>M201*-90.899</f>
        <v>0</v>
      </c>
      <c r="N211">
        <f>E211+F211+G211+H211+I211+J211+K211+L211</f>
        <v>0</v>
      </c>
      <c r="O211">
        <f>E211+F211+G211+H211+I211+J211+K211+M211</f>
        <v>0</v>
      </c>
    </row>
    <row r="212" spans="3:15">
      <c r="C212">
        <f>9.0</f>
        <v>0</v>
      </c>
      <c r="D212">
        <f>9.0</f>
        <v>0</v>
      </c>
      <c r="E212">
        <f>E201*8.995000000000001</f>
        <v>0</v>
      </c>
      <c r="F212">
        <f>F201*-9.970500000000001</f>
        <v>0</v>
      </c>
      <c r="G212">
        <f>G201*-2.039</f>
        <v>0</v>
      </c>
      <c r="H212">
        <f>H201*0.0</f>
        <v>0</v>
      </c>
      <c r="I212">
        <f>I201*-0.033</f>
        <v>0</v>
      </c>
      <c r="J212">
        <f>J201*34.422000000000004</f>
        <v>0</v>
      </c>
      <c r="K212">
        <f>K201*-25.816499999999998</f>
        <v>0</v>
      </c>
      <c r="L212">
        <f>L201*100.0085</f>
        <v>0</v>
      </c>
      <c r="M212">
        <f>M201*-121.405</f>
        <v>0</v>
      </c>
      <c r="N212">
        <f>E212+F212+G212+H212+I212+J212+K212+L212</f>
        <v>0</v>
      </c>
      <c r="O212">
        <f>E212+F212+G212+H212+I212+J212+K212+M212</f>
        <v>0</v>
      </c>
    </row>
    <row r="213" spans="3:15">
      <c r="C213">
        <f>10.0</f>
        <v>0</v>
      </c>
      <c r="D213">
        <f>10.0</f>
        <v>0</v>
      </c>
      <c r="E213">
        <f>E201*-0.16549999999999887</f>
        <v>0</v>
      </c>
      <c r="F213">
        <f>F201*-11.022499999999999</f>
        <v>0</v>
      </c>
      <c r="G213">
        <f>G201*-1.568</f>
        <v>0</v>
      </c>
      <c r="H213">
        <f>H201*0.0</f>
        <v>0</v>
      </c>
      <c r="I213">
        <f>I201*-0.0335</f>
        <v>0</v>
      </c>
      <c r="J213">
        <f>J201*-4.473499999999998</f>
        <v>0</v>
      </c>
      <c r="K213">
        <f>K201*3.3550000000000004</f>
        <v>0</v>
      </c>
      <c r="L213">
        <f>L201*116.1225</f>
        <v>0</v>
      </c>
      <c r="M213">
        <f>M201*-126.636</f>
        <v>0</v>
      </c>
      <c r="N213">
        <f>E213+F213+G213+H213+I213+J213+K213+L213</f>
        <v>0</v>
      </c>
      <c r="O213">
        <f>E213+F213+G213+H213+I213+J213+K213+M213</f>
        <v>0</v>
      </c>
    </row>
    <row r="214" spans="3:15">
      <c r="C214">
        <f>11.0</f>
        <v>0</v>
      </c>
      <c r="D214">
        <f>11.0</f>
        <v>0</v>
      </c>
      <c r="E214">
        <f>E201*-9.103000000000002</f>
        <v>0</v>
      </c>
      <c r="F214">
        <f>F201*-11.6405</f>
        <v>0</v>
      </c>
      <c r="G214">
        <f>G201*-1.0514999999999999</f>
        <v>0</v>
      </c>
      <c r="H214">
        <f>H201*0.0</f>
        <v>0</v>
      </c>
      <c r="I214">
        <f>I201*-0.033</f>
        <v>0</v>
      </c>
      <c r="J214">
        <f>J201*-45.614999999999995</f>
        <v>0</v>
      </c>
      <c r="K214">
        <f>K201*34.211</f>
        <v>0</v>
      </c>
      <c r="L214">
        <f>L201*97.98</f>
        <v>0</v>
      </c>
      <c r="M214">
        <f>M201*-103.391</f>
        <v>0</v>
      </c>
      <c r="N214">
        <f>E214+F214+G214+H214+I214+J214+K214+L214</f>
        <v>0</v>
      </c>
      <c r="O214">
        <f>E214+F214+G214+H214+I214+J214+K214+M214</f>
        <v>0</v>
      </c>
    </row>
    <row r="215" spans="3:15">
      <c r="C215">
        <f>12.0</f>
        <v>0</v>
      </c>
      <c r="D215">
        <f>12.0</f>
        <v>0</v>
      </c>
      <c r="E215">
        <f>E201*-5.5665</f>
        <v>0</v>
      </c>
      <c r="F215">
        <f>F201*-22.4025</f>
        <v>0</v>
      </c>
      <c r="G215">
        <f>G201*-2.9175</f>
        <v>0</v>
      </c>
      <c r="H215">
        <f>H201*0.0</f>
        <v>0</v>
      </c>
      <c r="I215">
        <f>I201*-0.033</f>
        <v>0</v>
      </c>
      <c r="J215">
        <f>J201*-23.07</f>
        <v>0</v>
      </c>
      <c r="K215">
        <f>K201*17.302500000000002</f>
        <v>0</v>
      </c>
      <c r="L215">
        <f>L201*90.2235</f>
        <v>0</v>
      </c>
      <c r="M215">
        <f>M201*-114.78999999999999</f>
        <v>0</v>
      </c>
      <c r="N215">
        <f>E215+F215+G215+H215+I215+J215+K215+L215</f>
        <v>0</v>
      </c>
      <c r="O215">
        <f>E215+F215+G215+H215+I215+J215+K215+M215</f>
        <v>0</v>
      </c>
    </row>
    <row r="216" spans="3:15">
      <c r="C216">
        <f>13.0</f>
        <v>0</v>
      </c>
      <c r="D216">
        <f>13.0</f>
        <v>0</v>
      </c>
      <c r="E216">
        <f>E201*-2.013</f>
        <v>0</v>
      </c>
      <c r="F216">
        <f>F201*-30.798000000000002</f>
        <v>0</v>
      </c>
      <c r="G216">
        <f>G201*-4.434</f>
        <v>0</v>
      </c>
      <c r="H216">
        <f>H201*0.0</f>
        <v>0</v>
      </c>
      <c r="I216">
        <f>I201*-0.0345</f>
        <v>0</v>
      </c>
      <c r="J216">
        <f>J201*14.9025</f>
        <v>0</v>
      </c>
      <c r="K216">
        <f>K201*-11.177</f>
        <v>0</v>
      </c>
      <c r="L216">
        <f>L201*93.1825</f>
        <v>0</v>
      </c>
      <c r="M216">
        <f>M201*-131.282</f>
        <v>0</v>
      </c>
      <c r="N216">
        <f>E216+F216+G216+H216+I216+J216+K216+L216</f>
        <v>0</v>
      </c>
      <c r="O216">
        <f>E216+F216+G216+H216+I216+J216+K216+M216</f>
        <v>0</v>
      </c>
    </row>
    <row r="217" spans="3:15">
      <c r="C217">
        <f>14.0</f>
        <v>0</v>
      </c>
      <c r="D217">
        <f>14.0</f>
        <v>0</v>
      </c>
      <c r="E217">
        <f>E201*1.6929999999999998</f>
        <v>0</v>
      </c>
      <c r="F217">
        <f>F201*-36.6905</f>
        <v>0</v>
      </c>
      <c r="G217">
        <f>G201*-5.612</f>
        <v>0</v>
      </c>
      <c r="H217">
        <f>H201*0.0</f>
        <v>0</v>
      </c>
      <c r="I217">
        <f>I201*-0.038000000000000006</f>
        <v>0</v>
      </c>
      <c r="J217">
        <f>J201*43.4295</f>
        <v>0</v>
      </c>
      <c r="K217">
        <f>K201*-32.572</f>
        <v>0</v>
      </c>
      <c r="L217">
        <f>L201*100.868</f>
        <v>0</v>
      </c>
      <c r="M217">
        <f>M201*-154.4385</f>
        <v>0</v>
      </c>
      <c r="N217">
        <f>E217+F217+G217+H217+I217+J217+K217+L217</f>
        <v>0</v>
      </c>
      <c r="O217">
        <f>E217+F217+G217+H217+I217+J217+K217+M217</f>
        <v>0</v>
      </c>
    </row>
    <row r="218" spans="3:15">
      <c r="C218">
        <f>15.0</f>
        <v>0</v>
      </c>
      <c r="D218">
        <f>15.0</f>
        <v>0</v>
      </c>
      <c r="E218">
        <f>E201*-5.9455</f>
        <v>0</v>
      </c>
      <c r="F218">
        <f>F201*-41.971000000000004</f>
        <v>0</v>
      </c>
      <c r="G218">
        <f>G201*-5.816000000000001</f>
        <v>0</v>
      </c>
      <c r="H218">
        <f>H201*0.0</f>
        <v>0</v>
      </c>
      <c r="I218">
        <f>I201*-0.033</f>
        <v>0</v>
      </c>
      <c r="J218">
        <f>J201*-6.973999999999997</f>
        <v>0</v>
      </c>
      <c r="K218">
        <f>K201*5.23</f>
        <v>0</v>
      </c>
      <c r="L218">
        <f>L201*116.128</f>
        <v>0</v>
      </c>
      <c r="M218">
        <f>M201*-163.7915</f>
        <v>0</v>
      </c>
      <c r="N218">
        <f>E218+F218+G218+H218+I218+J218+K218+L218</f>
        <v>0</v>
      </c>
      <c r="O218">
        <f>E218+F218+G218+H218+I218+J218+K218+M218</f>
        <v>0</v>
      </c>
    </row>
    <row r="219" spans="3:15">
      <c r="C219">
        <f>15.91</f>
        <v>0</v>
      </c>
      <c r="D219">
        <f>15.91</f>
        <v>0</v>
      </c>
      <c r="E219">
        <f>E201*-13.5045</f>
        <v>0</v>
      </c>
      <c r="F219">
        <f>F201*-42.943000000000005</f>
        <v>0</v>
      </c>
      <c r="G219">
        <f>G201*-5.388999999999999</f>
        <v>0</v>
      </c>
      <c r="H219">
        <f>H201*0.0</f>
        <v>0</v>
      </c>
      <c r="I219">
        <f>I201*-0.0275</f>
        <v>0</v>
      </c>
      <c r="J219">
        <f>J201*-50.913</f>
        <v>0</v>
      </c>
      <c r="K219">
        <f>K201*38.185</f>
        <v>0</v>
      </c>
      <c r="L219">
        <f>L201*103.29299999999999</f>
        <v>0</v>
      </c>
      <c r="M219">
        <f>M201*-139.92149999999998</f>
        <v>0</v>
      </c>
      <c r="N219">
        <f>E219+F219+G219+H219+I219+J219+K219+L219</f>
        <v>0</v>
      </c>
      <c r="O219">
        <f>E219+F219+G219+H219+I219+J219+K219+M219</f>
        <v>0</v>
      </c>
    </row>
    <row r="220" spans="3:15">
      <c r="C220">
        <f>16.82</f>
        <v>0</v>
      </c>
      <c r="D220">
        <f>16.82</f>
        <v>0</v>
      </c>
      <c r="E220">
        <f>E201*-8.9555</f>
        <v>0</v>
      </c>
      <c r="F220">
        <f>F201*-35.0335</f>
        <v>0</v>
      </c>
      <c r="G220">
        <f>G201*-4.6080000000000005</f>
        <v>0</v>
      </c>
      <c r="H220">
        <f>H201*0.0</f>
        <v>0</v>
      </c>
      <c r="I220">
        <f>I201*-0.034</f>
        <v>0</v>
      </c>
      <c r="J220">
        <f>J201*-0.41799999999999926</f>
        <v>0</v>
      </c>
      <c r="K220">
        <f>K201*0.3129999999999997</f>
        <v>0</v>
      </c>
      <c r="L220">
        <f>L201*96.29849999999999</f>
        <v>0</v>
      </c>
      <c r="M220">
        <f>M201*-138.1295</f>
        <v>0</v>
      </c>
      <c r="N220">
        <f>E220+F220+G220+H220+I220+J220+K220+L220</f>
        <v>0</v>
      </c>
      <c r="O220">
        <f>E220+F220+G220+H220+I220+J220+K220+M220</f>
        <v>0</v>
      </c>
    </row>
    <row r="221" spans="3:15">
      <c r="C221">
        <f>17.73</f>
        <v>0</v>
      </c>
      <c r="D221">
        <f>17.73</f>
        <v>0</v>
      </c>
      <c r="E221">
        <f>E201*-3.6674999999999995</f>
        <v>0</v>
      </c>
      <c r="F221">
        <f>F201*-19.1635</f>
        <v>0</v>
      </c>
      <c r="G221">
        <f>G201*-2.706</f>
        <v>0</v>
      </c>
      <c r="H221">
        <f>H201*0.0</f>
        <v>0</v>
      </c>
      <c r="I221">
        <f>I201*-0.045</f>
        <v>0</v>
      </c>
      <c r="J221">
        <f>J201*79.886</f>
        <v>0</v>
      </c>
      <c r="K221">
        <f>K201*-59.914500000000004</f>
        <v>0</v>
      </c>
      <c r="L221">
        <f>L201*100.01599999999999</f>
        <v>0</v>
      </c>
      <c r="M221">
        <f>M201*-129.768</f>
        <v>0</v>
      </c>
      <c r="N221">
        <f>E221+F221+G221+H221+I221+J221+K221+L221</f>
        <v>0</v>
      </c>
      <c r="O221">
        <f>E221+F221+G221+H221+I221+J221+K221+M221</f>
        <v>0</v>
      </c>
    </row>
    <row r="222" spans="3:15">
      <c r="C222">
        <f>18.64</f>
        <v>0</v>
      </c>
      <c r="D222">
        <f>18.64</f>
        <v>0</v>
      </c>
      <c r="E222">
        <f>E201*2.5214999999999996</f>
        <v>0</v>
      </c>
      <c r="F222">
        <f>F201*10.918</f>
        <v>0</v>
      </c>
      <c r="G222">
        <f>G201*1.145</f>
        <v>0</v>
      </c>
      <c r="H222">
        <f>H201*0.0</f>
        <v>0</v>
      </c>
      <c r="I222">
        <f>I201*-0.0745</f>
        <v>0</v>
      </c>
      <c r="J222">
        <f>J201*178.2985</f>
        <v>0</v>
      </c>
      <c r="K222">
        <f>K201*-133.724</f>
        <v>0</v>
      </c>
      <c r="L222">
        <f>L201*119.27599999999998</f>
        <v>0</v>
      </c>
      <c r="M222">
        <f>M201*-116.8725</f>
        <v>0</v>
      </c>
      <c r="N222">
        <f>E222+F222+G222+H222+I222+J222+K222+L222</f>
        <v>0</v>
      </c>
      <c r="O222">
        <f>E222+F222+G222+H222+I222+J222+K222+M222</f>
        <v>0</v>
      </c>
    </row>
    <row r="223" spans="3:15">
      <c r="C223">
        <f>19.55</f>
        <v>0</v>
      </c>
      <c r="D223">
        <f>19.55</f>
        <v>0</v>
      </c>
      <c r="E223">
        <f>E201*2.9545</f>
        <v>0</v>
      </c>
      <c r="F223">
        <f>F201*14.42</f>
        <v>0</v>
      </c>
      <c r="G223">
        <f>G201*1.7325</f>
        <v>0</v>
      </c>
      <c r="H223">
        <f>H201*0.0</f>
        <v>0</v>
      </c>
      <c r="I223">
        <f>I201*-0.0465</f>
        <v>0</v>
      </c>
      <c r="J223">
        <f>J201*115.654</f>
        <v>0</v>
      </c>
      <c r="K223">
        <f>K201*-86.74050000000001</f>
        <v>0</v>
      </c>
      <c r="L223">
        <f>L201*80.2775</f>
        <v>0</v>
      </c>
      <c r="M223">
        <f>M201*-73.661</f>
        <v>0</v>
      </c>
      <c r="N223">
        <f>E223+F223+G223+H223+I223+J223+K223+L223</f>
        <v>0</v>
      </c>
      <c r="O223">
        <f>E223+F223+G223+H223+I223+J223+K223+M223</f>
        <v>0</v>
      </c>
    </row>
    <row r="224" spans="3:15">
      <c r="C224">
        <f>20.0</f>
        <v>0</v>
      </c>
      <c r="D224">
        <f>20.0</f>
        <v>0</v>
      </c>
      <c r="E224">
        <f>E201*-1.2670000000000001</f>
        <v>0</v>
      </c>
      <c r="F224">
        <f>F201*-14.633</f>
        <v>0</v>
      </c>
      <c r="G224">
        <f>G201*-1.949</f>
        <v>0</v>
      </c>
      <c r="H224">
        <f>H201*0.0</f>
        <v>0</v>
      </c>
      <c r="I224">
        <f>I201*0.024</f>
        <v>0</v>
      </c>
      <c r="J224">
        <f>J201*-22.444000000000003</f>
        <v>0</v>
      </c>
      <c r="K224">
        <f>K201*16.833</f>
        <v>0</v>
      </c>
      <c r="L224">
        <f>L201*14.418</f>
        <v>0</v>
      </c>
      <c r="M224">
        <f>M201*-31.336</f>
        <v>0</v>
      </c>
      <c r="N224">
        <f>E224+F224+G224+H224+I224+J224+K224+L224</f>
        <v>0</v>
      </c>
      <c r="O224">
        <f>E224+F224+G224+H224+I224+J224+K224+M224</f>
        <v>0</v>
      </c>
    </row>
    <row r="225" spans="3:15">
      <c r="C225">
        <f>20.0</f>
        <v>0</v>
      </c>
      <c r="D225">
        <f>0.0</f>
        <v>0</v>
      </c>
      <c r="E225">
        <f>E201*1.287</f>
        <v>0</v>
      </c>
      <c r="F225">
        <f>F201*14.081</f>
        <v>0</v>
      </c>
      <c r="G225">
        <f>G201*1.869</f>
        <v>0</v>
      </c>
      <c r="H225">
        <f>H201*0.0</f>
        <v>0</v>
      </c>
      <c r="I225">
        <f>I201*0.0057009999999999995</f>
        <v>0</v>
      </c>
      <c r="J225">
        <f>J201*21.904</f>
        <v>0</v>
      </c>
      <c r="K225">
        <f>K201*-16.428</f>
        <v>0</v>
      </c>
      <c r="L225">
        <f>L201*32.74</f>
        <v>0</v>
      </c>
      <c r="M225">
        <f>M201*-15.93</f>
        <v>0</v>
      </c>
      <c r="N225">
        <f>E225+F225+G225+H225+I225+J225+K225+L225</f>
        <v>0</v>
      </c>
      <c r="O225">
        <f>E225+F225+G225+H225+I225+J225+K225+M225</f>
        <v>0</v>
      </c>
    </row>
    <row r="226" spans="3:15">
      <c r="C226">
        <f>20.45</f>
        <v>0</v>
      </c>
      <c r="D226">
        <f>0.45</f>
        <v>0</v>
      </c>
      <c r="E226">
        <f>E201*-3.092</f>
        <v>0</v>
      </c>
      <c r="F226">
        <f>F201*-18.241499999999995</f>
        <v>0</v>
      </c>
      <c r="G226">
        <f>G201*-2.2705</f>
        <v>0</v>
      </c>
      <c r="H226">
        <f>H201*0.0</f>
        <v>0</v>
      </c>
      <c r="I226">
        <f>I201*-1.0051495</f>
        <v>0</v>
      </c>
      <c r="J226">
        <f>J201*-115.729</f>
        <v>0</v>
      </c>
      <c r="K226">
        <f>K201*86.79700000000001</f>
        <v>0</v>
      </c>
      <c r="L226">
        <f>L201*34.37650000000001</f>
        <v>0</v>
      </c>
      <c r="M226">
        <f>M201*-46.443</f>
        <v>0</v>
      </c>
      <c r="N226">
        <f>E226+F226+G226+H226+I226+J226+K226+L226</f>
        <v>0</v>
      </c>
      <c r="O226">
        <f>E226+F226+G226+H226+I226+J226+K226+M226</f>
        <v>0</v>
      </c>
    </row>
    <row r="227" spans="3:15">
      <c r="C227">
        <f>21.36</f>
        <v>0</v>
      </c>
      <c r="D227">
        <f>1.36</f>
        <v>0</v>
      </c>
      <c r="E227">
        <f>E201*-2.903</f>
        <v>0</v>
      </c>
      <c r="F227">
        <f>F201*-18.6565</f>
        <v>0</v>
      </c>
      <c r="G227">
        <f>G201*-2.2279999999999998</f>
        <v>0</v>
      </c>
      <c r="H227">
        <f>H201*0.0</f>
        <v>0</v>
      </c>
      <c r="I227">
        <f>I201*-1.876</f>
        <v>0</v>
      </c>
      <c r="J227">
        <f>J201*-177.2955</f>
        <v>0</v>
      </c>
      <c r="K227">
        <f>K201*132.9715</f>
        <v>0</v>
      </c>
      <c r="L227">
        <f>L201*24.569499999999998</f>
        <v>0</v>
      </c>
      <c r="M227">
        <f>M201*-37.727</f>
        <v>0</v>
      </c>
      <c r="N227">
        <f>E227+F227+G227+H227+I227+J227+K227+L227</f>
        <v>0</v>
      </c>
      <c r="O227">
        <f>E227+F227+G227+H227+I227+J227+K227+M227</f>
        <v>0</v>
      </c>
    </row>
    <row r="228" spans="3:15">
      <c r="C228">
        <f>22.27</f>
        <v>0</v>
      </c>
      <c r="D228">
        <f>2.27</f>
        <v>0</v>
      </c>
      <c r="E228">
        <f>E201*3.146</f>
        <v>0</v>
      </c>
      <c r="F228">
        <f>F201*10.870000000000001</f>
        <v>0</v>
      </c>
      <c r="G228">
        <f>G201*1.5525000000000002</f>
        <v>0</v>
      </c>
      <c r="H228">
        <f>H201*0.0</f>
        <v>0</v>
      </c>
      <c r="I228">
        <f>I201*-1.9065</f>
        <v>0</v>
      </c>
      <c r="J228">
        <f>J201*-77.5865</f>
        <v>0</v>
      </c>
      <c r="K228">
        <f>K201*58.19</f>
        <v>0</v>
      </c>
      <c r="L228">
        <f>L201*41.358000000000004</f>
        <v>0</v>
      </c>
      <c r="M228">
        <f>M201*-20.482</f>
        <v>0</v>
      </c>
      <c r="N228">
        <f>E228+F228+G228+H228+I228+J228+K228+L228</f>
        <v>0</v>
      </c>
      <c r="O228">
        <f>E228+F228+G228+H228+I228+J228+K228+M228</f>
        <v>0</v>
      </c>
    </row>
    <row r="229" spans="3:15">
      <c r="C229">
        <f>23.18</f>
        <v>0</v>
      </c>
      <c r="D229">
        <f>3.18</f>
        <v>0</v>
      </c>
      <c r="E229">
        <f>E201*8.326</f>
        <v>0</v>
      </c>
      <c r="F229">
        <f>F201*26.171499999999998</f>
        <v>0</v>
      </c>
      <c r="G229">
        <f>G201*3.3810000000000002</f>
        <v>0</v>
      </c>
      <c r="H229">
        <f>H201*0.0</f>
        <v>0</v>
      </c>
      <c r="I229">
        <f>I201*-2.1835000000000004</f>
        <v>0</v>
      </c>
      <c r="J229">
        <f>J201*3.6835000000000013</f>
        <v>0</v>
      </c>
      <c r="K229">
        <f>K201*-2.7625</f>
        <v>0</v>
      </c>
      <c r="L229">
        <f>L201*51.735</f>
        <v>0</v>
      </c>
      <c r="M229">
        <f>M201*-22.756</f>
        <v>0</v>
      </c>
      <c r="N229">
        <f>E229+F229+G229+H229+I229+J229+K229+L229</f>
        <v>0</v>
      </c>
      <c r="O229">
        <f>E229+F229+G229+H229+I229+J229+K229+M229</f>
        <v>0</v>
      </c>
    </row>
    <row r="230" spans="3:15">
      <c r="C230">
        <f>24.09</f>
        <v>0</v>
      </c>
      <c r="D230">
        <f>4.09</f>
        <v>0</v>
      </c>
      <c r="E230">
        <f>E201*12.762999999999998</f>
        <v>0</v>
      </c>
      <c r="F230">
        <f>F201*33.932</f>
        <v>0</v>
      </c>
      <c r="G230">
        <f>G201*4.1485</f>
        <v>0</v>
      </c>
      <c r="H230">
        <f>H201*0.0</f>
        <v>0</v>
      </c>
      <c r="I230">
        <f>I201*-2.5655</f>
        <v>0</v>
      </c>
      <c r="J230">
        <f>J201*55.474999999999994</f>
        <v>0</v>
      </c>
      <c r="K230">
        <f>K201*-41.6065</f>
        <v>0</v>
      </c>
      <c r="L230">
        <f>L201*60.3825</f>
        <v>0</v>
      </c>
      <c r="M230">
        <f>M201*-37.471</f>
        <v>0</v>
      </c>
      <c r="N230">
        <f>E230+F230+G230+H230+I230+J230+K230+L230</f>
        <v>0</v>
      </c>
      <c r="O230">
        <f>E230+F230+G230+H230+I230+J230+K230+M230</f>
        <v>0</v>
      </c>
    </row>
    <row r="231" spans="3:15">
      <c r="C231">
        <f>25.0</f>
        <v>0</v>
      </c>
      <c r="D231">
        <f>5.0</f>
        <v>0</v>
      </c>
      <c r="E231">
        <f>E201*5.342500000000001</f>
        <v>0</v>
      </c>
      <c r="F231">
        <f>F201*31.8405</f>
        <v>0</v>
      </c>
      <c r="G231">
        <f>G201*4.406499999999999</f>
        <v>0</v>
      </c>
      <c r="H231">
        <f>H201*0.0</f>
        <v>0</v>
      </c>
      <c r="I231">
        <f>I201*-2.676</f>
        <v>0</v>
      </c>
      <c r="J231">
        <f>J201*9.165000000000003</f>
        <v>0</v>
      </c>
      <c r="K231">
        <f>K201*-6.873999999999999</f>
        <v>0</v>
      </c>
      <c r="L231">
        <f>L201*86.10400000000001</f>
        <v>0</v>
      </c>
      <c r="M231">
        <f>M201*-52.8885</f>
        <v>0</v>
      </c>
      <c r="N231">
        <f>E231+F231+G231+H231+I231+J231+K231+L231</f>
        <v>0</v>
      </c>
      <c r="O231">
        <f>E231+F231+G231+H231+I231+J231+K231+M231</f>
        <v>0</v>
      </c>
    </row>
    <row r="232" spans="3:15">
      <c r="C232">
        <f>26.0</f>
        <v>0</v>
      </c>
      <c r="D232">
        <f>6.0</f>
        <v>0</v>
      </c>
      <c r="E232">
        <f>E201*-2.118</f>
        <v>0</v>
      </c>
      <c r="F232">
        <f>F201*25.604</f>
        <v>0</v>
      </c>
      <c r="G232">
        <f>G201*4.0545</f>
        <v>0</v>
      </c>
      <c r="H232">
        <f>H201*0.0</f>
        <v>0</v>
      </c>
      <c r="I232">
        <f>I201*-2.8329999999999997</f>
        <v>0</v>
      </c>
      <c r="J232">
        <f>J201*-44.010000000000005</f>
        <v>0</v>
      </c>
      <c r="K232">
        <f>K201*33.0075</f>
        <v>0</v>
      </c>
      <c r="L232">
        <f>L201*65.061</f>
        <v>0</v>
      </c>
      <c r="M232">
        <f>M201*-21.4025</f>
        <v>0</v>
      </c>
      <c r="N232">
        <f>E232+F232+G232+H232+I232+J232+K232+L232</f>
        <v>0</v>
      </c>
      <c r="O232">
        <f>E232+F232+G232+H232+I232+J232+K232+M232</f>
        <v>0</v>
      </c>
    </row>
    <row r="233" spans="3:15">
      <c r="C233">
        <f>27.0</f>
        <v>0</v>
      </c>
      <c r="D233">
        <f>7.0</f>
        <v>0</v>
      </c>
      <c r="E233">
        <f>E201*1.6225</f>
        <v>0</v>
      </c>
      <c r="F233">
        <f>F201*19.984</f>
        <v>0</v>
      </c>
      <c r="G233">
        <f>G201*2.9139999999999997</f>
        <v>0</v>
      </c>
      <c r="H233">
        <f>H201*0.0</f>
        <v>0</v>
      </c>
      <c r="I233">
        <f>I201*-3.3470000000000004</f>
        <v>0</v>
      </c>
      <c r="J233">
        <f>J201*-15.798</f>
        <v>0</v>
      </c>
      <c r="K233">
        <f>K201*11.8485</f>
        <v>0</v>
      </c>
      <c r="L233">
        <f>L201*42.5975</f>
        <v>0</v>
      </c>
      <c r="M233">
        <f>M201*-13.234</f>
        <v>0</v>
      </c>
      <c r="N233">
        <f>E233+F233+G233+H233+I233+J233+K233+L233</f>
        <v>0</v>
      </c>
      <c r="O233">
        <f>E233+F233+G233+H233+I233+J233+K233+M233</f>
        <v>0</v>
      </c>
    </row>
    <row r="234" spans="3:15">
      <c r="C234">
        <f>28.0</f>
        <v>0</v>
      </c>
      <c r="D234">
        <f>8.0</f>
        <v>0</v>
      </c>
      <c r="E234">
        <f>E201*5.346</f>
        <v>0</v>
      </c>
      <c r="F234">
        <f>F201*11.7155</f>
        <v>0</v>
      </c>
      <c r="G234">
        <f>G201*1.406</f>
        <v>0</v>
      </c>
      <c r="H234">
        <f>H201*0.0</f>
        <v>0</v>
      </c>
      <c r="I234">
        <f>I201*-3.8735</f>
        <v>0</v>
      </c>
      <c r="J234">
        <f>J201*20.067</f>
        <v>0</v>
      </c>
      <c r="K234">
        <f>K201*-15.050500000000001</f>
        <v>0</v>
      </c>
      <c r="L234">
        <f>L201*35.99</f>
        <v>0</v>
      </c>
      <c r="M234">
        <f>M201*-23.1625</f>
        <v>0</v>
      </c>
      <c r="N234">
        <f>E234+F234+G234+H234+I234+J234+K234+L234</f>
        <v>0</v>
      </c>
      <c r="O234">
        <f>E234+F234+G234+H234+I234+J234+K234+M234</f>
        <v>0</v>
      </c>
    </row>
    <row r="235" spans="3:15">
      <c r="C235">
        <f>29.0</f>
        <v>0</v>
      </c>
      <c r="D235">
        <f>9.0</f>
        <v>0</v>
      </c>
      <c r="E235">
        <f>E201*9.245999999999999</f>
        <v>0</v>
      </c>
      <c r="F235">
        <f>F201*1.0730000000000002</f>
        <v>0</v>
      </c>
      <c r="G235">
        <f>G201*-0.4675</f>
        <v>0</v>
      </c>
      <c r="H235">
        <f>H201*0.0</f>
        <v>0</v>
      </c>
      <c r="I235">
        <f>I201*-4.432</f>
        <v>0</v>
      </c>
      <c r="J235">
        <f>J201*38.093</f>
        <v>0</v>
      </c>
      <c r="K235">
        <f>K201*-28.569499999999998</f>
        <v>0</v>
      </c>
      <c r="L235">
        <f>L201*43.6905</f>
        <v>0</v>
      </c>
      <c r="M235">
        <f>M201*-53.900999999999996</f>
        <v>0</v>
      </c>
      <c r="N235">
        <f>E235+F235+G235+H235+I235+J235+K235+L235</f>
        <v>0</v>
      </c>
      <c r="O235">
        <f>E235+F235+G235+H235+I235+J235+K235+M235</f>
        <v>0</v>
      </c>
    </row>
    <row r="236" spans="3:15">
      <c r="C236">
        <f>30.0</f>
        <v>0</v>
      </c>
      <c r="D236">
        <f>10.0</f>
        <v>0</v>
      </c>
      <c r="E236">
        <f>E201*0.3119999999999994</f>
        <v>0</v>
      </c>
      <c r="F236">
        <f>F201*0.2965000000000009</f>
        <v>0</v>
      </c>
      <c r="G236">
        <f>G201*0.03100000000000014</f>
        <v>0</v>
      </c>
      <c r="H236">
        <f>H201*0.0</f>
        <v>0</v>
      </c>
      <c r="I236">
        <f>I201*-4.8855</f>
        <v>0</v>
      </c>
      <c r="J236">
        <f>J201*-2.5775000000000006</f>
        <v>0</v>
      </c>
      <c r="K236">
        <f>K201*1.9329999999999998</f>
        <v>0</v>
      </c>
      <c r="L236">
        <f>L201*71.42750000000001</f>
        <v>0</v>
      </c>
      <c r="M236">
        <f>M201*-72.492</f>
        <v>0</v>
      </c>
      <c r="N236">
        <f>E236+F236+G236+H236+I236+J236+K236+L236</f>
        <v>0</v>
      </c>
      <c r="O236">
        <f>E236+F236+G236+H236+I236+J236+K236+M236</f>
        <v>0</v>
      </c>
    </row>
    <row r="237" spans="3:15">
      <c r="C237">
        <f>31.0</f>
        <v>0</v>
      </c>
      <c r="D237">
        <f>11.0</f>
        <v>0</v>
      </c>
      <c r="E237">
        <f>E201*-8.616</f>
        <v>0</v>
      </c>
      <c r="F237">
        <f>F201*-0.7120000000000002</f>
        <v>0</v>
      </c>
      <c r="G237">
        <f>G201*0.49549999999999994</f>
        <v>0</v>
      </c>
      <c r="H237">
        <f>H201*0.0</f>
        <v>0</v>
      </c>
      <c r="I237">
        <f>I201*-5.073</f>
        <v>0</v>
      </c>
      <c r="J237">
        <f>J201*-43.515</f>
        <v>0</v>
      </c>
      <c r="K237">
        <f>K201*32.635999999999996</f>
        <v>0</v>
      </c>
      <c r="L237">
        <f>L201*47.007999999999996</f>
        <v>0</v>
      </c>
      <c r="M237">
        <f>M201*-40.566500000000005</f>
        <v>0</v>
      </c>
      <c r="N237">
        <f>E237+F237+G237+H237+I237+J237+K237+L237</f>
        <v>0</v>
      </c>
      <c r="O237">
        <f>E237+F237+G237+H237+I237+J237+K237+M237</f>
        <v>0</v>
      </c>
    </row>
    <row r="238" spans="3:15">
      <c r="C238">
        <f>32.0</f>
        <v>0</v>
      </c>
      <c r="D238">
        <f>12.0</f>
        <v>0</v>
      </c>
      <c r="E238">
        <f>E201*-4.7010000000000005</f>
        <v>0</v>
      </c>
      <c r="F238">
        <f>F201*-12.0905</f>
        <v>0</v>
      </c>
      <c r="G238">
        <f>G201*-1.487</f>
        <v>0</v>
      </c>
      <c r="H238">
        <f>H201*0.0</f>
        <v>0</v>
      </c>
      <c r="I238">
        <f>I201*-4.789</f>
        <v>0</v>
      </c>
      <c r="J238">
        <f>J201*-26.312</f>
        <v>0</v>
      </c>
      <c r="K238">
        <f>K201*19.734</f>
        <v>0</v>
      </c>
      <c r="L238">
        <f>L201*22.026</f>
        <v>0</v>
      </c>
      <c r="M238">
        <f>M201*-40.4775</f>
        <v>0</v>
      </c>
      <c r="N238">
        <f>E238+F238+G238+H238+I238+J238+K238+L238</f>
        <v>0</v>
      </c>
      <c r="O238">
        <f>E238+F238+G238+H238+I238+J238+K238+M238</f>
        <v>0</v>
      </c>
    </row>
    <row r="239" spans="3:15">
      <c r="C239">
        <f>33.0</f>
        <v>0</v>
      </c>
      <c r="D239">
        <f>13.0</f>
        <v>0</v>
      </c>
      <c r="E239">
        <f>E201*-0.9595</f>
        <v>0</v>
      </c>
      <c r="F239">
        <f>F201*-21.5735</f>
        <v>0</v>
      </c>
      <c r="G239">
        <f>G201*-3.174</f>
        <v>0</v>
      </c>
      <c r="H239">
        <f>H201*0.0</f>
        <v>0</v>
      </c>
      <c r="I239">
        <f>I201*-3.7335</f>
        <v>0</v>
      </c>
      <c r="J239">
        <f>J201*8.253</f>
        <v>0</v>
      </c>
      <c r="K239">
        <f>K201*-6.1899999999999995</f>
        <v>0</v>
      </c>
      <c r="L239">
        <f>L201*21.506</f>
        <v>0</v>
      </c>
      <c r="M239">
        <f>M201*-55.552499999999995</f>
        <v>0</v>
      </c>
      <c r="N239">
        <f>E239+F239+G239+H239+I239+J239+K239+L239</f>
        <v>0</v>
      </c>
      <c r="O239">
        <f>E239+F239+G239+H239+I239+J239+K239+M239</f>
        <v>0</v>
      </c>
    </row>
    <row r="240" spans="3:15">
      <c r="C240">
        <f>34.0</f>
        <v>0</v>
      </c>
      <c r="D240">
        <f>14.0</f>
        <v>0</v>
      </c>
      <c r="E240">
        <f>E201*2.7880000000000003</f>
        <v>0</v>
      </c>
      <c r="F240">
        <f>F201*-29.2015</f>
        <v>0</v>
      </c>
      <c r="G240">
        <f>G201*-4.609</f>
        <v>0</v>
      </c>
      <c r="H240">
        <f>H201*0.0</f>
        <v>0</v>
      </c>
      <c r="I240">
        <f>I201*-1.0105000000000002</f>
        <v>0</v>
      </c>
      <c r="J240">
        <f>J201*34.519999999999996</f>
        <v>0</v>
      </c>
      <c r="K240">
        <f>K201*-25.8905</f>
        <v>0</v>
      </c>
      <c r="L240">
        <f>L201*32.968999999999994</f>
        <v>0</v>
      </c>
      <c r="M240">
        <f>M201*-79.4645</f>
        <v>0</v>
      </c>
      <c r="N240">
        <f>E240+F240+G240+H240+I240+J240+K240+L240</f>
        <v>0</v>
      </c>
      <c r="O240">
        <f>E240+F240+G240+H240+I240+J240+K240+M240</f>
        <v>0</v>
      </c>
    </row>
    <row r="241" spans="3:15">
      <c r="C241">
        <f>35.0</f>
        <v>0</v>
      </c>
      <c r="D241">
        <f>15.0</f>
        <v>0</v>
      </c>
      <c r="E241">
        <f>E201*-4.6625000000000005</f>
        <v>0</v>
      </c>
      <c r="F241">
        <f>F201*-33.1695</f>
        <v>0</v>
      </c>
      <c r="G241">
        <f>G201*-4.628500000000001</f>
        <v>0</v>
      </c>
      <c r="H241">
        <f>H201*0.0</f>
        <v>0</v>
      </c>
      <c r="I241">
        <f>I201*-5.238</f>
        <v>0</v>
      </c>
      <c r="J241">
        <f>J201*-16.634500000000003</f>
        <v>0</v>
      </c>
      <c r="K241">
        <f>K201*12.475499999999997</f>
        <v>0</v>
      </c>
      <c r="L241">
        <f>L201*58.161500000000004</f>
        <v>0</v>
      </c>
      <c r="M241">
        <f>M201*-96.65</f>
        <v>0</v>
      </c>
      <c r="N241">
        <f>E241+F241+G241+H241+I241+J241+K241+L241</f>
        <v>0</v>
      </c>
      <c r="O241">
        <f>E241+F241+G241+H241+I241+J241+K241+M241</f>
        <v>0</v>
      </c>
    </row>
    <row r="242" spans="3:15">
      <c r="C242">
        <f>35.91</f>
        <v>0</v>
      </c>
      <c r="D242">
        <f>15.91</f>
        <v>0</v>
      </c>
      <c r="E242">
        <f>E201*-12.127500000000001</f>
        <v>0</v>
      </c>
      <c r="F242">
        <f>F201*-33.2015</f>
        <v>0</v>
      </c>
      <c r="G242">
        <f>G201*-4.0665000000000004</f>
        <v>0</v>
      </c>
      <c r="H242">
        <f>H201*0.0</f>
        <v>0</v>
      </c>
      <c r="I242">
        <f>I201*-8.6935</f>
        <v>0</v>
      </c>
      <c r="J242">
        <f>J201*-60.605500000000006</f>
        <v>0</v>
      </c>
      <c r="K242">
        <f>K201*45.454</f>
        <v>0</v>
      </c>
      <c r="L242">
        <f>L201*36.040000000000006</f>
        <v>0</v>
      </c>
      <c r="M242">
        <f>M201*-69.4595</f>
        <v>0</v>
      </c>
      <c r="N242">
        <f>E242+F242+G242+H242+I242+J242+K242+L242</f>
        <v>0</v>
      </c>
      <c r="O242">
        <f>E242+F242+G242+H242+I242+J242+K242+M242</f>
        <v>0</v>
      </c>
    </row>
    <row r="243" spans="3:15">
      <c r="C243">
        <f>36.82</f>
        <v>0</v>
      </c>
      <c r="D243">
        <f>16.82</f>
        <v>0</v>
      </c>
      <c r="E243">
        <f>E201*-7.863999999999999</f>
        <v>0</v>
      </c>
      <c r="F243">
        <f>F201*-28.650999999999996</f>
        <v>0</v>
      </c>
      <c r="G243">
        <f>G201*-3.763</f>
        <v>0</v>
      </c>
      <c r="H243">
        <f>H201*0.0</f>
        <v>0</v>
      </c>
      <c r="I243">
        <f>I201*-2.4154999999999998</f>
        <v>0</v>
      </c>
      <c r="J243">
        <f>J201*-10.215</f>
        <v>0</v>
      </c>
      <c r="K243">
        <f>K201*7.6615</f>
        <v>0</v>
      </c>
      <c r="L243">
        <f>L201*25.11</f>
        <v>0</v>
      </c>
      <c r="M243">
        <f>M201*-64.5875</f>
        <v>0</v>
      </c>
      <c r="N243">
        <f>E243+F243+G243+H243+I243+J243+K243+L243</f>
        <v>0</v>
      </c>
      <c r="O243">
        <f>E243+F243+G243+H243+I243+J243+K243+M243</f>
        <v>0</v>
      </c>
    </row>
    <row r="244" spans="3:15">
      <c r="C244">
        <f>37.73</f>
        <v>0</v>
      </c>
      <c r="D244">
        <f>17.73</f>
        <v>0</v>
      </c>
      <c r="E244">
        <f>E201*-2.972</f>
        <v>0</v>
      </c>
      <c r="F244">
        <f>F201*-16.905</f>
        <v>0</v>
      </c>
      <c r="G244">
        <f>G201*-2.4450000000000003</f>
        <v>0</v>
      </c>
      <c r="H244">
        <f>H201*0.0</f>
        <v>0</v>
      </c>
      <c r="I244">
        <f>I201*6.263999999999999</f>
        <v>0</v>
      </c>
      <c r="J244">
        <f>J201*70.3785</f>
        <v>0</v>
      </c>
      <c r="K244">
        <f>K201*-52.784</f>
        <v>0</v>
      </c>
      <c r="L244">
        <f>L201*29.3185</f>
        <v>0</v>
      </c>
      <c r="M244">
        <f>M201*-56.0525</f>
        <v>0</v>
      </c>
      <c r="N244">
        <f>E244+F244+G244+H244+I244+J244+K244+L244</f>
        <v>0</v>
      </c>
      <c r="O244">
        <f>E244+F244+G244+H244+I244+J244+K244+M244</f>
        <v>0</v>
      </c>
    </row>
    <row r="245" spans="3:15">
      <c r="C245">
        <f>38.64</f>
        <v>0</v>
      </c>
      <c r="D245">
        <f>18.64</f>
        <v>0</v>
      </c>
      <c r="E245">
        <f>E201*2.6125000000000003</f>
        <v>0</v>
      </c>
      <c r="F245">
        <f>F201*7.0385</f>
        <v>0</v>
      </c>
      <c r="G245">
        <f>G201*0.5335</f>
        <v>0</v>
      </c>
      <c r="H245">
        <f>H201*0.0</f>
        <v>0</v>
      </c>
      <c r="I245">
        <f>I201*24.2155</f>
        <v>0</v>
      </c>
      <c r="J245">
        <f>J201*169.06650000000002</f>
        <v>0</v>
      </c>
      <c r="K245">
        <f>K201*-126.8</f>
        <v>0</v>
      </c>
      <c r="L245">
        <f>L201*46.24549999999999</f>
        <v>0</v>
      </c>
      <c r="M245">
        <f>M201*-40.054500000000004</f>
        <v>0</v>
      </c>
      <c r="N245">
        <f>E245+F245+G245+H245+I245+J245+K245+L245</f>
        <v>0</v>
      </c>
      <c r="O245">
        <f>E245+F245+G245+H245+I245+J245+K245+M245</f>
        <v>0</v>
      </c>
    </row>
    <row r="246" spans="3:15">
      <c r="C246">
        <f>39.55</f>
        <v>0</v>
      </c>
      <c r="D246">
        <f>19.55</f>
        <v>0</v>
      </c>
      <c r="E246">
        <f>E201*2.8305000000000002</f>
        <v>0</v>
      </c>
      <c r="F246">
        <f>F201*10.790499999999998</f>
        <v>0</v>
      </c>
      <c r="G246">
        <f>G201*1.1864999999999999</f>
        <v>0</v>
      </c>
      <c r="H246">
        <f>H201*0.0</f>
        <v>0</v>
      </c>
      <c r="I246">
        <f>I201*17.224999999999998</f>
        <v>0</v>
      </c>
      <c r="J246">
        <f>J201*111.1335</f>
        <v>0</v>
      </c>
      <c r="K246">
        <f>K201*-83.35</f>
        <v>0</v>
      </c>
      <c r="L246">
        <f>L201*46.9345</f>
        <v>0</v>
      </c>
      <c r="M246">
        <f>M201*-34.694500000000005</f>
        <v>0</v>
      </c>
      <c r="N246">
        <f>E246+F246+G246+H246+I246+J246+K246+L246</f>
        <v>0</v>
      </c>
      <c r="O246">
        <f>E246+F246+G246+H246+I246+J246+K246+M246</f>
        <v>0</v>
      </c>
    </row>
    <row r="247" spans="3:15">
      <c r="C247">
        <f>40.0</f>
        <v>0</v>
      </c>
      <c r="D247">
        <f>20.0</f>
        <v>0</v>
      </c>
      <c r="E247">
        <f>E201*-0.9890000000000001</f>
        <v>0</v>
      </c>
      <c r="F247">
        <f>F201*-11.755999999999998</f>
        <v>0</v>
      </c>
      <c r="G247">
        <f>G201*-1.5390000000000001</f>
        <v>0</v>
      </c>
      <c r="H247">
        <f>H201*0.0</f>
        <v>0</v>
      </c>
      <c r="I247">
        <f>I201*-12.252</f>
        <v>0</v>
      </c>
      <c r="J247">
        <f>J201*-22.374000000000002</f>
        <v>0</v>
      </c>
      <c r="K247">
        <f>K201*16.781</f>
        <v>0</v>
      </c>
      <c r="L247">
        <f>L201*17.893</f>
        <v>0</v>
      </c>
      <c r="M247">
        <f>M201*-34.188</f>
        <v>0</v>
      </c>
      <c r="N247">
        <f>E247+F247+G247+H247+I247+J247+K247+L247</f>
        <v>0</v>
      </c>
      <c r="O247">
        <f>E247+F247+G247+H247+I247+J247+K247+M247</f>
        <v>0</v>
      </c>
    </row>
    <row r="248" spans="3:15">
      <c r="C248">
        <f>40.0</f>
        <v>0</v>
      </c>
      <c r="D248">
        <f>0.0</f>
        <v>0</v>
      </c>
      <c r="E248">
        <f>E201*0.965</f>
        <v>0</v>
      </c>
      <c r="F248">
        <f>F201*9.417</f>
        <v>0</v>
      </c>
      <c r="G248">
        <f>G201*1.186</f>
        <v>0</v>
      </c>
      <c r="H248">
        <f>H201*0.0</f>
        <v>0</v>
      </c>
      <c r="I248">
        <f>I201*28.14</f>
        <v>0</v>
      </c>
      <c r="J248">
        <f>J201*15.585</f>
        <v>0</v>
      </c>
      <c r="K248">
        <f>K201*-11.689</f>
        <v>0</v>
      </c>
      <c r="L248">
        <f>L201*25.627</f>
        <v>0</v>
      </c>
      <c r="M248">
        <f>M201*-13.335</f>
        <v>0</v>
      </c>
      <c r="N248">
        <f>E248+F248+G248+H248+I248+J248+K248+L248</f>
        <v>0</v>
      </c>
      <c r="O248">
        <f>E248+F248+G248+H248+I248+J248+K248+M248</f>
        <v>0</v>
      </c>
    </row>
    <row r="249" spans="3:15">
      <c r="C249">
        <f>40.45</f>
        <v>0</v>
      </c>
      <c r="D249">
        <f>0.45</f>
        <v>0</v>
      </c>
      <c r="E249">
        <f>E201*-2.6285000000000003</f>
        <v>0</v>
      </c>
      <c r="F249">
        <f>F201*-17.119500000000002</f>
        <v>0</v>
      </c>
      <c r="G249">
        <f>G201*-2.1550000000000002</f>
        <v>0</v>
      </c>
      <c r="H249">
        <f>H201*0.0</f>
        <v>0</v>
      </c>
      <c r="I249">
        <f>I201*0.2505000000000006</f>
        <v>0</v>
      </c>
      <c r="J249">
        <f>J201*-130.9735</f>
        <v>0</v>
      </c>
      <c r="K249">
        <f>K201*98.23</f>
        <v>0</v>
      </c>
      <c r="L249">
        <f>L201*26.450499999999998</f>
        <v>0</v>
      </c>
      <c r="M249">
        <f>M201*-42.682</f>
        <v>0</v>
      </c>
      <c r="N249">
        <f>E249+F249+G249+H249+I249+J249+K249+L249</f>
        <v>0</v>
      </c>
      <c r="O249">
        <f>E249+F249+G249+H249+I249+J249+K249+M249</f>
        <v>0</v>
      </c>
    </row>
    <row r="250" spans="3:15">
      <c r="C250">
        <f>41.36</f>
        <v>0</v>
      </c>
      <c r="D250">
        <f>1.36</f>
        <v>0</v>
      </c>
      <c r="E250">
        <f>E201*-2.5375</f>
        <v>0</v>
      </c>
      <c r="F250">
        <f>F201*-23.964</f>
        <v>0</v>
      </c>
      <c r="G250">
        <f>G201*-3.0945</f>
        <v>0</v>
      </c>
      <c r="H250">
        <f>H201*0.0</f>
        <v>0</v>
      </c>
      <c r="I250">
        <f>I201*14.5205</f>
        <v>0</v>
      </c>
      <c r="J250">
        <f>J201*-213.9835</f>
        <v>0</v>
      </c>
      <c r="K250">
        <f>K201*160.488</f>
        <v>0</v>
      </c>
      <c r="L250">
        <f>L201*17.48</f>
        <v>0</v>
      </c>
      <c r="M250">
        <f>M201*-38.840999999999994</f>
        <v>0</v>
      </c>
      <c r="N250">
        <f>E250+F250+G250+H250+I250+J250+K250+L250</f>
        <v>0</v>
      </c>
      <c r="O250">
        <f>E250+F250+G250+H250+I250+J250+K250+M250</f>
        <v>0</v>
      </c>
    </row>
    <row r="251" spans="3:15">
      <c r="C251">
        <f>42.27</f>
        <v>0</v>
      </c>
      <c r="D251">
        <f>2.27</f>
        <v>0</v>
      </c>
      <c r="E251">
        <f>E201*2.0645</f>
        <v>0</v>
      </c>
      <c r="F251">
        <f>F201*-6.7075</f>
        <v>0</v>
      </c>
      <c r="G251">
        <f>G201*-1.0665</f>
        <v>0</v>
      </c>
      <c r="H251">
        <f>H201*0.0</f>
        <v>0</v>
      </c>
      <c r="I251">
        <f>I201*45.323</f>
        <v>0</v>
      </c>
      <c r="J251">
        <f>J201*-120.27250000000001</f>
        <v>0</v>
      </c>
      <c r="K251">
        <f>K201*90.2045</f>
        <v>0</v>
      </c>
      <c r="L251">
        <f>L201*21.847</f>
        <v>0</v>
      </c>
      <c r="M251">
        <f>M201*-27.2275</f>
        <v>0</v>
      </c>
      <c r="N251">
        <f>E251+F251+G251+H251+I251+J251+K251+L251</f>
        <v>0</v>
      </c>
      <c r="O251">
        <f>E251+F251+G251+H251+I251+J251+K251+M251</f>
        <v>0</v>
      </c>
    </row>
    <row r="252" spans="3:15">
      <c r="C252">
        <f>43.18</f>
        <v>0</v>
      </c>
      <c r="D252">
        <f>3.18</f>
        <v>0</v>
      </c>
      <c r="E252">
        <f>E201*5.6215</f>
        <v>0</v>
      </c>
      <c r="F252">
        <f>F201*1.706</f>
        <v>0</v>
      </c>
      <c r="G252">
        <f>G201*-0.17450000000000002</f>
        <v>0</v>
      </c>
      <c r="H252">
        <f>H201*0.0</f>
        <v>0</v>
      </c>
      <c r="I252">
        <f>I201*56.818</f>
        <v>0</v>
      </c>
      <c r="J252">
        <f>J201*-34.6995</f>
        <v>0</v>
      </c>
      <c r="K252">
        <f>K201*26.0245</f>
        <v>0</v>
      </c>
      <c r="L252">
        <f>L201*26.059</f>
        <v>0</v>
      </c>
      <c r="M252">
        <f>M201*-31.8885</f>
        <v>0</v>
      </c>
      <c r="N252">
        <f>E252+F252+G252+H252+I252+J252+K252+L252</f>
        <v>0</v>
      </c>
      <c r="O252">
        <f>E252+F252+G252+H252+I252+J252+K252+M252</f>
        <v>0</v>
      </c>
    </row>
    <row r="253" spans="3:15">
      <c r="C253">
        <f>44.09</f>
        <v>0</v>
      </c>
      <c r="D253">
        <f>4.09</f>
        <v>0</v>
      </c>
      <c r="E253">
        <f>E201*8.0275</f>
        <v>0</v>
      </c>
      <c r="F253">
        <f>F201*6.7204999999999995</f>
        <v>0</v>
      </c>
      <c r="G253">
        <f>G201*0.3005</f>
        <v>0</v>
      </c>
      <c r="H253">
        <f>H201*0.0</f>
        <v>0</v>
      </c>
      <c r="I253">
        <f>I201*66.2765</f>
        <v>0</v>
      </c>
      <c r="J253">
        <f>J201*33.986</f>
        <v>0</v>
      </c>
      <c r="K253">
        <f>K201*-25.4895</f>
        <v>0</v>
      </c>
      <c r="L253">
        <f>L201*35.213</f>
        <v>0</v>
      </c>
      <c r="M253">
        <f>M201*-46.84</f>
        <v>0</v>
      </c>
      <c r="N253">
        <f>E253+F253+G253+H253+I253+J253+K253+L253</f>
        <v>0</v>
      </c>
      <c r="O253">
        <f>E253+F253+G253+H253+I253+J253+K253+M253</f>
        <v>0</v>
      </c>
    </row>
    <row r="254" spans="3:15">
      <c r="C254">
        <f>45.0</f>
        <v>0</v>
      </c>
      <c r="D254">
        <f>5.0</f>
        <v>0</v>
      </c>
      <c r="E254">
        <f>E201*2.0260000000000002</f>
        <v>0</v>
      </c>
      <c r="F254">
        <f>F201*4.9835</f>
        <v>0</v>
      </c>
      <c r="G254">
        <f>G201*0.5265</f>
        <v>0</v>
      </c>
      <c r="H254">
        <f>H201*0.0</f>
        <v>0</v>
      </c>
      <c r="I254">
        <f>I201*7.162999999999997</f>
        <v>0</v>
      </c>
      <c r="J254">
        <f>J201*-36.00949999999999</f>
        <v>0</v>
      </c>
      <c r="K254">
        <f>K201*27.006999999999998</f>
        <v>0</v>
      </c>
      <c r="L254">
        <f>L201*59.5595</f>
        <v>0</v>
      </c>
      <c r="M254">
        <f>M201*-57.645</f>
        <v>0</v>
      </c>
      <c r="N254">
        <f>E254+F254+G254+H254+I254+J254+K254+L254</f>
        <v>0</v>
      </c>
      <c r="O254">
        <f>E254+F254+G254+H254+I254+J254+K254+M254</f>
        <v>0</v>
      </c>
    </row>
    <row r="255" spans="3:15">
      <c r="C255">
        <f>46.0</f>
        <v>0</v>
      </c>
      <c r="D255">
        <f>6.0</f>
        <v>0</v>
      </c>
      <c r="E255">
        <f>E201*-4.223</f>
        <v>0</v>
      </c>
      <c r="F255">
        <f>F201*1.9120000000000001</f>
        <v>0</v>
      </c>
      <c r="G255">
        <f>G201*0.5855</f>
        <v>0</v>
      </c>
      <c r="H255">
        <f>H201*0.0</f>
        <v>0</v>
      </c>
      <c r="I255">
        <f>I201*-53.547000000000004</f>
        <v>0</v>
      </c>
      <c r="J255">
        <f>J201*-96.494</f>
        <v>0</v>
      </c>
      <c r="K255">
        <f>K201*72.37</f>
        <v>0</v>
      </c>
      <c r="L255">
        <f>L201*42.2195</f>
        <v>0</v>
      </c>
      <c r="M255">
        <f>M201*-29.142</f>
        <v>0</v>
      </c>
      <c r="N255">
        <f>E255+F255+G255+H255+I255+J255+K255+L255</f>
        <v>0</v>
      </c>
      <c r="O255">
        <f>E255+F255+G255+H255+I255+J255+K255+M255</f>
        <v>0</v>
      </c>
    </row>
    <row r="256" spans="3:15">
      <c r="C256">
        <f>47.0</f>
        <v>0</v>
      </c>
      <c r="D256">
        <f>7.0</f>
        <v>0</v>
      </c>
      <c r="E256">
        <f>E201*-2.8280000000000003</f>
        <v>0</v>
      </c>
      <c r="F256">
        <f>F201*2.1065</f>
        <v>0</v>
      </c>
      <c r="G256">
        <f>G201*0.483</f>
        <v>0</v>
      </c>
      <c r="H256">
        <f>H201*0.0</f>
        <v>0</v>
      </c>
      <c r="I256">
        <f>I201*-50.929500000000004</f>
        <v>0</v>
      </c>
      <c r="J256">
        <f>J201*-2.3945000000000007</f>
        <v>0</v>
      </c>
      <c r="K256">
        <f>K201*1.7954999999999988</f>
        <v>0</v>
      </c>
      <c r="L256">
        <f>L201*30.0535</f>
        <v>0</v>
      </c>
      <c r="M256">
        <f>M201*-28.235</f>
        <v>0</v>
      </c>
      <c r="N256">
        <f>E256+F256+G256+H256+I256+J256+K256+L256</f>
        <v>0</v>
      </c>
      <c r="O256">
        <f>E256+F256+G256+H256+I256+J256+K256+M256</f>
        <v>0</v>
      </c>
    </row>
    <row r="257" spans="3:15">
      <c r="C257">
        <f>48.0</f>
        <v>0</v>
      </c>
      <c r="D257">
        <f>8.0</f>
        <v>0</v>
      </c>
      <c r="E257">
        <f>E201*-0.944</f>
        <v>0</v>
      </c>
      <c r="F257">
        <f>F201*1.5394999999999999</f>
        <v>0</v>
      </c>
      <c r="G257">
        <f>G201*0.2765</f>
        <v>0</v>
      </c>
      <c r="H257">
        <f>H201*0.0</f>
        <v>0</v>
      </c>
      <c r="I257">
        <f>I201*-50.138000000000005</f>
        <v>0</v>
      </c>
      <c r="J257">
        <f>J201*121.97800000000001</f>
        <v>0</v>
      </c>
      <c r="K257">
        <f>K201*-91.4835</f>
        <v>0</v>
      </c>
      <c r="L257">
        <f>L201*29.3065</f>
        <v>0</v>
      </c>
      <c r="M257">
        <f>M201*-30.5975</f>
        <v>0</v>
      </c>
      <c r="N257">
        <f>E257+F257+G257+H257+I257+J257+K257+L257</f>
        <v>0</v>
      </c>
      <c r="O257">
        <f>E257+F257+G257+H257+I257+J257+K257+M257</f>
        <v>0</v>
      </c>
    </row>
    <row r="258" spans="3:15">
      <c r="C258">
        <f>49.0</f>
        <v>0</v>
      </c>
      <c r="D258">
        <f>9.0</f>
        <v>0</v>
      </c>
      <c r="E258">
        <f>E201*0.157</f>
        <v>0</v>
      </c>
      <c r="F258">
        <f>F201*1.371</f>
        <v>0</v>
      </c>
      <c r="G258">
        <f>G201*0.14150000000000001</f>
        <v>0</v>
      </c>
      <c r="H258">
        <f>H201*0.0</f>
        <v>0</v>
      </c>
      <c r="I258">
        <f>I201*-39.769000000000005</f>
        <v>0</v>
      </c>
      <c r="J258">
        <f>J201*264.6335</f>
        <v>0</v>
      </c>
      <c r="K258">
        <f>K201*-198.47500000000002</f>
        <v>0</v>
      </c>
      <c r="L258">
        <f>L201*32.686499999999995</f>
        <v>0</v>
      </c>
      <c r="M258">
        <f>M201*-34.806</f>
        <v>0</v>
      </c>
      <c r="N258">
        <f>E258+F258+G258+H258+I258+J258+K258+L258</f>
        <v>0</v>
      </c>
      <c r="O258">
        <f>E258+F258+G258+H258+I258+J258+K258+M258</f>
        <v>0</v>
      </c>
    </row>
    <row r="266" spans="3:15">
      <c r="C266" t="s">
        <v>0</v>
      </c>
      <c r="D266" t="s">
        <v>1</v>
      </c>
      <c r="E266" t="s">
        <v>2</v>
      </c>
      <c r="F266" t="s">
        <v>3</v>
      </c>
      <c r="G266" t="s">
        <v>4</v>
      </c>
      <c r="H266" t="s">
        <v>5</v>
      </c>
      <c r="I266" t="s">
        <v>6</v>
      </c>
      <c r="J266" t="s">
        <v>7</v>
      </c>
      <c r="K266" t="s">
        <v>8</v>
      </c>
      <c r="L266" t="s">
        <v>9</v>
      </c>
      <c r="M266" t="s">
        <v>10</v>
      </c>
      <c r="N266" t="s">
        <v>11</v>
      </c>
      <c r="O266" t="s">
        <v>12</v>
      </c>
    </row>
    <row r="267" spans="3:15">
      <c r="C267">
        <f>0.0</f>
        <v>0</v>
      </c>
      <c r="D267">
        <f>0.0</f>
        <v>0</v>
      </c>
      <c r="E267">
        <f>E265*22.498</f>
        <v>0</v>
      </c>
      <c r="F267">
        <f>F265*-48.223</f>
        <v>0</v>
      </c>
      <c r="G267">
        <f>G265*-8.831</f>
        <v>0</v>
      </c>
      <c r="H267">
        <f>H265*0.0</f>
        <v>0</v>
      </c>
      <c r="I267">
        <f>I265*0.06</f>
        <v>0</v>
      </c>
      <c r="J267">
        <f>J265*-122.413</f>
        <v>0</v>
      </c>
      <c r="K267">
        <f>K265*91.81</f>
        <v>0</v>
      </c>
      <c r="L267">
        <f>L265*164.467</f>
        <v>0</v>
      </c>
      <c r="M267">
        <f>M265*-252.771</f>
        <v>0</v>
      </c>
      <c r="N267">
        <f>E267+F267+G267+H267+I267+J267+K267+L267</f>
        <v>0</v>
      </c>
      <c r="O267">
        <f>E267+F267+G267+H267+I267+J267+K267+M267</f>
        <v>0</v>
      </c>
    </row>
    <row r="268" spans="3:15">
      <c r="C268">
        <f>1.0</f>
        <v>0</v>
      </c>
      <c r="D268">
        <f>1.0</f>
        <v>0</v>
      </c>
      <c r="E268">
        <f>E265*18.756999999999998</f>
        <v>0</v>
      </c>
      <c r="F268">
        <f>F265*-68.4395</f>
        <v>0</v>
      </c>
      <c r="G268">
        <f>G265*-11.5975</f>
        <v>0</v>
      </c>
      <c r="H268">
        <f>H265*0.0</f>
        <v>0</v>
      </c>
      <c r="I268">
        <f>I265*0.056999999999999995</f>
        <v>0</v>
      </c>
      <c r="J268">
        <f>J265*0.21749999999999758</f>
        <v>0</v>
      </c>
      <c r="K268">
        <f>K265*-0.1629999999999967</f>
        <v>0</v>
      </c>
      <c r="L268">
        <f>L265*148.2965</f>
        <v>0</v>
      </c>
      <c r="M268">
        <f>M265*-267.26</f>
        <v>0</v>
      </c>
      <c r="N268">
        <f>E268+F268+G268+H268+I268+J268+K268+L268</f>
        <v>0</v>
      </c>
      <c r="O268">
        <f>E268+F268+G268+H268+I268+J268+K268+M268</f>
        <v>0</v>
      </c>
    </row>
    <row r="269" spans="3:15">
      <c r="C269">
        <f>2.0</f>
        <v>0</v>
      </c>
      <c r="D269">
        <f>2.0</f>
        <v>0</v>
      </c>
      <c r="E269">
        <f>E265*10.581</f>
        <v>0</v>
      </c>
      <c r="F269">
        <f>F265*-114.494</f>
        <v>0</v>
      </c>
      <c r="G269">
        <f>G265*-17.936999999999998</f>
        <v>0</v>
      </c>
      <c r="H269">
        <f>H265*0.0</f>
        <v>0</v>
      </c>
      <c r="I269">
        <f>I265*0.053000000000000005</f>
        <v>0</v>
      </c>
      <c r="J269">
        <f>J265*171.849</f>
        <v>0</v>
      </c>
      <c r="K269">
        <f>K265*-128.887</f>
        <v>0</v>
      </c>
      <c r="L269">
        <f>L265*117.73400000000001</f>
        <v>0</v>
      </c>
      <c r="M269">
        <f>M265*-303.67449999999997</f>
        <v>0</v>
      </c>
      <c r="N269">
        <f>E269+F269+G269+H269+I269+J269+K269+L269</f>
        <v>0</v>
      </c>
      <c r="O269">
        <f>E269+F269+G269+H269+I269+J269+K269+M269</f>
        <v>0</v>
      </c>
    </row>
    <row r="270" spans="3:15">
      <c r="C270">
        <f>3.0</f>
        <v>0</v>
      </c>
      <c r="D270">
        <f>3.0</f>
        <v>0</v>
      </c>
      <c r="E270">
        <f>E265*-0.536</f>
        <v>0</v>
      </c>
      <c r="F270">
        <f>F265*-168.37900000000002</f>
        <v>0</v>
      </c>
      <c r="G270">
        <f>G265*-25.236000000000004</f>
        <v>0</v>
      </c>
      <c r="H270">
        <f>H265*0.0</f>
        <v>0</v>
      </c>
      <c r="I270">
        <f>I265*0.05</f>
        <v>0</v>
      </c>
      <c r="J270">
        <f>J265*235.6895</f>
        <v>0</v>
      </c>
      <c r="K270">
        <f>K265*-176.767</f>
        <v>0</v>
      </c>
      <c r="L270">
        <f>L265*90.30799999999999</f>
        <v>0</v>
      </c>
      <c r="M270">
        <f>M265*-347.23199999999997</f>
        <v>0</v>
      </c>
      <c r="N270">
        <f>E270+F270+G270+H270+I270+J270+K270+L270</f>
        <v>0</v>
      </c>
      <c r="O270">
        <f>E270+F270+G270+H270+I270+J270+K270+M270</f>
        <v>0</v>
      </c>
    </row>
    <row r="271" spans="3:15">
      <c r="C271">
        <f>4.0</f>
        <v>0</v>
      </c>
      <c r="D271">
        <f>4.0</f>
        <v>0</v>
      </c>
      <c r="E271">
        <f>E265*-13.9075</f>
        <v>0</v>
      </c>
      <c r="F271">
        <f>F265*-225.5015</f>
        <v>0</v>
      </c>
      <c r="G271">
        <f>G265*-32.826499999999996</f>
        <v>0</v>
      </c>
      <c r="H271">
        <f>H265*0.0</f>
        <v>0</v>
      </c>
      <c r="I271">
        <f>I265*0.0475</f>
        <v>0</v>
      </c>
      <c r="J271">
        <f>J265*220.6495</f>
        <v>0</v>
      </c>
      <c r="K271">
        <f>K265*-165.48700000000002</f>
        <v>0</v>
      </c>
      <c r="L271">
        <f>L265*63.47200000000001</f>
        <v>0</v>
      </c>
      <c r="M271">
        <f>M265*-389.14</f>
        <v>0</v>
      </c>
      <c r="N271">
        <f>E271+F271+G271+H271+I271+J271+K271+L271</f>
        <v>0</v>
      </c>
      <c r="O271">
        <f>E271+F271+G271+H271+I271+J271+K271+M271</f>
        <v>0</v>
      </c>
    </row>
    <row r="272" spans="3:15">
      <c r="C272">
        <f>5.0</f>
        <v>0</v>
      </c>
      <c r="D272">
        <f>5.0</f>
        <v>0</v>
      </c>
      <c r="E272">
        <f>E265*-24.161500000000004</f>
        <v>0</v>
      </c>
      <c r="F272">
        <f>F265*-270.841</f>
        <v>0</v>
      </c>
      <c r="G272">
        <f>G265*-38.893</f>
        <v>0</v>
      </c>
      <c r="H272">
        <f>H265*0.0</f>
        <v>0</v>
      </c>
      <c r="I272">
        <f>I265*0.0445</f>
        <v>0</v>
      </c>
      <c r="J272">
        <f>J265*210.00650000000002</f>
        <v>0</v>
      </c>
      <c r="K272">
        <f>K265*-157.505</f>
        <v>0</v>
      </c>
      <c r="L272">
        <f>L265*45.6905</f>
        <v>0</v>
      </c>
      <c r="M272">
        <f>M265*-424.116</f>
        <v>0</v>
      </c>
      <c r="N272">
        <f>E272+F272+G272+H272+I272+J272+K272+L272</f>
        <v>0</v>
      </c>
      <c r="O272">
        <f>E272+F272+G272+H272+I272+J272+K272+M272</f>
        <v>0</v>
      </c>
    </row>
    <row r="273" spans="3:15">
      <c r="C273">
        <f>6.0</f>
        <v>0</v>
      </c>
      <c r="D273">
        <f>6.0</f>
        <v>0</v>
      </c>
      <c r="E273">
        <f>E265*-28.959000000000003</f>
        <v>0</v>
      </c>
      <c r="F273">
        <f>F265*-304.7895</f>
        <v>0</v>
      </c>
      <c r="G273">
        <f>G265*-43.70099999999999</f>
        <v>0</v>
      </c>
      <c r="H273">
        <f>H265*0.0</f>
        <v>0</v>
      </c>
      <c r="I273">
        <f>I265*0.041499999999999995</f>
        <v>0</v>
      </c>
      <c r="J273">
        <f>J265*250.0825</f>
        <v>0</v>
      </c>
      <c r="K273">
        <f>K265*-187.56199999999998</f>
        <v>0</v>
      </c>
      <c r="L273">
        <f>L265*36.7275</f>
        <v>0</v>
      </c>
      <c r="M273">
        <f>M265*-460.539</f>
        <v>0</v>
      </c>
      <c r="N273">
        <f>E273+F273+G273+H273+I273+J273+K273+L273</f>
        <v>0</v>
      </c>
      <c r="O273">
        <f>E273+F273+G273+H273+I273+J273+K273+M273</f>
        <v>0</v>
      </c>
    </row>
    <row r="274" spans="3:15">
      <c r="C274">
        <f>7.0</f>
        <v>0</v>
      </c>
      <c r="D274">
        <f>7.0</f>
        <v>0</v>
      </c>
      <c r="E274">
        <f>E265*-31.956500000000002</f>
        <v>0</v>
      </c>
      <c r="F274">
        <f>F265*-336.4505</f>
        <v>0</v>
      </c>
      <c r="G274">
        <f>G265*-48.3005</f>
        <v>0</v>
      </c>
      <c r="H274">
        <f>H265*0.0</f>
        <v>0</v>
      </c>
      <c r="I274">
        <f>I265*0.04</f>
        <v>0</v>
      </c>
      <c r="J274">
        <f>J265*307.442</f>
        <v>0</v>
      </c>
      <c r="K274">
        <f>K265*-230.5815</f>
        <v>0</v>
      </c>
      <c r="L274">
        <f>L265*31.985</f>
        <v>0</v>
      </c>
      <c r="M274">
        <f>M265*-497.9765</f>
        <v>0</v>
      </c>
      <c r="N274">
        <f>E274+F274+G274+H274+I274+J274+K274+L274</f>
        <v>0</v>
      </c>
      <c r="O274">
        <f>E274+F274+G274+H274+I274+J274+K274+M274</f>
        <v>0</v>
      </c>
    </row>
    <row r="275" spans="3:15">
      <c r="C275">
        <f>8.0</f>
        <v>0</v>
      </c>
      <c r="D275">
        <f>8.0</f>
        <v>0</v>
      </c>
      <c r="E275">
        <f>E265*-36.405</f>
        <v>0</v>
      </c>
      <c r="F275">
        <f>F265*-355.298</f>
        <v>0</v>
      </c>
      <c r="G275">
        <f>G265*-50.8425</f>
        <v>0</v>
      </c>
      <c r="H275">
        <f>H265*0.0</f>
        <v>0</v>
      </c>
      <c r="I275">
        <f>I265*0.038</f>
        <v>0</v>
      </c>
      <c r="J275">
        <f>J265*323.579</f>
        <v>0</v>
      </c>
      <c r="K275">
        <f>K265*-242.684</f>
        <v>0</v>
      </c>
      <c r="L275">
        <f>L265*29.423000000000002</f>
        <v>0</v>
      </c>
      <c r="M275">
        <f>M265*-514.715</f>
        <v>0</v>
      </c>
      <c r="N275">
        <f>E275+F275+G275+H275+I275+J275+K275+L275</f>
        <v>0</v>
      </c>
      <c r="O275">
        <f>E275+F275+G275+H275+I275+J275+K275+M275</f>
        <v>0</v>
      </c>
    </row>
    <row r="276" spans="3:15">
      <c r="C276">
        <f>9.0</f>
        <v>0</v>
      </c>
      <c r="D276">
        <f>9.0</f>
        <v>0</v>
      </c>
      <c r="E276">
        <f>E265*-42.5195</f>
        <v>0</v>
      </c>
      <c r="F276">
        <f>F265*-359.8695</f>
        <v>0</v>
      </c>
      <c r="G276">
        <f>G265*-51.092000000000006</f>
        <v>0</v>
      </c>
      <c r="H276">
        <f>H265*0.0</f>
        <v>0</v>
      </c>
      <c r="I276">
        <f>I265*0.037000000000000005</f>
        <v>0</v>
      </c>
      <c r="J276">
        <f>J265*302.6595</f>
        <v>0</v>
      </c>
      <c r="K276">
        <f>K265*-226.99450000000002</f>
        <v>0</v>
      </c>
      <c r="L276">
        <f>L265*24.716</f>
        <v>0</v>
      </c>
      <c r="M276">
        <f>M265*-510.78499999999997</f>
        <v>0</v>
      </c>
      <c r="N276">
        <f>E276+F276+G276+H276+I276+J276+K276+L276</f>
        <v>0</v>
      </c>
      <c r="O276">
        <f>E276+F276+G276+H276+I276+J276+K276+M276</f>
        <v>0</v>
      </c>
    </row>
    <row r="277" spans="3:15">
      <c r="C277">
        <f>10.0</f>
        <v>0</v>
      </c>
      <c r="D277">
        <f>10.0</f>
        <v>0</v>
      </c>
      <c r="E277">
        <f>E265*-45.6755</f>
        <v>0</v>
      </c>
      <c r="F277">
        <f>F265*-357.34350000000006</f>
        <v>0</v>
      </c>
      <c r="G277">
        <f>G265*-50.5</f>
        <v>0</v>
      </c>
      <c r="H277">
        <f>H265*0.0</f>
        <v>0</v>
      </c>
      <c r="I277">
        <f>I265*0.035500000000000004</f>
        <v>0</v>
      </c>
      <c r="J277">
        <f>J265*290.1685</f>
        <v>0</v>
      </c>
      <c r="K277">
        <f>K265*-217.6265</f>
        <v>0</v>
      </c>
      <c r="L277">
        <f>L265*24.8705</f>
        <v>0</v>
      </c>
      <c r="M277">
        <f>M265*-502.37949999999995</f>
        <v>0</v>
      </c>
      <c r="N277">
        <f>E277+F277+G277+H277+I277+J277+K277+L277</f>
        <v>0</v>
      </c>
      <c r="O277">
        <f>E277+F277+G277+H277+I277+J277+K277+M277</f>
        <v>0</v>
      </c>
    </row>
    <row r="278" spans="3:15">
      <c r="C278">
        <f>11.0</f>
        <v>0</v>
      </c>
      <c r="D278">
        <f>11.0</f>
        <v>0</v>
      </c>
      <c r="E278">
        <f>E265*-42.6405</f>
        <v>0</v>
      </c>
      <c r="F278">
        <f>F265*-347.9665</f>
        <v>0</v>
      </c>
      <c r="G278">
        <f>G265*-49.361</f>
        <v>0</v>
      </c>
      <c r="H278">
        <f>H265*0.0</f>
        <v>0</v>
      </c>
      <c r="I278">
        <f>I265*0.0345</f>
        <v>0</v>
      </c>
      <c r="J278">
        <f>J265*313.6795</f>
        <v>0</v>
      </c>
      <c r="K278">
        <f>K265*-235.2595</f>
        <v>0</v>
      </c>
      <c r="L278">
        <f>L265*27.116</f>
        <v>0</v>
      </c>
      <c r="M278">
        <f>M265*-492.2335</f>
        <v>0</v>
      </c>
      <c r="N278">
        <f>E278+F278+G278+H278+I278+J278+K278+L278</f>
        <v>0</v>
      </c>
      <c r="O278">
        <f>E278+F278+G278+H278+I278+J278+K278+M278</f>
        <v>0</v>
      </c>
    </row>
    <row r="279" spans="3:15">
      <c r="C279">
        <f>12.0</f>
        <v>0</v>
      </c>
      <c r="D279">
        <f>12.0</f>
        <v>0</v>
      </c>
      <c r="E279">
        <f>E265*-37.032</f>
        <v>0</v>
      </c>
      <c r="F279">
        <f>F265*-332.6495</f>
        <v>0</v>
      </c>
      <c r="G279">
        <f>G265*-47.526</f>
        <v>0</v>
      </c>
      <c r="H279">
        <f>H265*0.0</f>
        <v>0</v>
      </c>
      <c r="I279">
        <f>I265*0.034</f>
        <v>0</v>
      </c>
      <c r="J279">
        <f>J265*348.90999999999997</f>
        <v>0</v>
      </c>
      <c r="K279">
        <f>K265*-261.6825</f>
        <v>0</v>
      </c>
      <c r="L279">
        <f>L265*30.209</f>
        <v>0</v>
      </c>
      <c r="M279">
        <f>M265*-479.58849999999995</f>
        <v>0</v>
      </c>
      <c r="N279">
        <f>E279+F279+G279+H279+I279+J279+K279+L279</f>
        <v>0</v>
      </c>
      <c r="O279">
        <f>E279+F279+G279+H279+I279+J279+K279+M279</f>
        <v>0</v>
      </c>
    </row>
    <row r="280" spans="3:15">
      <c r="C280">
        <f>13.0</f>
        <v>0</v>
      </c>
      <c r="D280">
        <f>13.0</f>
        <v>0</v>
      </c>
      <c r="E280">
        <f>E265*-33.6445</f>
        <v>0</v>
      </c>
      <c r="F280">
        <f>F265*-304.07449999999994</f>
        <v>0</v>
      </c>
      <c r="G280">
        <f>G265*-43.4965</f>
        <v>0</v>
      </c>
      <c r="H280">
        <f>H265*0.0</f>
        <v>0</v>
      </c>
      <c r="I280">
        <f>I265*0.0345</f>
        <v>0</v>
      </c>
      <c r="J280">
        <f>J265*353.443</f>
        <v>0</v>
      </c>
      <c r="K280">
        <f>K265*-265.0825</f>
        <v>0</v>
      </c>
      <c r="L280">
        <f>L265*33.226</f>
        <v>0</v>
      </c>
      <c r="M280">
        <f>M265*-444.298</f>
        <v>0</v>
      </c>
      <c r="N280">
        <f>E280+F280+G280+H280+I280+J280+K280+L280</f>
        <v>0</v>
      </c>
      <c r="O280">
        <f>E280+F280+G280+H280+I280+J280+K280+M280</f>
        <v>0</v>
      </c>
    </row>
    <row r="281" spans="3:15">
      <c r="C281">
        <f>14.0</f>
        <v>0</v>
      </c>
      <c r="D281">
        <f>14.0</f>
        <v>0</v>
      </c>
      <c r="E281">
        <f>E265*-32.6335</f>
        <v>0</v>
      </c>
      <c r="F281">
        <f>F265*-264.99850000000004</f>
        <v>0</v>
      </c>
      <c r="G281">
        <f>G265*-37.670500000000004</f>
        <v>0</v>
      </c>
      <c r="H281">
        <f>H265*0.0</f>
        <v>0</v>
      </c>
      <c r="I281">
        <f>I265*0.035</f>
        <v>0</v>
      </c>
      <c r="J281">
        <f>J265*325.925</f>
        <v>0</v>
      </c>
      <c r="K281">
        <f>K265*-244.44350000000003</f>
        <v>0</v>
      </c>
      <c r="L281">
        <f>L265*34.305499999999995</f>
        <v>0</v>
      </c>
      <c r="M281">
        <f>M265*-385.4225</f>
        <v>0</v>
      </c>
      <c r="N281">
        <f>E281+F281+G281+H281+I281+J281+K281+L281</f>
        <v>0</v>
      </c>
      <c r="O281">
        <f>E281+F281+G281+H281+I281+J281+K281+M281</f>
        <v>0</v>
      </c>
    </row>
    <row r="282" spans="3:15">
      <c r="C282">
        <f>15.0</f>
        <v>0</v>
      </c>
      <c r="D282">
        <f>15.0</f>
        <v>0</v>
      </c>
      <c r="E282">
        <f>E265*-30.07</f>
        <v>0</v>
      </c>
      <c r="F282">
        <f>F265*-224.1375</f>
        <v>0</v>
      </c>
      <c r="G282">
        <f>G265*-31.704</f>
        <v>0</v>
      </c>
      <c r="H282">
        <f>H265*0.0</f>
        <v>0</v>
      </c>
      <c r="I282">
        <f>I265*0.034</f>
        <v>0</v>
      </c>
      <c r="J282">
        <f>J265*313.07550000000003</f>
        <v>0</v>
      </c>
      <c r="K282">
        <f>K265*-234.80649999999997</f>
        <v>0</v>
      </c>
      <c r="L282">
        <f>L265*35.964</f>
        <v>0</v>
      </c>
      <c r="M282">
        <f>M265*-325.4565</f>
        <v>0</v>
      </c>
      <c r="N282">
        <f>E282+F282+G282+H282+I282+J282+K282+L282</f>
        <v>0</v>
      </c>
      <c r="O282">
        <f>E282+F282+G282+H282+I282+J282+K282+M282</f>
        <v>0</v>
      </c>
    </row>
    <row r="283" spans="3:15">
      <c r="C283">
        <f>15.91</f>
        <v>0</v>
      </c>
      <c r="D283">
        <f>15.91</f>
        <v>0</v>
      </c>
      <c r="E283">
        <f>E265*-22.2755</f>
        <v>0</v>
      </c>
      <c r="F283">
        <f>F265*-172.529</f>
        <v>0</v>
      </c>
      <c r="G283">
        <f>G265*-24.583</f>
        <v>0</v>
      </c>
      <c r="H283">
        <f>H265*0.0</f>
        <v>0</v>
      </c>
      <c r="I283">
        <f>I265*0.0325</f>
        <v>0</v>
      </c>
      <c r="J283">
        <f>J265*337.288</f>
        <v>0</v>
      </c>
      <c r="K283">
        <f>K265*-252.966</f>
        <v>0</v>
      </c>
      <c r="L283">
        <f>L265*38.445</f>
        <v>0</v>
      </c>
      <c r="M283">
        <f>M265*-257.9495</f>
        <v>0</v>
      </c>
      <c r="N283">
        <f>E283+F283+G283+H283+I283+J283+K283+L283</f>
        <v>0</v>
      </c>
      <c r="O283">
        <f>E283+F283+G283+H283+I283+J283+K283+M283</f>
        <v>0</v>
      </c>
    </row>
    <row r="284" spans="3:15">
      <c r="C284">
        <f>16.82</f>
        <v>0</v>
      </c>
      <c r="D284">
        <f>16.82</f>
        <v>0</v>
      </c>
      <c r="E284">
        <f>E265*-12.0025</f>
        <v>0</v>
      </c>
      <c r="F284">
        <f>F265*-116.41550000000001</f>
        <v>0</v>
      </c>
      <c r="G284">
        <f>G265*-16.965</f>
        <v>0</v>
      </c>
      <c r="H284">
        <f>H265*0.0</f>
        <v>0</v>
      </c>
      <c r="I284">
        <f>I265*0.028999999999999998</f>
        <v>0</v>
      </c>
      <c r="J284">
        <f>J265*370.37600000000003</f>
        <v>0</v>
      </c>
      <c r="K284">
        <f>K265*-277.78200000000004</f>
        <v>0</v>
      </c>
      <c r="L284">
        <f>L265*38.986999999999995</f>
        <v>0</v>
      </c>
      <c r="M284">
        <f>M265*-186.64999999999998</f>
        <v>0</v>
      </c>
      <c r="N284">
        <f>E284+F284+G284+H284+I284+J284+K284+L284</f>
        <v>0</v>
      </c>
      <c r="O284">
        <f>E284+F284+G284+H284+I284+J284+K284+M284</f>
        <v>0</v>
      </c>
    </row>
    <row r="285" spans="3:15">
      <c r="C285">
        <f>17.73</f>
        <v>0</v>
      </c>
      <c r="D285">
        <f>17.73</f>
        <v>0</v>
      </c>
      <c r="E285">
        <f>E265*-5.3255</f>
        <v>0</v>
      </c>
      <c r="F285">
        <f>F265*-73.594</f>
        <v>0</v>
      </c>
      <c r="G285">
        <f>G265*-10.996</f>
        <v>0</v>
      </c>
      <c r="H285">
        <f>H265*0.0</f>
        <v>0</v>
      </c>
      <c r="I285">
        <f>I265*0.0225</f>
        <v>0</v>
      </c>
      <c r="J285">
        <f>J265*358.57349999999997</f>
        <v>0</v>
      </c>
      <c r="K285">
        <f>K265*-268.92999999999995</f>
        <v>0</v>
      </c>
      <c r="L285">
        <f>L265*33.296499999999995</f>
        <v>0</v>
      </c>
      <c r="M285">
        <f>M265*-126.79650000000001</f>
        <v>0</v>
      </c>
      <c r="N285">
        <f>E285+F285+G285+H285+I285+J285+K285+L285</f>
        <v>0</v>
      </c>
      <c r="O285">
        <f>E285+F285+G285+H285+I285+J285+K285+M285</f>
        <v>0</v>
      </c>
    </row>
    <row r="286" spans="3:15">
      <c r="C286">
        <f>18.64</f>
        <v>0</v>
      </c>
      <c r="D286">
        <f>18.64</f>
        <v>0</v>
      </c>
      <c r="E286">
        <f>E265*-1.4364999999999999</f>
        <v>0</v>
      </c>
      <c r="F286">
        <f>F265*-33.839</f>
        <v>0</v>
      </c>
      <c r="G286">
        <f>G265*-5.1795</f>
        <v>0</v>
      </c>
      <c r="H286">
        <f>H265*0.0</f>
        <v>0</v>
      </c>
      <c r="I286">
        <f>I265*0.0120185</f>
        <v>0</v>
      </c>
      <c r="J286">
        <f>J265*290.8415</f>
        <v>0</v>
      </c>
      <c r="K286">
        <f>K265*-218.13099999999997</f>
        <v>0</v>
      </c>
      <c r="L286">
        <f>L265*20.692</f>
        <v>0</v>
      </c>
      <c r="M286">
        <f>M265*-65.25699999999999</f>
        <v>0</v>
      </c>
      <c r="N286">
        <f>E286+F286+G286+H286+I286+J286+K286+L286</f>
        <v>0</v>
      </c>
      <c r="O286">
        <f>E286+F286+G286+H286+I286+J286+K286+M286</f>
        <v>0</v>
      </c>
    </row>
    <row r="287" spans="3:15">
      <c r="C287">
        <f>19.55</f>
        <v>0</v>
      </c>
      <c r="D287">
        <f>19.55</f>
        <v>0</v>
      </c>
      <c r="E287">
        <f>E265*-0.627</f>
        <v>0</v>
      </c>
      <c r="F287">
        <f>F265*-13.799</f>
        <v>0</v>
      </c>
      <c r="G287">
        <f>G265*-2.097</f>
        <v>0</v>
      </c>
      <c r="H287">
        <f>H265*0.0</f>
        <v>0</v>
      </c>
      <c r="I287">
        <f>I265*0.0021611</f>
        <v>0</v>
      </c>
      <c r="J287">
        <f>J265*219.204</f>
        <v>0</v>
      </c>
      <c r="K287">
        <f>K265*-164.403</f>
        <v>0</v>
      </c>
      <c r="L287">
        <f>L265*10.919</f>
        <v>0</v>
      </c>
      <c r="M287">
        <f>M265*-26.144</f>
        <v>0</v>
      </c>
      <c r="N287">
        <f>E287+F287+G287+H287+I287+J287+K287+L287</f>
        <v>0</v>
      </c>
      <c r="O287">
        <f>E287+F287+G287+H287+I287+J287+K287+M287</f>
        <v>0</v>
      </c>
    </row>
    <row r="288" spans="3:15">
      <c r="C288">
        <f>20.0</f>
        <v>0</v>
      </c>
      <c r="D288">
        <f>20.0</f>
        <v>0</v>
      </c>
      <c r="E288">
        <f>E265*-1.182</f>
        <v>0</v>
      </c>
      <c r="F288">
        <f>F265*-14.273</f>
        <v>0</v>
      </c>
      <c r="G288">
        <f>G265*-2.11</f>
        <v>0</v>
      </c>
      <c r="H288">
        <f>H265*0.0</f>
        <v>0</v>
      </c>
      <c r="I288">
        <f>I265*0.0006652</f>
        <v>0</v>
      </c>
      <c r="J288">
        <f>J265*204.11700000000002</f>
        <v>0</v>
      </c>
      <c r="K288">
        <f>K265*-153.088</f>
        <v>0</v>
      </c>
      <c r="L288">
        <f>L265*8.908999999999999</f>
        <v>0</v>
      </c>
      <c r="M288">
        <f>M265*-24.055</f>
        <v>0</v>
      </c>
      <c r="N288">
        <f>E288+F288+G288+H288+I288+J288+K288+L288</f>
        <v>0</v>
      </c>
      <c r="O288">
        <f>E288+F288+G288+H288+I288+J288+K288+M288</f>
        <v>0</v>
      </c>
    </row>
    <row r="289" spans="3:15">
      <c r="C289">
        <f>20.0</f>
        <v>0</v>
      </c>
      <c r="D289">
        <f>0.0</f>
        <v>0</v>
      </c>
      <c r="E289">
        <f>E265*-1.3880000000000001</f>
        <v>0</v>
      </c>
      <c r="F289">
        <f>F265*-11.755</f>
        <v>0</v>
      </c>
      <c r="G289">
        <f>G265*-1.733</f>
        <v>0</v>
      </c>
      <c r="H289">
        <f>H265*0.0</f>
        <v>0</v>
      </c>
      <c r="I289">
        <f>I265*-0.222</f>
        <v>0</v>
      </c>
      <c r="J289">
        <f>J265*208.264</f>
        <v>0</v>
      </c>
      <c r="K289">
        <f>K265*-156.19799999999998</f>
        <v>0</v>
      </c>
      <c r="L289">
        <f>L265*4.595</f>
        <v>0</v>
      </c>
      <c r="M289">
        <f>M265*-23.872</f>
        <v>0</v>
      </c>
      <c r="N289">
        <f>E289+F289+G289+H289+I289+J289+K289+L289</f>
        <v>0</v>
      </c>
      <c r="O289">
        <f>E289+F289+G289+H289+I289+J289+K289+M289</f>
        <v>0</v>
      </c>
    </row>
    <row r="290" spans="3:15">
      <c r="C290">
        <f>20.45</f>
        <v>0</v>
      </c>
      <c r="D290">
        <f>0.45</f>
        <v>0</v>
      </c>
      <c r="E290">
        <f>E265*0.40349999999999986</f>
        <v>0</v>
      </c>
      <c r="F290">
        <f>F265*-21.2945</f>
        <v>0</v>
      </c>
      <c r="G290">
        <f>G265*-3.237</f>
        <v>0</v>
      </c>
      <c r="H290">
        <f>H265*0.0</f>
        <v>0</v>
      </c>
      <c r="I290">
        <f>I265*0.83</f>
        <v>0</v>
      </c>
      <c r="J290">
        <f>J265*202.89749999999998</f>
        <v>0</v>
      </c>
      <c r="K290">
        <f>K265*-152.173</f>
        <v>0</v>
      </c>
      <c r="L290">
        <f>L265*30.814</f>
        <v>0</v>
      </c>
      <c r="M290">
        <f>M265*-61.2165</f>
        <v>0</v>
      </c>
      <c r="N290">
        <f>E290+F290+G290+H290+I290+J290+K290+L290</f>
        <v>0</v>
      </c>
      <c r="O290">
        <f>E290+F290+G290+H290+I290+J290+K290+M290</f>
        <v>0</v>
      </c>
    </row>
    <row r="291" spans="3:15">
      <c r="C291">
        <f>21.36</f>
        <v>0</v>
      </c>
      <c r="D291">
        <f>1.36</f>
        <v>0</v>
      </c>
      <c r="E291">
        <f>E265*0.8164999999999999</f>
        <v>0</v>
      </c>
      <c r="F291">
        <f>F265*-48.861000000000004</f>
        <v>0</v>
      </c>
      <c r="G291">
        <f>G265*-7.476000000000001</f>
        <v>0</v>
      </c>
      <c r="H291">
        <f>H265*0.0</f>
        <v>0</v>
      </c>
      <c r="I291">
        <f>I265*1.819</f>
        <v>0</v>
      </c>
      <c r="J291">
        <f>J265*256.062</f>
        <v>0</v>
      </c>
      <c r="K291">
        <f>K265*-192.04649999999998</f>
        <v>0</v>
      </c>
      <c r="L291">
        <f>L265*43.218500000000006</f>
        <v>0</v>
      </c>
      <c r="M291">
        <f>M265*-114.4925</f>
        <v>0</v>
      </c>
      <c r="N291">
        <f>E291+F291+G291+H291+I291+J291+K291+L291</f>
        <v>0</v>
      </c>
      <c r="O291">
        <f>E291+F291+G291+H291+I291+J291+K291+M291</f>
        <v>0</v>
      </c>
    </row>
    <row r="292" spans="3:15">
      <c r="C292">
        <f>22.27</f>
        <v>0</v>
      </c>
      <c r="D292">
        <f>2.27</f>
        <v>0</v>
      </c>
      <c r="E292">
        <f>E265*-3.0255</f>
        <v>0</v>
      </c>
      <c r="F292">
        <f>F265*-84.5985</f>
        <v>0</v>
      </c>
      <c r="G292">
        <f>G265*-12.712499999999999</f>
        <v>0</v>
      </c>
      <c r="H292">
        <f>H265*0.0</f>
        <v>0</v>
      </c>
      <c r="I292">
        <f>I265*1.8895</f>
        <v>0</v>
      </c>
      <c r="J292">
        <f>J265*326.199</f>
        <v>0</v>
      </c>
      <c r="K292">
        <f>K265*-244.649</f>
        <v>0</v>
      </c>
      <c r="L292">
        <f>L265*31.4205</f>
        <v>0</v>
      </c>
      <c r="M292">
        <f>M265*-150.61249999999998</f>
        <v>0</v>
      </c>
      <c r="N292">
        <f>E292+F292+G292+H292+I292+J292+K292+L292</f>
        <v>0</v>
      </c>
      <c r="O292">
        <f>E292+F292+G292+H292+I292+J292+K292+M292</f>
        <v>0</v>
      </c>
    </row>
    <row r="293" spans="3:15">
      <c r="C293">
        <f>23.18</f>
        <v>0</v>
      </c>
      <c r="D293">
        <f>3.18</f>
        <v>0</v>
      </c>
      <c r="E293">
        <f>E265*-9.608500000000001</f>
        <v>0</v>
      </c>
      <c r="F293">
        <f>F265*-123.27349999999998</f>
        <v>0</v>
      </c>
      <c r="G293">
        <f>G265*-18.0885</f>
        <v>0</v>
      </c>
      <c r="H293">
        <f>H265*0.0</f>
        <v>0</v>
      </c>
      <c r="I293">
        <f>I265*2.2279999999999998</f>
        <v>0</v>
      </c>
      <c r="J293">
        <f>J265*339.8265</f>
        <v>0</v>
      </c>
      <c r="K293">
        <f>K265*-254.87</f>
        <v>0</v>
      </c>
      <c r="L293">
        <f>L265*28.5685</f>
        <v>0</v>
      </c>
      <c r="M293">
        <f>M265*-195.53</f>
        <v>0</v>
      </c>
      <c r="N293">
        <f>E293+F293+G293+H293+I293+J293+K293+L293</f>
        <v>0</v>
      </c>
      <c r="O293">
        <f>E293+F293+G293+H293+I293+J293+K293+M293</f>
        <v>0</v>
      </c>
    </row>
    <row r="294" spans="3:15">
      <c r="C294">
        <f>24.09</f>
        <v>0</v>
      </c>
      <c r="D294">
        <f>4.09</f>
        <v>0</v>
      </c>
      <c r="E294">
        <f>E265*-19.702</f>
        <v>0</v>
      </c>
      <c r="F294">
        <f>F265*-174.8535</f>
        <v>0</v>
      </c>
      <c r="G294">
        <f>G265*-25.061</f>
        <v>0</v>
      </c>
      <c r="H294">
        <f>H265*0.0</f>
        <v>0</v>
      </c>
      <c r="I294">
        <f>I265*2.7430000000000003</f>
        <v>0</v>
      </c>
      <c r="J294">
        <f>J265*307.96799999999996</f>
        <v>0</v>
      </c>
      <c r="K294">
        <f>K265*-230.9765</f>
        <v>0</v>
      </c>
      <c r="L294">
        <f>L265*24.583</f>
        <v>0</v>
      </c>
      <c r="M294">
        <f>M265*-254.812</f>
        <v>0</v>
      </c>
      <c r="N294">
        <f>E294+F294+G294+H294+I294+J294+K294+L294</f>
        <v>0</v>
      </c>
      <c r="O294">
        <f>E294+F294+G294+H294+I294+J294+K294+M294</f>
        <v>0</v>
      </c>
    </row>
    <row r="295" spans="3:15">
      <c r="C295">
        <f>25.0</f>
        <v>0</v>
      </c>
      <c r="D295">
        <f>5.0</f>
        <v>0</v>
      </c>
      <c r="E295">
        <f>E265*-27.336</f>
        <v>0</v>
      </c>
      <c r="F295">
        <f>F265*-221.5905</f>
        <v>0</v>
      </c>
      <c r="G295">
        <f>G265*-31.488</f>
        <v>0</v>
      </c>
      <c r="H295">
        <f>H265*0.0</f>
        <v>0</v>
      </c>
      <c r="I295">
        <f>I265*3.3194999999999997</f>
        <v>0</v>
      </c>
      <c r="J295">
        <f>J265*285.3565</f>
        <v>0</v>
      </c>
      <c r="K295">
        <f>K265*-214.0175</f>
        <v>0</v>
      </c>
      <c r="L295">
        <f>L265*21.4075</f>
        <v>0</v>
      </c>
      <c r="M295">
        <f>M265*-311.269</f>
        <v>0</v>
      </c>
      <c r="N295">
        <f>E295+F295+G295+H295+I295+J295+K295+L295</f>
        <v>0</v>
      </c>
      <c r="O295">
        <f>E295+F295+G295+H295+I295+J295+K295+M295</f>
        <v>0</v>
      </c>
    </row>
    <row r="296" spans="3:15">
      <c r="C296">
        <f>26.0</f>
        <v>0</v>
      </c>
      <c r="D296">
        <f>6.0</f>
        <v>0</v>
      </c>
      <c r="E296">
        <f>E265*-29.820999999999998</f>
        <v>0</v>
      </c>
      <c r="F296">
        <f>F265*-256.988</f>
        <v>0</v>
      </c>
      <c r="G296">
        <f>G265*-36.672</f>
        <v>0</v>
      </c>
      <c r="H296">
        <f>H265*0.0</f>
        <v>0</v>
      </c>
      <c r="I296">
        <f>I265*3.936</f>
        <v>0</v>
      </c>
      <c r="J296">
        <f>J265*300.99800000000005</f>
        <v>0</v>
      </c>
      <c r="K296">
        <f>K265*-225.74849999999998</f>
        <v>0</v>
      </c>
      <c r="L296">
        <f>L265*20.457</f>
        <v>0</v>
      </c>
      <c r="M296">
        <f>M265*-362.90599999999995</f>
        <v>0</v>
      </c>
      <c r="N296">
        <f>E296+F296+G296+H296+I296+J296+K296+L296</f>
        <v>0</v>
      </c>
      <c r="O296">
        <f>E296+F296+G296+H296+I296+J296+K296+M296</f>
        <v>0</v>
      </c>
    </row>
    <row r="297" spans="3:15">
      <c r="C297">
        <f>27.0</f>
        <v>0</v>
      </c>
      <c r="D297">
        <f>7.0</f>
        <v>0</v>
      </c>
      <c r="E297">
        <f>E265*-30.781</f>
        <v>0</v>
      </c>
      <c r="F297">
        <f>F265*-290.09</f>
        <v>0</v>
      </c>
      <c r="G297">
        <f>G265*-41.638999999999996</f>
        <v>0</v>
      </c>
      <c r="H297">
        <f>H265*0.0</f>
        <v>0</v>
      </c>
      <c r="I297">
        <f>I265*4.529999999999999</f>
        <v>0</v>
      </c>
      <c r="J297">
        <f>J265*332.248</f>
        <v>0</v>
      </c>
      <c r="K297">
        <f>K265*-249.186</f>
        <v>0</v>
      </c>
      <c r="L297">
        <f>L265*20.966500000000003</f>
        <v>0</v>
      </c>
      <c r="M297">
        <f>M265*-412.576</f>
        <v>0</v>
      </c>
      <c r="N297">
        <f>E297+F297+G297+H297+I297+J297+K297+L297</f>
        <v>0</v>
      </c>
      <c r="O297">
        <f>E297+F297+G297+H297+I297+J297+K297+M297</f>
        <v>0</v>
      </c>
    </row>
    <row r="298" spans="3:15">
      <c r="C298">
        <f>28.0</f>
        <v>0</v>
      </c>
      <c r="D298">
        <f>8.0</f>
        <v>0</v>
      </c>
      <c r="E298">
        <f>E265*-34.179</f>
        <v>0</v>
      </c>
      <c r="F298">
        <f>F265*-312.88800000000003</f>
        <v>0</v>
      </c>
      <c r="G298">
        <f>G265*-44.834</f>
        <v>0</v>
      </c>
      <c r="H298">
        <f>H265*0.0</f>
        <v>0</v>
      </c>
      <c r="I298">
        <f>I265*5.125500000000001</f>
        <v>0</v>
      </c>
      <c r="J298">
        <f>J265*332.122</f>
        <v>0</v>
      </c>
      <c r="K298">
        <f>K265*-249.0915</f>
        <v>0</v>
      </c>
      <c r="L298">
        <f>L265*20.334</f>
        <v>0</v>
      </c>
      <c r="M298">
        <f>M265*-439.029</f>
        <v>0</v>
      </c>
      <c r="N298">
        <f>E298+F298+G298+H298+I298+J298+K298+L298</f>
        <v>0</v>
      </c>
      <c r="O298">
        <f>E298+F298+G298+H298+I298+J298+K298+M298</f>
        <v>0</v>
      </c>
    </row>
    <row r="299" spans="3:15">
      <c r="C299">
        <f>29.0</f>
        <v>0</v>
      </c>
      <c r="D299">
        <f>9.0</f>
        <v>0</v>
      </c>
      <c r="E299">
        <f>E265*-39.977000000000004</f>
        <v>0</v>
      </c>
      <c r="F299">
        <f>F265*-322.7815</f>
        <v>0</v>
      </c>
      <c r="G299">
        <f>G265*-45.876999999999995</f>
        <v>0</v>
      </c>
      <c r="H299">
        <f>H265*0.0</f>
        <v>0</v>
      </c>
      <c r="I299">
        <f>I265*5.6065000000000005</f>
        <v>0</v>
      </c>
      <c r="J299">
        <f>J265*303.10749999999996</f>
        <v>0</v>
      </c>
      <c r="K299">
        <f>K265*-227.3305</f>
        <v>0</v>
      </c>
      <c r="L299">
        <f>L265*19.905499999999996</f>
        <v>0</v>
      </c>
      <c r="M299">
        <f>M265*-442.3745</f>
        <v>0</v>
      </c>
      <c r="N299">
        <f>E299+F299+G299+H299+I299+J299+K299+L299</f>
        <v>0</v>
      </c>
      <c r="O299">
        <f>E299+F299+G299+H299+I299+J299+K299+M299</f>
        <v>0</v>
      </c>
    </row>
    <row r="300" spans="3:15">
      <c r="C300">
        <f>30.0</f>
        <v>0</v>
      </c>
      <c r="D300">
        <f>10.0</f>
        <v>0</v>
      </c>
      <c r="E300">
        <f>E265*-43.2115</f>
        <v>0</v>
      </c>
      <c r="F300">
        <f>F265*-326.398</f>
        <v>0</v>
      </c>
      <c r="G300">
        <f>G265*-46.1725</f>
        <v>0</v>
      </c>
      <c r="H300">
        <f>H265*0.0</f>
        <v>0</v>
      </c>
      <c r="I300">
        <f>I265*5.9985</f>
        <v>0</v>
      </c>
      <c r="J300">
        <f>J265*286.29999999999995</f>
        <v>0</v>
      </c>
      <c r="K300">
        <f>K265*-214.725</f>
        <v>0</v>
      </c>
      <c r="L300">
        <f>L265*21.7965</f>
        <v>0</v>
      </c>
      <c r="M300">
        <f>M265*-442.508</f>
        <v>0</v>
      </c>
      <c r="N300">
        <f>E300+F300+G300+H300+I300+J300+K300+L300</f>
        <v>0</v>
      </c>
      <c r="O300">
        <f>E300+F300+G300+H300+I300+J300+K300+M300</f>
        <v>0</v>
      </c>
    </row>
    <row r="301" spans="3:15">
      <c r="C301">
        <f>31.0</f>
        <v>0</v>
      </c>
      <c r="D301">
        <f>11.0</f>
        <v>0</v>
      </c>
      <c r="E301">
        <f>E265*-40.316</f>
        <v>0</v>
      </c>
      <c r="F301">
        <f>F265*-323.1255</f>
        <v>0</v>
      </c>
      <c r="G301">
        <f>G265*-45.914</f>
        <v>0</v>
      </c>
      <c r="H301">
        <f>H265*0.0</f>
        <v>0</v>
      </c>
      <c r="I301">
        <f>I265*6.3475</f>
        <v>0</v>
      </c>
      <c r="J301">
        <f>J265*305.9375</f>
        <v>0</v>
      </c>
      <c r="K301">
        <f>K265*-229.45350000000002</f>
        <v>0</v>
      </c>
      <c r="L301">
        <f>L265*23.9225</f>
        <v>0</v>
      </c>
      <c r="M301">
        <f>M265*-440.985</f>
        <v>0</v>
      </c>
      <c r="N301">
        <f>E301+F301+G301+H301+I301+J301+K301+L301</f>
        <v>0</v>
      </c>
      <c r="O301">
        <f>E301+F301+G301+H301+I301+J301+K301+M301</f>
        <v>0</v>
      </c>
    </row>
    <row r="302" spans="3:15">
      <c r="C302">
        <f>32.0</f>
        <v>0</v>
      </c>
      <c r="D302">
        <f>12.0</f>
        <v>0</v>
      </c>
      <c r="E302">
        <f>E265*-34.875</f>
        <v>0</v>
      </c>
      <c r="F302">
        <f>F265*-313.282</f>
        <v>0</v>
      </c>
      <c r="G302">
        <f>G265*-44.864</f>
        <v>0</v>
      </c>
      <c r="H302">
        <f>H265*0.0</f>
        <v>0</v>
      </c>
      <c r="I302">
        <f>I265*6.417</f>
        <v>0</v>
      </c>
      <c r="J302">
        <f>J265*338.22249999999997</f>
        <v>0</v>
      </c>
      <c r="K302">
        <f>K265*-253.66700000000003</f>
        <v>0</v>
      </c>
      <c r="L302">
        <f>L265*25.867</f>
        <v>0</v>
      </c>
      <c r="M302">
        <f>M265*-435.668</f>
        <v>0</v>
      </c>
      <c r="N302">
        <f>E302+F302+G302+H302+I302+J302+K302+L302</f>
        <v>0</v>
      </c>
      <c r="O302">
        <f>E302+F302+G302+H302+I302+J302+K302+M302</f>
        <v>0</v>
      </c>
    </row>
    <row r="303" spans="3:15">
      <c r="C303">
        <f>33.0</f>
        <v>0</v>
      </c>
      <c r="D303">
        <f>13.0</f>
        <v>0</v>
      </c>
      <c r="E303">
        <f>E265*-31.8285</f>
        <v>0</v>
      </c>
      <c r="F303">
        <f>F265*-289.7835</f>
        <v>0</v>
      </c>
      <c r="G303">
        <f>G265*-41.552</f>
        <v>0</v>
      </c>
      <c r="H303">
        <f>H265*0.0</f>
        <v>0</v>
      </c>
      <c r="I303">
        <f>I265*5.9505</f>
        <v>0</v>
      </c>
      <c r="J303">
        <f>J265*342.245</f>
        <v>0</v>
      </c>
      <c r="K303">
        <f>K265*-256.684</f>
        <v>0</v>
      </c>
      <c r="L303">
        <f>L265*27.555</f>
        <v>0</v>
      </c>
      <c r="M303">
        <f>M265*-407.16700000000003</f>
        <v>0</v>
      </c>
      <c r="N303">
        <f>E303+F303+G303+H303+I303+J303+K303+L303</f>
        <v>0</v>
      </c>
      <c r="O303">
        <f>E303+F303+G303+H303+I303+J303+K303+M303</f>
        <v>0</v>
      </c>
    </row>
    <row r="304" spans="3:15">
      <c r="C304">
        <f>34.0</f>
        <v>0</v>
      </c>
      <c r="D304">
        <f>14.0</f>
        <v>0</v>
      </c>
      <c r="E304">
        <f>E265*-31.2175</f>
        <v>0</v>
      </c>
      <c r="F304">
        <f>F265*-254.899</f>
        <v>0</v>
      </c>
      <c r="G304">
        <f>G265*-36.31</f>
        <v>0</v>
      </c>
      <c r="H304">
        <f>H265*0.0</f>
        <v>0</v>
      </c>
      <c r="I304">
        <f>I265*4.889</f>
        <v>0</v>
      </c>
      <c r="J304">
        <f>J265*315.84000000000003</f>
        <v>0</v>
      </c>
      <c r="K304">
        <f>K265*-236.8795</f>
        <v>0</v>
      </c>
      <c r="L304">
        <f>L265*28.676000000000002</f>
        <v>0</v>
      </c>
      <c r="M304">
        <f>M265*-354.3465</f>
        <v>0</v>
      </c>
      <c r="N304">
        <f>E304+F304+G304+H304+I304+J304+K304+L304</f>
        <v>0</v>
      </c>
      <c r="O304">
        <f>E304+F304+G304+H304+I304+J304+K304+M304</f>
        <v>0</v>
      </c>
    </row>
    <row r="305" spans="3:15">
      <c r="C305">
        <f>35.0</f>
        <v>0</v>
      </c>
      <c r="D305">
        <f>15.0</f>
        <v>0</v>
      </c>
      <c r="E305">
        <f>E265*-29.109</f>
        <v>0</v>
      </c>
      <c r="F305">
        <f>F265*-218.017</f>
        <v>0</v>
      </c>
      <c r="G305">
        <f>G265*-30.893499999999996</f>
        <v>0</v>
      </c>
      <c r="H305">
        <f>H265*0.0</f>
        <v>0</v>
      </c>
      <c r="I305">
        <f>I265*4.2935</f>
        <v>0</v>
      </c>
      <c r="J305">
        <f>J265*305.0105</f>
        <v>0</v>
      </c>
      <c r="K305">
        <f>K265*-228.75799999999998</f>
        <v>0</v>
      </c>
      <c r="L305">
        <f>L265*30.1405</f>
        <v>0</v>
      </c>
      <c r="M305">
        <f>M265*-302.28</f>
        <v>0</v>
      </c>
      <c r="N305">
        <f>E305+F305+G305+H305+I305+J305+K305+L305</f>
        <v>0</v>
      </c>
      <c r="O305">
        <f>E305+F305+G305+H305+I305+J305+K305+M305</f>
        <v>0</v>
      </c>
    </row>
    <row r="306" spans="3:15">
      <c r="C306">
        <f>35.91</f>
        <v>0</v>
      </c>
      <c r="D306">
        <f>15.91</f>
        <v>0</v>
      </c>
      <c r="E306">
        <f>E265*-21.8215</f>
        <v>0</v>
      </c>
      <c r="F306">
        <f>F265*-170.8575</f>
        <v>0</v>
      </c>
      <c r="G306">
        <f>G265*-24.3905</f>
        <v>0</v>
      </c>
      <c r="H306">
        <f>H265*0.0</f>
        <v>0</v>
      </c>
      <c r="I306">
        <f>I265*4.77</f>
        <v>0</v>
      </c>
      <c r="J306">
        <f>J265*331.17650000000003</f>
        <v>0</v>
      </c>
      <c r="K306">
        <f>K265*-248.3825</f>
        <v>0</v>
      </c>
      <c r="L306">
        <f>L265*31.9175</f>
        <v>0</v>
      </c>
      <c r="M306">
        <f>M265*-242.7645</f>
        <v>0</v>
      </c>
      <c r="N306">
        <f>E306+F306+G306+H306+I306+J306+K306+L306</f>
        <v>0</v>
      </c>
      <c r="O306">
        <f>E306+F306+G306+H306+I306+J306+K306+M306</f>
        <v>0</v>
      </c>
    </row>
    <row r="307" spans="3:15">
      <c r="C307">
        <f>36.82</f>
        <v>0</v>
      </c>
      <c r="D307">
        <f>16.82</f>
        <v>0</v>
      </c>
      <c r="E307">
        <f>E265*-12.007</f>
        <v>0</v>
      </c>
      <c r="F307">
        <f>F265*-118.71950000000001</f>
        <v>0</v>
      </c>
      <c r="G307">
        <f>G265*-17.325499999999998</f>
        <v>0</v>
      </c>
      <c r="H307">
        <f>H265*0.0</f>
        <v>0</v>
      </c>
      <c r="I307">
        <f>I265*5.5045</f>
        <v>0</v>
      </c>
      <c r="J307">
        <f>J265*366.0655</f>
        <v>0</v>
      </c>
      <c r="K307">
        <f>K265*-274.549</f>
        <v>0</v>
      </c>
      <c r="L307">
        <f>L265*32.029</f>
        <v>0</v>
      </c>
      <c r="M307">
        <f>M265*-175.65200000000002</f>
        <v>0</v>
      </c>
      <c r="N307">
        <f>E307+F307+G307+H307+I307+J307+K307+L307</f>
        <v>0</v>
      </c>
      <c r="O307">
        <f>E307+F307+G307+H307+I307+J307+K307+M307</f>
        <v>0</v>
      </c>
    </row>
    <row r="308" spans="3:15">
      <c r="C308">
        <f>37.73</f>
        <v>0</v>
      </c>
      <c r="D308">
        <f>17.73</f>
        <v>0</v>
      </c>
      <c r="E308">
        <f>E265*-5.5584999999999996</f>
        <v>0</v>
      </c>
      <c r="F308">
        <f>F265*-77.38999999999999</f>
        <v>0</v>
      </c>
      <c r="G308">
        <f>G265*-11.555</f>
        <v>0</v>
      </c>
      <c r="H308">
        <f>H265*0.0</f>
        <v>0</v>
      </c>
      <c r="I308">
        <f>I265*5.0504999999999995</f>
        <v>0</v>
      </c>
      <c r="J308">
        <f>J265*356.0365</f>
        <v>0</v>
      </c>
      <c r="K308">
        <f>K265*-267.02750000000003</f>
        <v>0</v>
      </c>
      <c r="L308">
        <f>L265*27.4</f>
        <v>0</v>
      </c>
      <c r="M308">
        <f>M265*-120.4365</f>
        <v>0</v>
      </c>
      <c r="N308">
        <f>E308+F308+G308+H308+I308+J308+K308+L308</f>
        <v>0</v>
      </c>
      <c r="O308">
        <f>E308+F308+G308+H308+I308+J308+K308+M308</f>
        <v>0</v>
      </c>
    </row>
    <row r="309" spans="3:15">
      <c r="C309">
        <f>38.64</f>
        <v>0</v>
      </c>
      <c r="D309">
        <f>18.64</f>
        <v>0</v>
      </c>
      <c r="E309">
        <f>E265*-1.637</f>
        <v>0</v>
      </c>
      <c r="F309">
        <f>F265*-36.524</f>
        <v>0</v>
      </c>
      <c r="G309">
        <f>G265*-5.57</f>
        <v>0</v>
      </c>
      <c r="H309">
        <f>H265*0.0</f>
        <v>0</v>
      </c>
      <c r="I309">
        <f>I265*2.975</f>
        <v>0</v>
      </c>
      <c r="J309">
        <f>J265*289.7535</f>
        <v>0</v>
      </c>
      <c r="K309">
        <f>K265*-217.31550000000001</f>
        <v>0</v>
      </c>
      <c r="L309">
        <f>L265*17.264000000000003</f>
        <v>0</v>
      </c>
      <c r="M309">
        <f>M265*-62.491</f>
        <v>0</v>
      </c>
      <c r="N309">
        <f>E309+F309+G309+H309+I309+J309+K309+L309</f>
        <v>0</v>
      </c>
      <c r="O309">
        <f>E309+F309+G309+H309+I309+J309+K309+M309</f>
        <v>0</v>
      </c>
    </row>
    <row r="310" spans="3:15">
      <c r="C310">
        <f>39.55</f>
        <v>0</v>
      </c>
      <c r="D310">
        <f>19.55</f>
        <v>0</v>
      </c>
      <c r="E310">
        <f>E265*-0.6855</f>
        <v>0</v>
      </c>
      <c r="F310">
        <f>F265*-14.493500000000001</f>
        <v>0</v>
      </c>
      <c r="G310">
        <f>G265*-2.197</f>
        <v>0</v>
      </c>
      <c r="H310">
        <f>H265*0.0</f>
        <v>0</v>
      </c>
      <c r="I310">
        <f>I265*0.9845</f>
        <v>0</v>
      </c>
      <c r="J310">
        <f>J265*219.03199999999998</f>
        <v>0</v>
      </c>
      <c r="K310">
        <f>K265*-164.274</f>
        <v>0</v>
      </c>
      <c r="L310">
        <f>L265*10.032</f>
        <v>0</v>
      </c>
      <c r="M310">
        <f>M265*-25.7395</f>
        <v>0</v>
      </c>
      <c r="N310">
        <f>E310+F310+G310+H310+I310+J310+K310+L310</f>
        <v>0</v>
      </c>
      <c r="O310">
        <f>E310+F310+G310+H310+I310+J310+K310+M310</f>
        <v>0</v>
      </c>
    </row>
    <row r="311" spans="3:15">
      <c r="C311">
        <f>40.0</f>
        <v>0</v>
      </c>
      <c r="D311">
        <f>20.0</f>
        <v>0</v>
      </c>
      <c r="E311">
        <f>E265*-1.203</f>
        <v>0</v>
      </c>
      <c r="F311">
        <f>F265*-14.469000000000001</f>
        <v>0</v>
      </c>
      <c r="G311">
        <f>G265*-2.138</f>
        <v>0</v>
      </c>
      <c r="H311">
        <f>H265*0.0</f>
        <v>0</v>
      </c>
      <c r="I311">
        <f>I265*0.565</f>
        <v>0</v>
      </c>
      <c r="J311">
        <f>J265*204.123</f>
        <v>0</v>
      </c>
      <c r="K311">
        <f>K265*-153.092</f>
        <v>0</v>
      </c>
      <c r="L311">
        <f>L265*8.445</f>
        <v>0</v>
      </c>
      <c r="M311">
        <f>M265*-23.854</f>
        <v>0</v>
      </c>
      <c r="N311">
        <f>E311+F311+G311+H311+I311+J311+K311+L311</f>
        <v>0</v>
      </c>
      <c r="O311">
        <f>E311+F311+G311+H311+I311+J311+K311+M311</f>
        <v>0</v>
      </c>
    </row>
    <row r="312" spans="3:15">
      <c r="C312">
        <f>40.0</f>
        <v>0</v>
      </c>
      <c r="D312">
        <f>0.0</f>
        <v>0</v>
      </c>
      <c r="E312">
        <f>E265*-0.308</f>
        <v>0</v>
      </c>
      <c r="F312">
        <f>F265*-4.717</f>
        <v>0</v>
      </c>
      <c r="G312">
        <f>G265*-0.758</f>
        <v>0</v>
      </c>
      <c r="H312">
        <f>H265*0.0</f>
        <v>0</v>
      </c>
      <c r="I312">
        <f>I265*-5.619</f>
        <v>0</v>
      </c>
      <c r="J312">
        <f>J265*194.088</f>
        <v>0</v>
      </c>
      <c r="K312">
        <f>K265*-145.566</f>
        <v>0</v>
      </c>
      <c r="L312">
        <f>L265*4.205</f>
        <v>0</v>
      </c>
      <c r="M312">
        <f>M265*-18.333</f>
        <v>0</v>
      </c>
      <c r="N312">
        <f>E312+F312+G312+H312+I312+J312+K312+L312</f>
        <v>0</v>
      </c>
      <c r="O312">
        <f>E312+F312+G312+H312+I312+J312+K312+M312</f>
        <v>0</v>
      </c>
    </row>
    <row r="313" spans="3:15">
      <c r="C313">
        <f>40.45</f>
        <v>0</v>
      </c>
      <c r="D313">
        <f>0.45</f>
        <v>0</v>
      </c>
      <c r="E313">
        <f>E265*0.5289999999999999</f>
        <v>0</v>
      </c>
      <c r="F313">
        <f>F265*-13.9865</f>
        <v>0</v>
      </c>
      <c r="G313">
        <f>G265*-2.165</f>
        <v>0</v>
      </c>
      <c r="H313">
        <f>H265*0.0</f>
        <v>0</v>
      </c>
      <c r="I313">
        <f>I265*13.737000000000002</f>
        <v>0</v>
      </c>
      <c r="J313">
        <f>J265*203.566</f>
        <v>0</v>
      </c>
      <c r="K313">
        <f>K265*-152.6745</f>
        <v>0</v>
      </c>
      <c r="L313">
        <f>L265*21.130499999999998</f>
        <v>0</v>
      </c>
      <c r="M313">
        <f>M265*-46.223499999999994</f>
        <v>0</v>
      </c>
      <c r="N313">
        <f>E313+F313+G313+H313+I313+J313+K313+L313</f>
        <v>0</v>
      </c>
      <c r="O313">
        <f>E313+F313+G313+H313+I313+J313+K313+M313</f>
        <v>0</v>
      </c>
    </row>
    <row r="314" spans="3:15">
      <c r="C314">
        <f>41.36</f>
        <v>0</v>
      </c>
      <c r="D314">
        <f>1.36</f>
        <v>0</v>
      </c>
      <c r="E314">
        <f>E265*1.3165</f>
        <v>0</v>
      </c>
      <c r="F314">
        <f>F265*-24.9165</f>
        <v>0</v>
      </c>
      <c r="G314">
        <f>G265*-3.9400000000000004</f>
        <v>0</v>
      </c>
      <c r="H314">
        <f>H265*0.0</f>
        <v>0</v>
      </c>
      <c r="I314">
        <f>I265*25.997500000000002</f>
        <v>0</v>
      </c>
      <c r="J314">
        <f>J265*283.083</f>
        <v>0</v>
      </c>
      <c r="K314">
        <f>K265*-212.312</f>
        <v>0</v>
      </c>
      <c r="L314">
        <f>L265*29.6015</f>
        <v>0</v>
      </c>
      <c r="M314">
        <f>M265*-81.0495</f>
        <v>0</v>
      </c>
      <c r="N314">
        <f>E314+F314+G314+H314+I314+J314+K314+L314</f>
        <v>0</v>
      </c>
      <c r="O314">
        <f>E314+F314+G314+H314+I314+J314+K314+M314</f>
        <v>0</v>
      </c>
    </row>
    <row r="315" spans="3:15">
      <c r="C315">
        <f>42.27</f>
        <v>0</v>
      </c>
      <c r="D315">
        <f>2.27</f>
        <v>0</v>
      </c>
      <c r="E315">
        <f>E265*0.024500000000000077</f>
        <v>0</v>
      </c>
      <c r="F315">
        <f>F265*-30.419999999999998</f>
        <v>0</v>
      </c>
      <c r="G315">
        <f>G265*-4.8165000000000004</f>
        <v>0</v>
      </c>
      <c r="H315">
        <f>H265*0.0</f>
        <v>0</v>
      </c>
      <c r="I315">
        <f>I265*13.923000000000002</f>
        <v>0</v>
      </c>
      <c r="J315">
        <f>J265*377.06050000000005</f>
        <v>0</v>
      </c>
      <c r="K315">
        <f>K265*-282.79549999999995</f>
        <v>0</v>
      </c>
      <c r="L315">
        <f>L265*24.68</f>
        <v>0</v>
      </c>
      <c r="M315">
        <f>M265*-92.26050000000001</f>
        <v>0</v>
      </c>
      <c r="N315">
        <f>E315+F315+G315+H315+I315+J315+K315+L315</f>
        <v>0</v>
      </c>
      <c r="O315">
        <f>E315+F315+G315+H315+I315+J315+K315+M315</f>
        <v>0</v>
      </c>
    </row>
    <row r="316" spans="3:15">
      <c r="C316">
        <f>43.18</f>
        <v>0</v>
      </c>
      <c r="D316">
        <f>3.18</f>
        <v>0</v>
      </c>
      <c r="E316">
        <f>E265*-3.5355</f>
        <v>0</v>
      </c>
      <c r="F316">
        <f>F265*-38.034</f>
        <v>0</v>
      </c>
      <c r="G316">
        <f>G265*-5.7170000000000005</f>
        <v>0</v>
      </c>
      <c r="H316">
        <f>H265*0.0</f>
        <v>0</v>
      </c>
      <c r="I316">
        <f>I265*-2.561000000000001</f>
        <v>0</v>
      </c>
      <c r="J316">
        <f>J265*412.96399999999994</f>
        <v>0</v>
      </c>
      <c r="K316">
        <f>K265*-309.723</f>
        <v>0</v>
      </c>
      <c r="L316">
        <f>L265*22.814499999999995</f>
        <v>0</v>
      </c>
      <c r="M316">
        <f>M265*-102.18650000000001</f>
        <v>0</v>
      </c>
      <c r="N316">
        <f>E316+F316+G316+H316+I316+J316+K316+L316</f>
        <v>0</v>
      </c>
      <c r="O316">
        <f>E316+F316+G316+H316+I316+J316+K316+M316</f>
        <v>0</v>
      </c>
    </row>
    <row r="317" spans="3:15">
      <c r="C317">
        <f>44.09</f>
        <v>0</v>
      </c>
      <c r="D317">
        <f>4.09</f>
        <v>0</v>
      </c>
      <c r="E317">
        <f>E265*-8.699</f>
        <v>0</v>
      </c>
      <c r="F317">
        <f>F265*-47.634</f>
        <v>0</v>
      </c>
      <c r="G317">
        <f>G265*-6.7095</f>
        <v>0</v>
      </c>
      <c r="H317">
        <f>H265*0.0</f>
        <v>0</v>
      </c>
      <c r="I317">
        <f>I265*-23.4735</f>
        <v>0</v>
      </c>
      <c r="J317">
        <f>J265*393.863</f>
        <v>0</v>
      </c>
      <c r="K317">
        <f>K265*-295.397</f>
        <v>0</v>
      </c>
      <c r="L317">
        <f>L265*18.499</f>
        <v>0</v>
      </c>
      <c r="M317">
        <f>M265*-109.7245</f>
        <v>0</v>
      </c>
      <c r="N317">
        <f>E317+F317+G317+H317+I317+J317+K317+L317</f>
        <v>0</v>
      </c>
      <c r="O317">
        <f>E317+F317+G317+H317+I317+J317+K317+M317</f>
        <v>0</v>
      </c>
    </row>
    <row r="318" spans="3:15">
      <c r="C318">
        <f>45.0</f>
        <v>0</v>
      </c>
      <c r="D318">
        <f>5.0</f>
        <v>0</v>
      </c>
      <c r="E318">
        <f>E265*-11.703</f>
        <v>0</v>
      </c>
      <c r="F318">
        <f>F265*-53.5345</f>
        <v>0</v>
      </c>
      <c r="G318">
        <f>G265*-7.3084999999999996</f>
        <v>0</v>
      </c>
      <c r="H318">
        <f>H265*0.0</f>
        <v>0</v>
      </c>
      <c r="I318">
        <f>I265*-35.5305</f>
        <v>0</v>
      </c>
      <c r="J318">
        <f>J265*390.668</f>
        <v>0</v>
      </c>
      <c r="K318">
        <f>K265*-293.001</f>
        <v>0</v>
      </c>
      <c r="L318">
        <f>L265*15.030000000000001</f>
        <v>0</v>
      </c>
      <c r="M318">
        <f>M265*-114.85849999999999</f>
        <v>0</v>
      </c>
      <c r="N318">
        <f>E318+F318+G318+H318+I318+J318+K318+L318</f>
        <v>0</v>
      </c>
      <c r="O318">
        <f>E318+F318+G318+H318+I318+J318+K318+M318</f>
        <v>0</v>
      </c>
    </row>
    <row r="319" spans="3:15">
      <c r="C319">
        <f>46.0</f>
        <v>0</v>
      </c>
      <c r="D319">
        <f>6.0</f>
        <v>0</v>
      </c>
      <c r="E319">
        <f>E265*-10.4615</f>
        <v>0</v>
      </c>
      <c r="F319">
        <f>F265*-53.732</f>
        <v>0</v>
      </c>
      <c r="G319">
        <f>G265*-7.4345</f>
        <v>0</v>
      </c>
      <c r="H319">
        <f>H265*0.0</f>
        <v>0</v>
      </c>
      <c r="I319">
        <f>I265*-32.2235</f>
        <v>0</v>
      </c>
      <c r="J319">
        <f>J265*434.5955</f>
        <v>0</v>
      </c>
      <c r="K319">
        <f>K265*-325.9465</f>
        <v>0</v>
      </c>
      <c r="L319">
        <f>L265*11.604</f>
        <v>0</v>
      </c>
      <c r="M319">
        <f>M265*-113.34299999999999</f>
        <v>0</v>
      </c>
      <c r="N319">
        <f>E319+F319+G319+H319+I319+J319+K319+L319</f>
        <v>0</v>
      </c>
      <c r="O319">
        <f>E319+F319+G319+H319+I319+J319+K319+M319</f>
        <v>0</v>
      </c>
    </row>
    <row r="320" spans="3:15">
      <c r="C320">
        <f>47.0</f>
        <v>0</v>
      </c>
      <c r="D320">
        <f>7.0</f>
        <v>0</v>
      </c>
      <c r="E320">
        <f>E265*-6.5205</f>
        <v>0</v>
      </c>
      <c r="F320">
        <f>F265*-47.789</f>
        <v>0</v>
      </c>
      <c r="G320">
        <f>G265*-6.8585</f>
        <v>0</v>
      </c>
      <c r="H320">
        <f>H265*0.0</f>
        <v>0</v>
      </c>
      <c r="I320">
        <f>I265*-19.6995</f>
        <v>0</v>
      </c>
      <c r="J320">
        <f>J265*479.92049999999995</f>
        <v>0</v>
      </c>
      <c r="K320">
        <f>K265*-359.9405</f>
        <v>0</v>
      </c>
      <c r="L320">
        <f>L265*10.5185</f>
        <v>0</v>
      </c>
      <c r="M320">
        <f>M265*-104.5175</f>
        <v>0</v>
      </c>
      <c r="N320">
        <f>E320+F320+G320+H320+I320+J320+K320+L320</f>
        <v>0</v>
      </c>
      <c r="O320">
        <f>E320+F320+G320+H320+I320+J320+K320+M320</f>
        <v>0</v>
      </c>
    </row>
    <row r="321" spans="3:15">
      <c r="C321">
        <f>48.0</f>
        <v>0</v>
      </c>
      <c r="D321">
        <f>8.0</f>
        <v>0</v>
      </c>
      <c r="E321">
        <f>E265*-3.2079999999999997</f>
        <v>0</v>
      </c>
      <c r="F321">
        <f>F265*-36.894</f>
        <v>0</v>
      </c>
      <c r="G321">
        <f>G265*-5.441</f>
        <v>0</v>
      </c>
      <c r="H321">
        <f>H265*0.0</f>
        <v>0</v>
      </c>
      <c r="I321">
        <f>I265*-10.629</f>
        <v>0</v>
      </c>
      <c r="J321">
        <f>J265*437.5485</f>
        <v>0</v>
      </c>
      <c r="K321">
        <f>K265*-328.16150000000005</f>
        <v>0</v>
      </c>
      <c r="L321">
        <f>L265*8.3385</f>
        <v>0</v>
      </c>
      <c r="M321">
        <f>M265*-84.7775</f>
        <v>0</v>
      </c>
      <c r="N321">
        <f>E321+F321+G321+H321+I321+J321+K321+L321</f>
        <v>0</v>
      </c>
      <c r="O321">
        <f>E321+F321+G321+H321+I321+J321+K321+M321</f>
        <v>0</v>
      </c>
    </row>
    <row r="322" spans="3:15">
      <c r="C322">
        <f>49.0</f>
        <v>0</v>
      </c>
      <c r="D322">
        <f>9.0</f>
        <v>0</v>
      </c>
      <c r="E322">
        <f>E265*-0.7144999999999999</f>
        <v>0</v>
      </c>
      <c r="F322">
        <f>F265*-23.570500000000003</f>
        <v>0</v>
      </c>
      <c r="G322">
        <f>G265*-3.5685000000000002</f>
        <v>0</v>
      </c>
      <c r="H322">
        <f>H265*0.0</f>
        <v>0</v>
      </c>
      <c r="I322">
        <f>I265*-3.478</f>
        <v>0</v>
      </c>
      <c r="J322">
        <f>J265*281.806</f>
        <v>0</v>
      </c>
      <c r="K322">
        <f>K265*-211.35449999999997</f>
        <v>0</v>
      </c>
      <c r="L322">
        <f>L265*4.574</f>
        <v>0</v>
      </c>
      <c r="M322">
        <f>M265*-57.9015</f>
        <v>0</v>
      </c>
      <c r="N322">
        <f>E322+F322+G322+H322+I322+J322+K322+L322</f>
        <v>0</v>
      </c>
      <c r="O322">
        <f>E322+F322+G322+H322+I322+J322+K322+M322</f>
        <v>0</v>
      </c>
    </row>
    <row r="330" spans="3:15">
      <c r="C330" t="s">
        <v>0</v>
      </c>
      <c r="D330" t="s">
        <v>1</v>
      </c>
      <c r="E330" t="s">
        <v>2</v>
      </c>
      <c r="F330" t="s">
        <v>3</v>
      </c>
      <c r="G330" t="s">
        <v>4</v>
      </c>
      <c r="H330" t="s">
        <v>5</v>
      </c>
      <c r="I330" t="s">
        <v>6</v>
      </c>
      <c r="J330" t="s">
        <v>7</v>
      </c>
      <c r="K330" t="s">
        <v>8</v>
      </c>
      <c r="L330" t="s">
        <v>9</v>
      </c>
      <c r="M330" t="s">
        <v>10</v>
      </c>
      <c r="N330" t="s">
        <v>11</v>
      </c>
      <c r="O330" t="s">
        <v>12</v>
      </c>
    </row>
    <row r="331" spans="3:15">
      <c r="C331">
        <f>0.0</f>
        <v>0</v>
      </c>
      <c r="D331">
        <f>0.0</f>
        <v>0</v>
      </c>
      <c r="E331">
        <f>E329*3.3371</f>
        <v>0</v>
      </c>
      <c r="F331">
        <f>F329*1.79</f>
        <v>0</v>
      </c>
      <c r="G331">
        <f>G329*0.0292</f>
        <v>0</v>
      </c>
      <c r="H331">
        <f>H329*0.0</f>
        <v>0</v>
      </c>
      <c r="I331">
        <f>I329*-0.0309</f>
        <v>0</v>
      </c>
      <c r="J331">
        <f>J329*-51.5315</f>
        <v>0</v>
      </c>
      <c r="K331">
        <f>K329*38.6486</f>
        <v>0</v>
      </c>
      <c r="L331">
        <f>L329*120.4678</f>
        <v>0</v>
      </c>
      <c r="M331">
        <f>M329*-134.1462</f>
        <v>0</v>
      </c>
      <c r="N331">
        <f>E331+F331+G331+H331+I331+J331+K331+L331</f>
        <v>0</v>
      </c>
      <c r="O331">
        <f>E331+F331+G331+H331+I331+J331+K331+M331</f>
        <v>0</v>
      </c>
    </row>
    <row r="332" spans="3:15">
      <c r="C332">
        <f>1.0</f>
        <v>0</v>
      </c>
      <c r="D332">
        <f>1.0</f>
        <v>0</v>
      </c>
      <c r="E332">
        <f>E329*3.5107999999999997</f>
        <v>0</v>
      </c>
      <c r="F332">
        <f>F329*2.30885</f>
        <v>0</v>
      </c>
      <c r="G332">
        <f>G329*0.0906</f>
        <v>0</v>
      </c>
      <c r="H332">
        <f>H329*0.0</f>
        <v>0</v>
      </c>
      <c r="I332">
        <f>I329*-0.0327</f>
        <v>0</v>
      </c>
      <c r="J332">
        <f>J329*-53.5019</f>
        <v>0</v>
      </c>
      <c r="K332">
        <f>K329*40.126400000000004</f>
        <v>0</v>
      </c>
      <c r="L332">
        <f>L329*121.6899</f>
        <v>0</v>
      </c>
      <c r="M332">
        <f>M329*-123.6359</f>
        <v>0</v>
      </c>
      <c r="N332">
        <f>E332+F332+G332+H332+I332+J332+K332+L332</f>
        <v>0</v>
      </c>
      <c r="O332">
        <f>E332+F332+G332+H332+I332+J332+K332+M332</f>
        <v>0</v>
      </c>
    </row>
    <row r="333" spans="3:15">
      <c r="C333">
        <f>2.0</f>
        <v>0</v>
      </c>
      <c r="D333">
        <f>2.0</f>
        <v>0</v>
      </c>
      <c r="E333">
        <f>E329*4.5241</f>
        <v>0</v>
      </c>
      <c r="F333">
        <f>F329*2.44435</f>
        <v>0</v>
      </c>
      <c r="G333">
        <f>G329*0.05385</f>
        <v>0</v>
      </c>
      <c r="H333">
        <f>H329*0.0</f>
        <v>0</v>
      </c>
      <c r="I333">
        <f>I329*-0.038500000000000006</f>
        <v>0</v>
      </c>
      <c r="J333">
        <f>J329*-58.3262</f>
        <v>0</v>
      </c>
      <c r="K333">
        <f>K329*43.74465</f>
        <v>0</v>
      </c>
      <c r="L333">
        <f>L329*129.35925</f>
        <v>0</v>
      </c>
      <c r="M333">
        <f>M329*-126.39495</f>
        <v>0</v>
      </c>
      <c r="N333">
        <f>E333+F333+G333+H333+I333+J333+K333+L333</f>
        <v>0</v>
      </c>
      <c r="O333">
        <f>E333+F333+G333+H333+I333+J333+K333+M333</f>
        <v>0</v>
      </c>
    </row>
    <row r="334" spans="3:15">
      <c r="C334">
        <f>3.0</f>
        <v>0</v>
      </c>
      <c r="D334">
        <f>3.0</f>
        <v>0</v>
      </c>
      <c r="E334">
        <f>E329*5.08045</f>
        <v>0</v>
      </c>
      <c r="F334">
        <f>F329*2.6027500000000003</f>
        <v>0</v>
      </c>
      <c r="G334">
        <f>G329*0.0598</f>
        <v>0</v>
      </c>
      <c r="H334">
        <f>H329*0.0</f>
        <v>0</v>
      </c>
      <c r="I334">
        <f>I329*-0.04445</f>
        <v>0</v>
      </c>
      <c r="J334">
        <f>J329*-52.27465</f>
        <v>0</v>
      </c>
      <c r="K334">
        <f>K329*39.206</f>
        <v>0</v>
      </c>
      <c r="L334">
        <f>L329*134.75920000000002</f>
        <v>0</v>
      </c>
      <c r="M334">
        <f>M329*-126.68915000000001</f>
        <v>0</v>
      </c>
      <c r="N334">
        <f>E334+F334+G334+H334+I334+J334+K334+L334</f>
        <v>0</v>
      </c>
      <c r="O334">
        <f>E334+F334+G334+H334+I334+J334+K334+M334</f>
        <v>0</v>
      </c>
    </row>
    <row r="335" spans="3:15">
      <c r="C335">
        <f>4.0</f>
        <v>0</v>
      </c>
      <c r="D335">
        <f>4.0</f>
        <v>0</v>
      </c>
      <c r="E335">
        <f>E329*4.88375</f>
        <v>0</v>
      </c>
      <c r="F335">
        <f>F329*2.7384000000000004</f>
        <v>0</v>
      </c>
      <c r="G335">
        <f>G329*0.1048</f>
        <v>0</v>
      </c>
      <c r="H335">
        <f>H329*0.0</f>
        <v>0</v>
      </c>
      <c r="I335">
        <f>I329*-0.0503</f>
        <v>0</v>
      </c>
      <c r="J335">
        <f>J329*-45.65195</f>
        <v>0</v>
      </c>
      <c r="K335">
        <f>K329*34.239000000000004</f>
        <v>0</v>
      </c>
      <c r="L335">
        <f>L329*139.2702</f>
        <v>0</v>
      </c>
      <c r="M335">
        <f>M329*-124.96685</f>
        <v>0</v>
      </c>
      <c r="N335">
        <f>E335+F335+G335+H335+I335+J335+K335+L335</f>
        <v>0</v>
      </c>
      <c r="O335">
        <f>E335+F335+G335+H335+I335+J335+K335+M335</f>
        <v>0</v>
      </c>
    </row>
    <row r="336" spans="3:15">
      <c r="C336">
        <f>5.0</f>
        <v>0</v>
      </c>
      <c r="D336">
        <f>5.0</f>
        <v>0</v>
      </c>
      <c r="E336">
        <f>E329*3.7704000000000004</f>
        <v>0</v>
      </c>
      <c r="F336">
        <f>F329*1.7172999999999998</f>
        <v>0</v>
      </c>
      <c r="G336">
        <f>G329*0.013200000000000003</f>
        <v>0</v>
      </c>
      <c r="H336">
        <f>H329*0.0</f>
        <v>0</v>
      </c>
      <c r="I336">
        <f>I329*-0.055099999999999996</f>
        <v>0</v>
      </c>
      <c r="J336">
        <f>J329*-40.43535</f>
        <v>0</v>
      </c>
      <c r="K336">
        <f>K329*30.326499999999996</f>
        <v>0</v>
      </c>
      <c r="L336">
        <f>L329*139.91899999999998</f>
        <v>0</v>
      </c>
      <c r="M336">
        <f>M329*-123.55515</f>
        <v>0</v>
      </c>
      <c r="N336">
        <f>E336+F336+G336+H336+I336+J336+K336+L336</f>
        <v>0</v>
      </c>
      <c r="O336">
        <f>E336+F336+G336+H336+I336+J336+K336+M336</f>
        <v>0</v>
      </c>
    </row>
    <row r="337" spans="3:15">
      <c r="C337">
        <f>6.0</f>
        <v>0</v>
      </c>
      <c r="D337">
        <f>6.0</f>
        <v>0</v>
      </c>
      <c r="E337">
        <f>E329*2.5161499999999997</f>
        <v>0</v>
      </c>
      <c r="F337">
        <f>F329*0.6315</f>
        <v>0</v>
      </c>
      <c r="G337">
        <f>G329*-0.08015</f>
        <v>0</v>
      </c>
      <c r="H337">
        <f>H329*0.0</f>
        <v>0</v>
      </c>
      <c r="I337">
        <f>I329*-0.057300000000000004</f>
        <v>0</v>
      </c>
      <c r="J337">
        <f>J329*-34.144</f>
        <v>0</v>
      </c>
      <c r="K337">
        <f>K329*25.607999999999997</f>
        <v>0</v>
      </c>
      <c r="L337">
        <f>L329*131.46210000000002</f>
        <v>0</v>
      </c>
      <c r="M337">
        <f>M329*-115.3536</f>
        <v>0</v>
      </c>
      <c r="N337">
        <f>E337+F337+G337+H337+I337+J337+K337+L337</f>
        <v>0</v>
      </c>
      <c r="O337">
        <f>E337+F337+G337+H337+I337+J337+K337+M337</f>
        <v>0</v>
      </c>
    </row>
    <row r="338" spans="3:15">
      <c r="C338">
        <f>7.0</f>
        <v>0</v>
      </c>
      <c r="D338">
        <f>7.0</f>
        <v>0</v>
      </c>
      <c r="E338">
        <f>E329*1.94705</f>
        <v>0</v>
      </c>
      <c r="F338">
        <f>F329*0.6134</f>
        <v>0</v>
      </c>
      <c r="G338">
        <f>G329*-0.0378</f>
        <v>0</v>
      </c>
      <c r="H338">
        <f>H329*0.0</f>
        <v>0</v>
      </c>
      <c r="I338">
        <f>I329*-0.058899999999999994</f>
        <v>0</v>
      </c>
      <c r="J338">
        <f>J329*-25.3059</f>
        <v>0</v>
      </c>
      <c r="K338">
        <f>K329*18.9794</f>
        <v>0</v>
      </c>
      <c r="L338">
        <f>L329*122.64320000000001</f>
        <v>0</v>
      </c>
      <c r="M338">
        <f>M329*-104.21154999999999</f>
        <v>0</v>
      </c>
      <c r="N338">
        <f>E338+F338+G338+H338+I338+J338+K338+L338</f>
        <v>0</v>
      </c>
      <c r="O338">
        <f>E338+F338+G338+H338+I338+J338+K338+M338</f>
        <v>0</v>
      </c>
    </row>
    <row r="339" spans="3:15">
      <c r="C339">
        <f>8.0</f>
        <v>0</v>
      </c>
      <c r="D339">
        <f>8.0</f>
        <v>0</v>
      </c>
      <c r="E339">
        <f>E329*1.64845</f>
        <v>0</v>
      </c>
      <c r="F339">
        <f>F329*0.67145</f>
        <v>0</v>
      </c>
      <c r="G339">
        <f>G329*0.0036867000000000002</f>
        <v>0</v>
      </c>
      <c r="H339">
        <f>H329*0.0</f>
        <v>0</v>
      </c>
      <c r="I339">
        <f>I329*-0.06175</f>
        <v>0</v>
      </c>
      <c r="J339">
        <f>J329*-13.07665</f>
        <v>0</v>
      </c>
      <c r="K339">
        <f>K329*9.8075</f>
        <v>0</v>
      </c>
      <c r="L339">
        <f>L329*114.9354</f>
        <v>0</v>
      </c>
      <c r="M339">
        <f>M329*-96.31555</f>
        <v>0</v>
      </c>
      <c r="N339">
        <f>E339+F339+G339+H339+I339+J339+K339+L339</f>
        <v>0</v>
      </c>
      <c r="O339">
        <f>E339+F339+G339+H339+I339+J339+K339+M339</f>
        <v>0</v>
      </c>
    </row>
    <row r="340" spans="3:15">
      <c r="C340">
        <f>9.0</f>
        <v>0</v>
      </c>
      <c r="D340">
        <f>9.0</f>
        <v>0</v>
      </c>
      <c r="E340">
        <f>E329*1.1163</f>
        <v>0</v>
      </c>
      <c r="F340">
        <f>F329*0.79155</f>
        <v>0</v>
      </c>
      <c r="G340">
        <f>G329*0.062049999999999994</f>
        <v>0</v>
      </c>
      <c r="H340">
        <f>H329*0.0</f>
        <v>0</v>
      </c>
      <c r="I340">
        <f>I329*-0.06585</f>
        <v>0</v>
      </c>
      <c r="J340">
        <f>J329*-4.4872499999999995</f>
        <v>0</v>
      </c>
      <c r="K340">
        <f>K329*3.36545</f>
        <v>0</v>
      </c>
      <c r="L340">
        <f>L329*109.53155000000001</f>
        <v>0</v>
      </c>
      <c r="M340">
        <f>M329*-91.06095</f>
        <v>0</v>
      </c>
      <c r="N340">
        <f>E340+F340+G340+H340+I340+J340+K340+L340</f>
        <v>0</v>
      </c>
      <c r="O340">
        <f>E340+F340+G340+H340+I340+J340+K340+M340</f>
        <v>0</v>
      </c>
    </row>
    <row r="341" spans="3:15">
      <c r="C341">
        <f>10.0</f>
        <v>0</v>
      </c>
      <c r="D341">
        <f>10.0</f>
        <v>0</v>
      </c>
      <c r="E341">
        <f>E329*0.38195</f>
        <v>0</v>
      </c>
      <c r="F341">
        <f>F329*-0.6428</f>
        <v>0</v>
      </c>
      <c r="G341">
        <f>G329*-0.12315000000000001</f>
        <v>0</v>
      </c>
      <c r="H341">
        <f>H329*0.0</f>
        <v>0</v>
      </c>
      <c r="I341">
        <f>I329*-0.06935</f>
        <v>0</v>
      </c>
      <c r="J341">
        <f>J329*-5.51475</f>
        <v>0</v>
      </c>
      <c r="K341">
        <f>K329*4.13605</f>
        <v>0</v>
      </c>
      <c r="L341">
        <f>L329*98.63445</f>
        <v>0</v>
      </c>
      <c r="M341">
        <f>M329*-87.80085</f>
        <v>0</v>
      </c>
      <c r="N341">
        <f>E341+F341+G341+H341+I341+J341+K341+L341</f>
        <v>0</v>
      </c>
      <c r="O341">
        <f>E341+F341+G341+H341+I341+J341+K341+M341</f>
        <v>0</v>
      </c>
    </row>
    <row r="342" spans="3:15">
      <c r="C342">
        <f>11.0</f>
        <v>0</v>
      </c>
      <c r="D342">
        <f>11.0</f>
        <v>0</v>
      </c>
      <c r="E342">
        <f>E329*-0.32145</f>
        <v>0</v>
      </c>
      <c r="F342">
        <f>F329*-1.90065</f>
        <v>0</v>
      </c>
      <c r="G342">
        <f>G329*-0.2854</f>
        <v>0</v>
      </c>
      <c r="H342">
        <f>H329*0.0</f>
        <v>0</v>
      </c>
      <c r="I342">
        <f>I329*-0.0698</f>
        <v>0</v>
      </c>
      <c r="J342">
        <f>J329*-6.81445</f>
        <v>0</v>
      </c>
      <c r="K342">
        <f>K329*5.11085</f>
        <v>0</v>
      </c>
      <c r="L342">
        <f>L329*86.83905</f>
        <v>0</v>
      </c>
      <c r="M342">
        <f>M329*-92.66825</f>
        <v>0</v>
      </c>
      <c r="N342">
        <f>E342+F342+G342+H342+I342+J342+K342+L342</f>
        <v>0</v>
      </c>
      <c r="O342">
        <f>E342+F342+G342+H342+I342+J342+K342+M342</f>
        <v>0</v>
      </c>
    </row>
    <row r="343" spans="3:15">
      <c r="C343">
        <f>12.0</f>
        <v>0</v>
      </c>
      <c r="D343">
        <f>12.0</f>
        <v>0</v>
      </c>
      <c r="E343">
        <f>E329*-0.74895</f>
        <v>0</v>
      </c>
      <c r="F343">
        <f>F329*-1.2067</f>
        <v>0</v>
      </c>
      <c r="G343">
        <f>G329*-0.1529</f>
        <v>0</v>
      </c>
      <c r="H343">
        <f>H329*0.0</f>
        <v>0</v>
      </c>
      <c r="I343">
        <f>I329*-0.06989999999999999</f>
        <v>0</v>
      </c>
      <c r="J343">
        <f>J329*0.8438000000000001</f>
        <v>0</v>
      </c>
      <c r="K343">
        <f>K329*-0.6328000000000001</f>
        <v>0</v>
      </c>
      <c r="L343">
        <f>L329*87.661</f>
        <v>0</v>
      </c>
      <c r="M343">
        <f>M329*-92.01215</f>
        <v>0</v>
      </c>
      <c r="N343">
        <f>E343+F343+G343+H343+I343+J343+K343+L343</f>
        <v>0</v>
      </c>
      <c r="O343">
        <f>E343+F343+G343+H343+I343+J343+K343+M343</f>
        <v>0</v>
      </c>
    </row>
    <row r="344" spans="3:15">
      <c r="C344">
        <f>13.0</f>
        <v>0</v>
      </c>
      <c r="D344">
        <f>13.0</f>
        <v>0</v>
      </c>
      <c r="E344">
        <f>E329*-0.8957999999999999</f>
        <v>0</v>
      </c>
      <c r="F344">
        <f>F329*-0.22875</f>
        <v>0</v>
      </c>
      <c r="G344">
        <f>G329*0.0084</f>
        <v>0</v>
      </c>
      <c r="H344">
        <f>H329*0.0</f>
        <v>0</v>
      </c>
      <c r="I344">
        <f>I329*-0.07185</f>
        <v>0</v>
      </c>
      <c r="J344">
        <f>J329*11.88645</f>
        <v>0</v>
      </c>
      <c r="K344">
        <f>K329*-8.91485</f>
        <v>0</v>
      </c>
      <c r="L344">
        <f>L329*87.9229</f>
        <v>0</v>
      </c>
      <c r="M344">
        <f>M329*-99.76395</f>
        <v>0</v>
      </c>
      <c r="N344">
        <f>E344+F344+G344+H344+I344+J344+K344+L344</f>
        <v>0</v>
      </c>
      <c r="O344">
        <f>E344+F344+G344+H344+I344+J344+K344+M344</f>
        <v>0</v>
      </c>
    </row>
    <row r="345" spans="3:15">
      <c r="C345">
        <f>14.0</f>
        <v>0</v>
      </c>
      <c r="D345">
        <f>14.0</f>
        <v>0</v>
      </c>
      <c r="E345">
        <f>E329*-1.28295</f>
        <v>0</v>
      </c>
      <c r="F345">
        <f>F329*0.9809000000000001</f>
        <v>0</v>
      </c>
      <c r="G345">
        <f>G329*0.21235</f>
        <v>0</v>
      </c>
      <c r="H345">
        <f>H329*0.0</f>
        <v>0</v>
      </c>
      <c r="I345">
        <f>I329*-0.07569999999999999</f>
        <v>0</v>
      </c>
      <c r="J345">
        <f>J329*19.734949999999998</f>
        <v>0</v>
      </c>
      <c r="K345">
        <f>K329*-14.8012</f>
        <v>0</v>
      </c>
      <c r="L345">
        <f>L329*96.91875</f>
        <v>0</v>
      </c>
      <c r="M345">
        <f>M329*-109.5478</f>
        <v>0</v>
      </c>
      <c r="N345">
        <f>E345+F345+G345+H345+I345+J345+K345+L345</f>
        <v>0</v>
      </c>
      <c r="O345">
        <f>E345+F345+G345+H345+I345+J345+K345+M345</f>
        <v>0</v>
      </c>
    </row>
    <row r="346" spans="3:15">
      <c r="C346">
        <f>15.0</f>
        <v>0</v>
      </c>
      <c r="D346">
        <f>15.0</f>
        <v>0</v>
      </c>
      <c r="E346">
        <f>E329*-1.8790499999999999</f>
        <v>0</v>
      </c>
      <c r="F346">
        <f>F329*2.8382</f>
        <v>0</v>
      </c>
      <c r="G346">
        <f>G329*0.4888</f>
        <v>0</v>
      </c>
      <c r="H346">
        <f>H329*0.0</f>
        <v>0</v>
      </c>
      <c r="I346">
        <f>I329*-0.0809</f>
        <v>0</v>
      </c>
      <c r="J346">
        <f>J329*21.64835</f>
        <v>0</v>
      </c>
      <c r="K346">
        <f>K329*-16.236250000000002</f>
        <v>0</v>
      </c>
      <c r="L346">
        <f>L329*108.89795000000001</f>
        <v>0</v>
      </c>
      <c r="M346">
        <f>M329*-121.94035</f>
        <v>0</v>
      </c>
      <c r="N346">
        <f>E346+F346+G346+H346+I346+J346+K346+L346</f>
        <v>0</v>
      </c>
      <c r="O346">
        <f>E346+F346+G346+H346+I346+J346+K346+M346</f>
        <v>0</v>
      </c>
    </row>
    <row r="347" spans="3:15">
      <c r="C347">
        <f>15.91</f>
        <v>0</v>
      </c>
      <c r="D347">
        <f>15.91</f>
        <v>0</v>
      </c>
      <c r="E347">
        <f>E329*-2.4124499999999998</f>
        <v>0</v>
      </c>
      <c r="F347">
        <f>F329*4.824949999999999</f>
        <v>0</v>
      </c>
      <c r="G347">
        <f>G329*0.78105</f>
        <v>0</v>
      </c>
      <c r="H347">
        <f>H329*0.0</f>
        <v>0</v>
      </c>
      <c r="I347">
        <f>I329*-0.0829</f>
        <v>0</v>
      </c>
      <c r="J347">
        <f>J329*22.9935</f>
        <v>0</v>
      </c>
      <c r="K347">
        <f>K329*-17.2451</f>
        <v>0</v>
      </c>
      <c r="L347">
        <f>L329*115.16104999999999</f>
        <v>0</v>
      </c>
      <c r="M347">
        <f>M329*-126.0436</f>
        <v>0</v>
      </c>
      <c r="N347">
        <f>E347+F347+G347+H347+I347+J347+K347+L347</f>
        <v>0</v>
      </c>
      <c r="O347">
        <f>E347+F347+G347+H347+I347+J347+K347+M347</f>
        <v>0</v>
      </c>
    </row>
    <row r="348" spans="3:15">
      <c r="C348">
        <f>16.82</f>
        <v>0</v>
      </c>
      <c r="D348">
        <f>16.82</f>
        <v>0</v>
      </c>
      <c r="E348">
        <f>E329*-2.64975</f>
        <v>0</v>
      </c>
      <c r="F348">
        <f>F329*6.914350000000001</f>
        <v>0</v>
      </c>
      <c r="G348">
        <f>G329*1.10155</f>
        <v>0</v>
      </c>
      <c r="H348">
        <f>H329*0.0</f>
        <v>0</v>
      </c>
      <c r="I348">
        <f>I329*-0.0826</f>
        <v>0</v>
      </c>
      <c r="J348">
        <f>J329*30.840049999999998</f>
        <v>0</v>
      </c>
      <c r="K348">
        <f>K329*-23.13005</f>
        <v>0</v>
      </c>
      <c r="L348">
        <f>L329*124.11675</f>
        <v>0</v>
      </c>
      <c r="M348">
        <f>M329*-127.54395</f>
        <v>0</v>
      </c>
      <c r="N348">
        <f>E348+F348+G348+H348+I348+J348+K348+L348</f>
        <v>0</v>
      </c>
      <c r="O348">
        <f>E348+F348+G348+H348+I348+J348+K348+M348</f>
        <v>0</v>
      </c>
    </row>
    <row r="349" spans="3:15">
      <c r="C349">
        <f>17.73</f>
        <v>0</v>
      </c>
      <c r="D349">
        <f>17.73</f>
        <v>0</v>
      </c>
      <c r="E349">
        <f>E329*-2.47715</f>
        <v>0</v>
      </c>
      <c r="F349">
        <f>F329*9.202300000000001</f>
        <v>0</v>
      </c>
      <c r="G349">
        <f>G329*1.4329999999999998</f>
        <v>0</v>
      </c>
      <c r="H349">
        <f>H329*0.0</f>
        <v>0</v>
      </c>
      <c r="I349">
        <f>I329*-0.0838</f>
        <v>0</v>
      </c>
      <c r="J349">
        <f>J329*42.6479</f>
        <v>0</v>
      </c>
      <c r="K349">
        <f>K329*-31.9859</f>
        <v>0</v>
      </c>
      <c r="L349">
        <f>L329*137.89395</f>
        <v>0</v>
      </c>
      <c r="M349">
        <f>M329*-131.41385</f>
        <v>0</v>
      </c>
      <c r="N349">
        <f>E349+F349+G349+H349+I349+J349+K349+L349</f>
        <v>0</v>
      </c>
      <c r="O349">
        <f>E349+F349+G349+H349+I349+J349+K349+M349</f>
        <v>0</v>
      </c>
    </row>
    <row r="350" spans="3:15">
      <c r="C350">
        <f>18.64</f>
        <v>0</v>
      </c>
      <c r="D350">
        <f>18.64</f>
        <v>0</v>
      </c>
      <c r="E350">
        <f>E329*-2.1654999999999998</f>
        <v>0</v>
      </c>
      <c r="F350">
        <f>F329*10.82675</f>
        <v>0</v>
      </c>
      <c r="G350">
        <f>G329*1.66105</f>
        <v>0</v>
      </c>
      <c r="H350">
        <f>H329*0.0</f>
        <v>0</v>
      </c>
      <c r="I350">
        <f>I329*-0.0856</f>
        <v>0</v>
      </c>
      <c r="J350">
        <f>J329*49.7732</f>
        <v>0</v>
      </c>
      <c r="K350">
        <f>K329*-37.329899999999995</f>
        <v>0</v>
      </c>
      <c r="L350">
        <f>L329*153.9904</f>
        <v>0</v>
      </c>
      <c r="M350">
        <f>M329*-134.873</f>
        <v>0</v>
      </c>
      <c r="N350">
        <f>E350+F350+G350+H350+I350+J350+K350+L350</f>
        <v>0</v>
      </c>
      <c r="O350">
        <f>E350+F350+G350+H350+I350+J350+K350+M350</f>
        <v>0</v>
      </c>
    </row>
    <row r="351" spans="3:15">
      <c r="C351">
        <f>19.55</f>
        <v>0</v>
      </c>
      <c r="D351">
        <f>19.55</f>
        <v>0</v>
      </c>
      <c r="E351">
        <f>E329*-1.76935</f>
        <v>0</v>
      </c>
      <c r="F351">
        <f>F329*11.924050000000001</f>
        <v>0</v>
      </c>
      <c r="G351">
        <f>G329*1.8017</f>
        <v>0</v>
      </c>
      <c r="H351">
        <f>H329*0.0</f>
        <v>0</v>
      </c>
      <c r="I351">
        <f>I329*-0.08265</f>
        <v>0</v>
      </c>
      <c r="J351">
        <f>J329*43.8344</f>
        <v>0</v>
      </c>
      <c r="K351">
        <f>K329*-32.8758</f>
        <v>0</v>
      </c>
      <c r="L351">
        <f>L329*168.74360000000001</f>
        <v>0</v>
      </c>
      <c r="M351">
        <f>M329*-143.11465</f>
        <v>0</v>
      </c>
      <c r="N351">
        <f>E351+F351+G351+H351+I351+J351+K351+L351</f>
        <v>0</v>
      </c>
      <c r="O351">
        <f>E351+F351+G351+H351+I351+J351+K351+M351</f>
        <v>0</v>
      </c>
    </row>
    <row r="352" spans="3:15">
      <c r="C352">
        <f>20.0</f>
        <v>0</v>
      </c>
      <c r="D352">
        <f>20.0</f>
        <v>0</v>
      </c>
      <c r="E352">
        <f>E329*-1.5381</f>
        <v>0</v>
      </c>
      <c r="F352">
        <f>F329*13.4329</f>
        <v>0</v>
      </c>
      <c r="G352">
        <f>G329*1.9951</f>
        <v>0</v>
      </c>
      <c r="H352">
        <f>H329*0.0</f>
        <v>0</v>
      </c>
      <c r="I352">
        <f>I329*-0.0828</f>
        <v>0</v>
      </c>
      <c r="J352">
        <f>J329*45.0715</f>
        <v>0</v>
      </c>
      <c r="K352">
        <f>K329*-33.8036</f>
        <v>0</v>
      </c>
      <c r="L352">
        <f>L329*172.4272</f>
        <v>0</v>
      </c>
      <c r="M352">
        <f>M329*-150.4712</f>
        <v>0</v>
      </c>
      <c r="N352">
        <f>E352+F352+G352+H352+I352+J352+K352+L352</f>
        <v>0</v>
      </c>
      <c r="O352">
        <f>E352+F352+G352+H352+I352+J352+K352+M352</f>
        <v>0</v>
      </c>
    </row>
    <row r="353" spans="3:15">
      <c r="C353">
        <f>20.0</f>
        <v>0</v>
      </c>
      <c r="D353">
        <f>0.0</f>
        <v>0</v>
      </c>
      <c r="E353">
        <f>E329*1.1469</f>
        <v>0</v>
      </c>
      <c r="F353">
        <f>F329*-13.4027</f>
        <v>0</v>
      </c>
      <c r="G353">
        <f>G329*-1.9653</f>
        <v>0</v>
      </c>
      <c r="H353">
        <f>H329*0.0</f>
        <v>0</v>
      </c>
      <c r="I353">
        <f>I329*-1.9355</f>
        <v>0</v>
      </c>
      <c r="J353">
        <f>J329*-40.1101</f>
        <v>0</v>
      </c>
      <c r="K353">
        <f>K329*30.0826</f>
        <v>0</v>
      </c>
      <c r="L353">
        <f>L329*110.78299999999999</f>
        <v>0</v>
      </c>
      <c r="M353">
        <f>M329*-124.5894</f>
        <v>0</v>
      </c>
      <c r="N353">
        <f>E353+F353+G353+H353+I353+J353+K353+L353</f>
        <v>0</v>
      </c>
      <c r="O353">
        <f>E353+F353+G353+H353+I353+J353+K353+M353</f>
        <v>0</v>
      </c>
    </row>
    <row r="354" spans="3:15">
      <c r="C354">
        <f>20.45</f>
        <v>0</v>
      </c>
      <c r="D354">
        <f>0.45</f>
        <v>0</v>
      </c>
      <c r="E354">
        <f>E329*1.35775</f>
        <v>0</v>
      </c>
      <c r="F354">
        <f>F329*-11.885549999999999</f>
        <v>0</v>
      </c>
      <c r="G354">
        <f>G329*-1.7692999999999999</f>
        <v>0</v>
      </c>
      <c r="H354">
        <f>H329*0.0</f>
        <v>0</v>
      </c>
      <c r="I354">
        <f>I329*-2.01875</f>
        <v>0</v>
      </c>
      <c r="J354">
        <f>J329*-38.61195</f>
        <v>0</v>
      </c>
      <c r="K354">
        <f>K329*28.95895</f>
        <v>0</v>
      </c>
      <c r="L354">
        <f>L329*128.57995</f>
        <v>0</v>
      </c>
      <c r="M354">
        <f>M329*-153.1399</f>
        <v>0</v>
      </c>
      <c r="N354">
        <f>E354+F354+G354+H354+I354+J354+K354+L354</f>
        <v>0</v>
      </c>
      <c r="O354">
        <f>E354+F354+G354+H354+I354+J354+K354+M354</f>
        <v>0</v>
      </c>
    </row>
    <row r="355" spans="3:15">
      <c r="C355">
        <f>21.36</f>
        <v>0</v>
      </c>
      <c r="D355">
        <f>1.36</f>
        <v>0</v>
      </c>
      <c r="E355">
        <f>E329*1.7770000000000001</f>
        <v>0</v>
      </c>
      <c r="F355">
        <f>F329*-11.6582</f>
        <v>0</v>
      </c>
      <c r="G355">
        <f>G329*-1.75465</f>
        <v>0</v>
      </c>
      <c r="H355">
        <f>H329*0.0</f>
        <v>0</v>
      </c>
      <c r="I355">
        <f>I329*-2.26845</f>
        <v>0</v>
      </c>
      <c r="J355">
        <f>J329*-45.26925</f>
        <v>0</v>
      </c>
      <c r="K355">
        <f>K329*33.951899999999995</f>
        <v>0</v>
      </c>
      <c r="L355">
        <f>L329*152.83679999999998</f>
        <v>0</v>
      </c>
      <c r="M355">
        <f>M329*-176.70075000000003</f>
        <v>0</v>
      </c>
      <c r="N355">
        <f>E355+F355+G355+H355+I355+J355+K355+L355</f>
        <v>0</v>
      </c>
      <c r="O355">
        <f>E355+F355+G355+H355+I355+J355+K355+M355</f>
        <v>0</v>
      </c>
    </row>
    <row r="356" spans="3:15">
      <c r="C356">
        <f>22.27</f>
        <v>0</v>
      </c>
      <c r="D356">
        <f>2.27</f>
        <v>0</v>
      </c>
      <c r="E356">
        <f>E329*2.1905</f>
        <v>0</v>
      </c>
      <c r="F356">
        <f>F329*-10.94495</f>
        <v>0</v>
      </c>
      <c r="G356">
        <f>G329*-1.6640000000000001</f>
        <v>0</v>
      </c>
      <c r="H356">
        <f>H329*0.0</f>
        <v>0</v>
      </c>
      <c r="I356">
        <f>I329*-2.3998</f>
        <v>0</v>
      </c>
      <c r="J356">
        <f>J329*-39.88705</f>
        <v>0</v>
      </c>
      <c r="K356">
        <f>K329*29.915300000000002</f>
        <v>0</v>
      </c>
      <c r="L356">
        <f>L329*153.6098</f>
        <v>0</v>
      </c>
      <c r="M356">
        <f>M329*-162.9192</f>
        <v>0</v>
      </c>
      <c r="N356">
        <f>E356+F356+G356+H356+I356+J356+K356+L356</f>
        <v>0</v>
      </c>
      <c r="O356">
        <f>E356+F356+G356+H356+I356+J356+K356+M356</f>
        <v>0</v>
      </c>
    </row>
    <row r="357" spans="3:15">
      <c r="C357">
        <f>23.18</f>
        <v>0</v>
      </c>
      <c r="D357">
        <f>3.18</f>
        <v>0</v>
      </c>
      <c r="E357">
        <f>E329*2.4465500000000002</f>
        <v>0</v>
      </c>
      <c r="F357">
        <f>F329*-9.2464</f>
        <v>0</v>
      </c>
      <c r="G357">
        <f>G329*-1.42265</f>
        <v>0</v>
      </c>
      <c r="H357">
        <f>H329*0.0</f>
        <v>0</v>
      </c>
      <c r="I357">
        <f>I329*-2.5349</f>
        <v>0</v>
      </c>
      <c r="J357">
        <f>J329*-29.44095</f>
        <v>0</v>
      </c>
      <c r="K357">
        <f>K329*22.080750000000002</f>
        <v>0</v>
      </c>
      <c r="L357">
        <f>L329*152.34640000000002</f>
        <v>0</v>
      </c>
      <c r="M357">
        <f>M329*-150.80625</f>
        <v>0</v>
      </c>
      <c r="N357">
        <f>E357+F357+G357+H357+I357+J357+K357+L357</f>
        <v>0</v>
      </c>
      <c r="O357">
        <f>E357+F357+G357+H357+I357+J357+K357+M357</f>
        <v>0</v>
      </c>
    </row>
    <row r="358" spans="3:15">
      <c r="C358">
        <f>24.09</f>
        <v>0</v>
      </c>
      <c r="D358">
        <f>4.09</f>
        <v>0</v>
      </c>
      <c r="E358">
        <f>E329*2.2704</f>
        <v>0</v>
      </c>
      <c r="F358">
        <f>F329*-7.49475</f>
        <v>0</v>
      </c>
      <c r="G358">
        <f>G329*-1.1548</f>
        <v>0</v>
      </c>
      <c r="H358">
        <f>H329*0.0</f>
        <v>0</v>
      </c>
      <c r="I358">
        <f>I329*-2.69495</f>
        <v>0</v>
      </c>
      <c r="J358">
        <f>J329*-22.553449999999998</f>
        <v>0</v>
      </c>
      <c r="K358">
        <f>K329*16.91505</f>
        <v>0</v>
      </c>
      <c r="L358">
        <f>L329*151.82385</f>
        <v>0</v>
      </c>
      <c r="M358">
        <f>M329*-141.26385</f>
        <v>0</v>
      </c>
      <c r="N358">
        <f>E358+F358+G358+H358+I358+J358+K358+L358</f>
        <v>0</v>
      </c>
      <c r="O358">
        <f>E358+F358+G358+H358+I358+J358+K358+M358</f>
        <v>0</v>
      </c>
    </row>
    <row r="359" spans="3:15">
      <c r="C359">
        <f>25.0</f>
        <v>0</v>
      </c>
      <c r="D359">
        <f>5.0</f>
        <v>0</v>
      </c>
      <c r="E359">
        <f>E329*1.77295</f>
        <v>0</v>
      </c>
      <c r="F359">
        <f>F329*-5.5038</f>
        <v>0</v>
      </c>
      <c r="G359">
        <f>G329*-0.86425</f>
        <v>0</v>
      </c>
      <c r="H359">
        <f>H329*0.0</f>
        <v>0</v>
      </c>
      <c r="I359">
        <f>I329*-2.84715</f>
        <v>0</v>
      </c>
      <c r="J359">
        <f>J329*-21.65775</f>
        <v>0</v>
      </c>
      <c r="K359">
        <f>K329*16.243299999999998</f>
        <v>0</v>
      </c>
      <c r="L359">
        <f>L329*147.10045000000002</f>
        <v>0</v>
      </c>
      <c r="M359">
        <f>M329*-134.2479</f>
        <v>0</v>
      </c>
      <c r="N359">
        <f>E359+F359+G359+H359+I359+J359+K359+L359</f>
        <v>0</v>
      </c>
      <c r="O359">
        <f>E359+F359+G359+H359+I359+J359+K359+M359</f>
        <v>0</v>
      </c>
    </row>
    <row r="360" spans="3:15">
      <c r="C360">
        <f>26.0</f>
        <v>0</v>
      </c>
      <c r="D360">
        <f>6.0</f>
        <v>0</v>
      </c>
      <c r="E360">
        <f>E329*1.2226</f>
        <v>0</v>
      </c>
      <c r="F360">
        <f>F329*-3.47215</f>
        <v>0</v>
      </c>
      <c r="G360">
        <f>G329*-0.56595</f>
        <v>0</v>
      </c>
      <c r="H360">
        <f>H329*0.0</f>
        <v>0</v>
      </c>
      <c r="I360">
        <f>I329*-2.8723</f>
        <v>0</v>
      </c>
      <c r="J360">
        <f>J329*-20.25235</f>
        <v>0</v>
      </c>
      <c r="K360">
        <f>K329*15.18925</f>
        <v>0</v>
      </c>
      <c r="L360">
        <f>L329*133.1758</f>
        <v>0</v>
      </c>
      <c r="M360">
        <f>M329*-119.8995</f>
        <v>0</v>
      </c>
      <c r="N360">
        <f>E360+F360+G360+H360+I360+J360+K360+L360</f>
        <v>0</v>
      </c>
      <c r="O360">
        <f>E360+F360+G360+H360+I360+J360+K360+M360</f>
        <v>0</v>
      </c>
    </row>
    <row r="361" spans="3:15">
      <c r="C361">
        <f>27.0</f>
        <v>0</v>
      </c>
      <c r="D361">
        <f>7.0</f>
        <v>0</v>
      </c>
      <c r="E361">
        <f>E329*0.913</f>
        <v>0</v>
      </c>
      <c r="F361">
        <f>F329*-2.1233</f>
        <v>0</v>
      </c>
      <c r="G361">
        <f>G329*-0.34795</f>
        <v>0</v>
      </c>
      <c r="H361">
        <f>H329*0.0</f>
        <v>0</v>
      </c>
      <c r="I361">
        <f>I329*-2.8100500000000004</f>
        <v>0</v>
      </c>
      <c r="J361">
        <f>J329*-13.38715</f>
        <v>0</v>
      </c>
      <c r="K361">
        <f>K329*10.04035</f>
        <v>0</v>
      </c>
      <c r="L361">
        <f>L329*119.79715</f>
        <v>0</v>
      </c>
      <c r="M361">
        <f>M329*-103.678</f>
        <v>0</v>
      </c>
      <c r="N361">
        <f>E361+F361+G361+H361+I361+J361+K361+L361</f>
        <v>0</v>
      </c>
      <c r="O361">
        <f>E361+F361+G361+H361+I361+J361+K361+M361</f>
        <v>0</v>
      </c>
    </row>
    <row r="362" spans="3:15">
      <c r="C362">
        <f>28.0</f>
        <v>0</v>
      </c>
      <c r="D362">
        <f>8.0</f>
        <v>0</v>
      </c>
      <c r="E362">
        <f>E329*0.85755</f>
        <v>0</v>
      </c>
      <c r="F362">
        <f>F329*-0.9157500000000001</f>
        <v>0</v>
      </c>
      <c r="G362">
        <f>G329*-0.161</f>
        <v>0</v>
      </c>
      <c r="H362">
        <f>H329*0.0</f>
        <v>0</v>
      </c>
      <c r="I362">
        <f>I329*-2.76305</f>
        <v>0</v>
      </c>
      <c r="J362">
        <f>J329*-3.4838</f>
        <v>0</v>
      </c>
      <c r="K362">
        <f>K329*2.6129000000000002</f>
        <v>0</v>
      </c>
      <c r="L362">
        <f>L329*109.71260000000001</f>
        <v>0</v>
      </c>
      <c r="M362">
        <f>M329*-94.4494</f>
        <v>0</v>
      </c>
      <c r="N362">
        <f>E362+F362+G362+H362+I362+J362+K362+L362</f>
        <v>0</v>
      </c>
      <c r="O362">
        <f>E362+F362+G362+H362+I362+J362+K362+M362</f>
        <v>0</v>
      </c>
    </row>
    <row r="363" spans="3:15">
      <c r="C363">
        <f>29.0</f>
        <v>0</v>
      </c>
      <c r="D363">
        <f>9.0</f>
        <v>0</v>
      </c>
      <c r="E363">
        <f>E329*0.5401</f>
        <v>0</v>
      </c>
      <c r="F363">
        <f>F329*0.10740000000000001</f>
        <v>0</v>
      </c>
      <c r="G363">
        <f>G329*0.00985</f>
        <v>0</v>
      </c>
      <c r="H363">
        <f>H329*0.0</f>
        <v>0</v>
      </c>
      <c r="I363">
        <f>I329*-2.7282</f>
        <v>0</v>
      </c>
      <c r="J363">
        <f>J329*2.84035</f>
        <v>0</v>
      </c>
      <c r="K363">
        <f>K329*-2.13025</f>
        <v>0</v>
      </c>
      <c r="L363">
        <f>L329*103.0082</f>
        <v>0</v>
      </c>
      <c r="M363">
        <f>M329*-90.41749999999999</f>
        <v>0</v>
      </c>
      <c r="N363">
        <f>E363+F363+G363+H363+I363+J363+K363+L363</f>
        <v>0</v>
      </c>
      <c r="O363">
        <f>E363+F363+G363+H363+I363+J363+K363+M363</f>
        <v>0</v>
      </c>
    </row>
    <row r="364" spans="3:15">
      <c r="C364">
        <f>30.0</f>
        <v>0</v>
      </c>
      <c r="D364">
        <f>10.0</f>
        <v>0</v>
      </c>
      <c r="E364">
        <f>E329*0.048049999999999995</f>
        <v>0</v>
      </c>
      <c r="F364">
        <f>F329*-0.5797</f>
        <v>0</v>
      </c>
      <c r="G364">
        <f>G329*-0.0869</f>
        <v>0</v>
      </c>
      <c r="H364">
        <f>H329*0.0</f>
        <v>0</v>
      </c>
      <c r="I364">
        <f>I329*-2.5878500000000004</f>
        <v>0</v>
      </c>
      <c r="J364">
        <f>J329*-0.9659499999999999</f>
        <v>0</v>
      </c>
      <c r="K364">
        <f>K329*0.7244500000000001</f>
        <v>0</v>
      </c>
      <c r="L364">
        <f>L329*92.60005</f>
        <v>0</v>
      </c>
      <c r="M364">
        <f>M329*-97.7932</f>
        <v>0</v>
      </c>
      <c r="N364">
        <f>E364+F364+G364+H364+I364+J364+K364+L364</f>
        <v>0</v>
      </c>
      <c r="O364">
        <f>E364+F364+G364+H364+I364+J364+K364+M364</f>
        <v>0</v>
      </c>
    </row>
    <row r="365" spans="3:15">
      <c r="C365">
        <f>31.0</f>
        <v>0</v>
      </c>
      <c r="D365">
        <f>11.0</f>
        <v>0</v>
      </c>
      <c r="E365">
        <f>E329*-0.44689999999999996</f>
        <v>0</v>
      </c>
      <c r="F365">
        <f>F329*-1.3006</f>
        <v>0</v>
      </c>
      <c r="G365">
        <f>G329*-0.1885</f>
        <v>0</v>
      </c>
      <c r="H365">
        <f>H329*0.0</f>
        <v>0</v>
      </c>
      <c r="I365">
        <f>I329*-2.22865</f>
        <v>0</v>
      </c>
      <c r="J365">
        <f>J329*-4.77805</f>
        <v>0</v>
      </c>
      <c r="K365">
        <f>K329*3.58355</f>
        <v>0</v>
      </c>
      <c r="L365">
        <f>L329*88.66155</f>
        <v>0</v>
      </c>
      <c r="M365">
        <f>M329*-102.5977</f>
        <v>0</v>
      </c>
      <c r="N365">
        <f>E365+F365+G365+H365+I365+J365+K365+L365</f>
        <v>0</v>
      </c>
      <c r="O365">
        <f>E365+F365+G365+H365+I365+J365+K365+M365</f>
        <v>0</v>
      </c>
    </row>
    <row r="366" spans="3:15">
      <c r="C366">
        <f>32.0</f>
        <v>0</v>
      </c>
      <c r="D366">
        <f>12.0</f>
        <v>0</v>
      </c>
      <c r="E366">
        <f>E329*-0.7738499999999999</f>
        <v>0</v>
      </c>
      <c r="F366">
        <f>F329*-0.4012</f>
        <v>0</v>
      </c>
      <c r="G366">
        <f>G329*-0.03545</f>
        <v>0</v>
      </c>
      <c r="H366">
        <f>H329*0.0</f>
        <v>0</v>
      </c>
      <c r="I366">
        <f>I329*-1.6994</f>
        <v>0</v>
      </c>
      <c r="J366">
        <f>J329*1.51665</f>
        <v>0</v>
      </c>
      <c r="K366">
        <f>K329*-1.1374499999999999</f>
        <v>0</v>
      </c>
      <c r="L366">
        <f>L329*92.88415</f>
        <v>0</v>
      </c>
      <c r="M366">
        <f>M329*-107.68305</f>
        <v>0</v>
      </c>
      <c r="N366">
        <f>E366+F366+G366+H366+I366+J366+K366+L366</f>
        <v>0</v>
      </c>
      <c r="O366">
        <f>E366+F366+G366+H366+I366+J366+K366+M366</f>
        <v>0</v>
      </c>
    </row>
    <row r="367" spans="3:15">
      <c r="C367">
        <f>33.0</f>
        <v>0</v>
      </c>
      <c r="D367">
        <f>13.0</f>
        <v>0</v>
      </c>
      <c r="E367">
        <f>E329*-0.8469</f>
        <v>0</v>
      </c>
      <c r="F367">
        <f>F329*0.62515</f>
        <v>0</v>
      </c>
      <c r="G367">
        <f>G329*0.12564999999999998</f>
        <v>0</v>
      </c>
      <c r="H367">
        <f>H329*0.0</f>
        <v>0</v>
      </c>
      <c r="I367">
        <f>I329*-1.07935</f>
        <v>0</v>
      </c>
      <c r="J367">
        <f>J329*11.41085</f>
        <v>0</v>
      </c>
      <c r="K367">
        <f>K329*-8.55815</f>
        <v>0</v>
      </c>
      <c r="L367">
        <f>L329*101.0792</f>
        <v>0</v>
      </c>
      <c r="M367">
        <f>M329*-117.74515</f>
        <v>0</v>
      </c>
      <c r="N367">
        <f>E367+F367+G367+H367+I367+J367+K367+L367</f>
        <v>0</v>
      </c>
      <c r="O367">
        <f>E367+F367+G367+H367+I367+J367+K367+M367</f>
        <v>0</v>
      </c>
    </row>
    <row r="368" spans="3:15">
      <c r="C368">
        <f>34.0</f>
        <v>0</v>
      </c>
      <c r="D368">
        <f>14.0</f>
        <v>0</v>
      </c>
      <c r="E368">
        <f>E329*-1.1835</f>
        <v>0</v>
      </c>
      <c r="F368">
        <f>F329*1.7738</f>
        <v>0</v>
      </c>
      <c r="G368">
        <f>G329*0.3153</f>
        <v>0</v>
      </c>
      <c r="H368">
        <f>H329*0.0</f>
        <v>0</v>
      </c>
      <c r="I368">
        <f>I329*-0.36874999999999997</f>
        <v>0</v>
      </c>
      <c r="J368">
        <f>J329*18.3351</f>
        <v>0</v>
      </c>
      <c r="K368">
        <f>K329*-13.7513</f>
        <v>0</v>
      </c>
      <c r="L368">
        <f>L329*117.24725000000001</f>
        <v>0</v>
      </c>
      <c r="M368">
        <f>M329*-131.6316</f>
        <v>0</v>
      </c>
      <c r="N368">
        <f>E368+F368+G368+H368+I368+J368+K368+L368</f>
        <v>0</v>
      </c>
      <c r="O368">
        <f>E368+F368+G368+H368+I368+J368+K368+M368</f>
        <v>0</v>
      </c>
    </row>
    <row r="369" spans="3:15">
      <c r="C369">
        <f>35.0</f>
        <v>0</v>
      </c>
      <c r="D369">
        <f>15.0</f>
        <v>0</v>
      </c>
      <c r="E369">
        <f>E329*-1.7807</f>
        <v>0</v>
      </c>
      <c r="F369">
        <f>F329*3.0957</f>
        <v>0</v>
      </c>
      <c r="G369">
        <f>G329*0.51115</f>
        <v>0</v>
      </c>
      <c r="H369">
        <f>H329*0.0</f>
        <v>0</v>
      </c>
      <c r="I369">
        <f>I329*1.61985</f>
        <v>0</v>
      </c>
      <c r="J369">
        <f>J329*19.499299999999998</f>
        <v>0</v>
      </c>
      <c r="K369">
        <f>K329*-14.6245</f>
        <v>0</v>
      </c>
      <c r="L369">
        <f>L329*131.74880000000002</f>
        <v>0</v>
      </c>
      <c r="M369">
        <f>M329*-145.49304999999998</f>
        <v>0</v>
      </c>
      <c r="N369">
        <f>E369+F369+G369+H369+I369+J369+K369+L369</f>
        <v>0</v>
      </c>
      <c r="O369">
        <f>E369+F369+G369+H369+I369+J369+K369+M369</f>
        <v>0</v>
      </c>
    </row>
    <row r="370" spans="3:15">
      <c r="C370">
        <f>35.91</f>
        <v>0</v>
      </c>
      <c r="D370">
        <f>15.91</f>
        <v>0</v>
      </c>
      <c r="E370">
        <f>E329*-2.3372</f>
        <v>0</v>
      </c>
      <c r="F370">
        <f>F329*4.4746500000000005</f>
        <v>0</v>
      </c>
      <c r="G370">
        <f>G329*0.7141500000000001</f>
        <v>0</v>
      </c>
      <c r="H370">
        <f>H329*0.0</f>
        <v>0</v>
      </c>
      <c r="I370">
        <f>I329*3.67765</f>
        <v>0</v>
      </c>
      <c r="J370">
        <f>J329*20.35615</f>
        <v>0</v>
      </c>
      <c r="K370">
        <f>K329*-15.26715</f>
        <v>0</v>
      </c>
      <c r="L370">
        <f>L329*138.3924</f>
        <v>0</v>
      </c>
      <c r="M370">
        <f>M329*-150.32115</f>
        <v>0</v>
      </c>
      <c r="N370">
        <f>E370+F370+G370+H370+I370+J370+K370+L370</f>
        <v>0</v>
      </c>
      <c r="O370">
        <f>E370+F370+G370+H370+I370+J370+K370+M370</f>
        <v>0</v>
      </c>
    </row>
    <row r="371" spans="3:15">
      <c r="C371">
        <f>36.82</f>
        <v>0</v>
      </c>
      <c r="D371">
        <f>16.82</f>
        <v>0</v>
      </c>
      <c r="E371">
        <f>E329*-2.5904</f>
        <v>0</v>
      </c>
      <c r="F371">
        <f>F329*6.2213</f>
        <v>0</v>
      </c>
      <c r="G371">
        <f>G329*0.9843</f>
        <v>0</v>
      </c>
      <c r="H371">
        <f>H329*0.0</f>
        <v>0</v>
      </c>
      <c r="I371">
        <f>I329*4.67065</f>
        <v>0</v>
      </c>
      <c r="J371">
        <f>J329*27.944200000000002</f>
        <v>0</v>
      </c>
      <c r="K371">
        <f>K329*-20.958199999999998</f>
        <v>0</v>
      </c>
      <c r="L371">
        <f>L329*149.23345</f>
        <v>0</v>
      </c>
      <c r="M371">
        <f>M329*-151.2704</f>
        <v>0</v>
      </c>
      <c r="N371">
        <f>E371+F371+G371+H371+I371+J371+K371+L371</f>
        <v>0</v>
      </c>
      <c r="O371">
        <f>E371+F371+G371+H371+I371+J371+K371+M371</f>
        <v>0</v>
      </c>
    </row>
    <row r="372" spans="3:15">
      <c r="C372">
        <f>37.73</f>
        <v>0</v>
      </c>
      <c r="D372">
        <f>17.73</f>
        <v>0</v>
      </c>
      <c r="E372">
        <f>E329*-2.44205</f>
        <v>0</v>
      </c>
      <c r="F372">
        <f>F329*8.14235</f>
        <v>0</v>
      </c>
      <c r="G372">
        <f>G329*1.26255</f>
        <v>0</v>
      </c>
      <c r="H372">
        <f>H329*0.0</f>
        <v>0</v>
      </c>
      <c r="I372">
        <f>I329*5.384399999999999</f>
        <v>0</v>
      </c>
      <c r="J372">
        <f>J329*39.588049999999996</f>
        <v>0</v>
      </c>
      <c r="K372">
        <f>K329*-29.691</f>
        <v>0</v>
      </c>
      <c r="L372">
        <f>L329*163.08229999999998</f>
        <v>0</v>
      </c>
      <c r="M372">
        <f>M329*-153.70985000000002</f>
        <v>0</v>
      </c>
      <c r="N372">
        <f>E372+F372+G372+H372+I372+J372+K372+L372</f>
        <v>0</v>
      </c>
      <c r="O372">
        <f>E372+F372+G372+H372+I372+J372+K372+M372</f>
        <v>0</v>
      </c>
    </row>
    <row r="373" spans="3:15">
      <c r="C373">
        <f>38.64</f>
        <v>0</v>
      </c>
      <c r="D373">
        <f>18.64</f>
        <v>0</v>
      </c>
      <c r="E373">
        <f>E329*-2.15195</f>
        <v>0</v>
      </c>
      <c r="F373">
        <f>F329*9.543800000000001</f>
        <v>0</v>
      </c>
      <c r="G373">
        <f>G329*1.4592</f>
        <v>0</v>
      </c>
      <c r="H373">
        <f>H329*0.0</f>
        <v>0</v>
      </c>
      <c r="I373">
        <f>I329*5.3826</f>
        <v>0</v>
      </c>
      <c r="J373">
        <f>J329*46.748999999999995</f>
        <v>0</v>
      </c>
      <c r="K373">
        <f>K329*-35.061800000000005</f>
        <v>0</v>
      </c>
      <c r="L373">
        <f>L329*179.9373</f>
        <v>0</v>
      </c>
      <c r="M373">
        <f>M329*-156.03185000000002</f>
        <v>0</v>
      </c>
      <c r="N373">
        <f>E373+F373+G373+H373+I373+J373+K373+L373</f>
        <v>0</v>
      </c>
      <c r="O373">
        <f>E373+F373+G373+H373+I373+J373+K373+M373</f>
        <v>0</v>
      </c>
    </row>
    <row r="374" spans="3:15">
      <c r="C374">
        <f>39.55</f>
        <v>0</v>
      </c>
      <c r="D374">
        <f>19.55</f>
        <v>0</v>
      </c>
      <c r="E374">
        <f>E329*-1.8013</f>
        <v>0</v>
      </c>
      <c r="F374">
        <f>F329*10.420300000000001</f>
        <v>0</v>
      </c>
      <c r="G374">
        <f>G329*1.5716999999999999</f>
        <v>0</v>
      </c>
      <c r="H374">
        <f>H329*0.0</f>
        <v>0</v>
      </c>
      <c r="I374">
        <f>I329*5.67655</f>
        <v>0</v>
      </c>
      <c r="J374">
        <f>J329*41.316950000000006</f>
        <v>0</v>
      </c>
      <c r="K374">
        <f>K329*-30.9877</f>
        <v>0</v>
      </c>
      <c r="L374">
        <f>L329*190.8092</f>
        <v>0</v>
      </c>
      <c r="M374">
        <f>M329*-163.36965</f>
        <v>0</v>
      </c>
      <c r="N374">
        <f>E374+F374+G374+H374+I374+J374+K374+L374</f>
        <v>0</v>
      </c>
      <c r="O374">
        <f>E374+F374+G374+H374+I374+J374+K374+M374</f>
        <v>0</v>
      </c>
    </row>
    <row r="375" spans="3:15">
      <c r="C375">
        <f>40.0</f>
        <v>0</v>
      </c>
      <c r="D375">
        <f>20.0</f>
        <v>0</v>
      </c>
      <c r="E375">
        <f>E329*-1.6104</f>
        <v>0</v>
      </c>
      <c r="F375">
        <f>F329*11.5298</f>
        <v>0</v>
      </c>
      <c r="G375">
        <f>G329*1.7085</f>
        <v>0</v>
      </c>
      <c r="H375">
        <f>H329*0.0</f>
        <v>0</v>
      </c>
      <c r="I375">
        <f>I329*7.3442</f>
        <v>0</v>
      </c>
      <c r="J375">
        <f>J329*42.6043</f>
        <v>0</v>
      </c>
      <c r="K375">
        <f>K329*-31.9532</f>
        <v>0</v>
      </c>
      <c r="L375">
        <f>L329*194.6023</f>
        <v>0</v>
      </c>
      <c r="M375">
        <f>M329*-174.007</f>
        <v>0</v>
      </c>
      <c r="N375">
        <f>E375+F375+G375+H375+I375+J375+K375+L375</f>
        <v>0</v>
      </c>
      <c r="O375">
        <f>E375+F375+G375+H375+I375+J375+K375+M375</f>
        <v>0</v>
      </c>
    </row>
    <row r="376" spans="3:15">
      <c r="C376">
        <f>40.0</f>
        <v>0</v>
      </c>
      <c r="D376">
        <f>0.0</f>
        <v>0</v>
      </c>
      <c r="E376">
        <f>E329*0.8019</f>
        <v>0</v>
      </c>
      <c r="F376">
        <f>F329*-10.8193</f>
        <v>0</v>
      </c>
      <c r="G376">
        <f>G329*-1.5633</f>
        <v>0</v>
      </c>
      <c r="H376">
        <f>H329*0.0</f>
        <v>0</v>
      </c>
      <c r="I376">
        <f>I329*-39.7855</f>
        <v>0</v>
      </c>
      <c r="J376">
        <f>J329*-32.1283</f>
        <v>0</v>
      </c>
      <c r="K376">
        <f>K329*24.0962</f>
        <v>0</v>
      </c>
      <c r="L376">
        <f>L329*30.7836</f>
        <v>0</v>
      </c>
      <c r="M376">
        <f>M329*-46.0664</f>
        <v>0</v>
      </c>
      <c r="N376">
        <f>E376+F376+G376+H376+I376+J376+K376+L376</f>
        <v>0</v>
      </c>
      <c r="O376">
        <f>E376+F376+G376+H376+I376+J376+K376+M376</f>
        <v>0</v>
      </c>
    </row>
    <row r="377" spans="3:15">
      <c r="C377">
        <f>40.45</f>
        <v>0</v>
      </c>
      <c r="D377">
        <f>0.45</f>
        <v>0</v>
      </c>
      <c r="E377">
        <f>E329*0.9134</f>
        <v>0</v>
      </c>
      <c r="F377">
        <f>F329*-9.757</f>
        <v>0</v>
      </c>
      <c r="G377">
        <f>G329*-1.43</f>
        <v>0</v>
      </c>
      <c r="H377">
        <f>H329*0.0</f>
        <v>0</v>
      </c>
      <c r="I377">
        <f>I329*-36.92915</f>
        <v>0</v>
      </c>
      <c r="J377">
        <f>J329*-30.17765</f>
        <v>0</v>
      </c>
      <c r="K377">
        <f>K329*22.633200000000002</f>
        <v>0</v>
      </c>
      <c r="L377">
        <f>L329*57.07795</f>
        <v>0</v>
      </c>
      <c r="M377">
        <f>M329*-72.31264999999999</f>
        <v>0</v>
      </c>
      <c r="N377">
        <f>E377+F377+G377+H377+I377+J377+K377+L377</f>
        <v>0</v>
      </c>
      <c r="O377">
        <f>E377+F377+G377+H377+I377+J377+K377+M377</f>
        <v>0</v>
      </c>
    </row>
    <row r="378" spans="3:15">
      <c r="C378">
        <f>41.36</f>
        <v>0</v>
      </c>
      <c r="D378">
        <f>1.36</f>
        <v>0</v>
      </c>
      <c r="E378">
        <f>E329*1.1873</f>
        <v>0</v>
      </c>
      <c r="F378">
        <f>F329*-10.43005</f>
        <v>0</v>
      </c>
      <c r="G378">
        <f>G329*-1.545</f>
        <v>0</v>
      </c>
      <c r="H378">
        <f>H329*0.0</f>
        <v>0</v>
      </c>
      <c r="I378">
        <f>I329*-33.672399999999996</f>
        <v>0</v>
      </c>
      <c r="J378">
        <f>J329*-37.42955</f>
        <v>0</v>
      </c>
      <c r="K378">
        <f>K329*28.07215</f>
        <v>0</v>
      </c>
      <c r="L378">
        <f>L329*82.9154</f>
        <v>0</v>
      </c>
      <c r="M378">
        <f>M329*-94.81895</f>
        <v>0</v>
      </c>
      <c r="N378">
        <f>E378+F378+G378+H378+I378+J378+K378+L378</f>
        <v>0</v>
      </c>
      <c r="O378">
        <f>E378+F378+G378+H378+I378+J378+K378+M378</f>
        <v>0</v>
      </c>
    </row>
    <row r="379" spans="3:15">
      <c r="C379">
        <f>42.27</f>
        <v>0</v>
      </c>
      <c r="D379">
        <f>2.27</f>
        <v>0</v>
      </c>
      <c r="E379">
        <f>E329*1.358</f>
        <v>0</v>
      </c>
      <c r="F379">
        <f>F329*-10.4468</f>
        <v>0</v>
      </c>
      <c r="G379">
        <f>G329*-1.54975</f>
        <v>0</v>
      </c>
      <c r="H379">
        <f>H329*0.0</f>
        <v>0</v>
      </c>
      <c r="I379">
        <f>I329*-27.84205</f>
        <v>0</v>
      </c>
      <c r="J379">
        <f>J329*-30.940600000000003</f>
        <v>0</v>
      </c>
      <c r="K379">
        <f>K329*23.20545</f>
        <v>0</v>
      </c>
      <c r="L379">
        <f>L329*81.00235</f>
        <v>0</v>
      </c>
      <c r="M379">
        <f>M329*-87.38185</f>
        <v>0</v>
      </c>
      <c r="N379">
        <f>E379+F379+G379+H379+I379+J379+K379+L379</f>
        <v>0</v>
      </c>
      <c r="O379">
        <f>E379+F379+G379+H379+I379+J379+K379+M379</f>
        <v>0</v>
      </c>
    </row>
    <row r="380" spans="3:15">
      <c r="C380">
        <f>43.18</f>
        <v>0</v>
      </c>
      <c r="D380">
        <f>3.18</f>
        <v>0</v>
      </c>
      <c r="E380">
        <f>E329*1.26885</f>
        <v>0</v>
      </c>
      <c r="F380">
        <f>F329*-9.4097</f>
        <v>0</v>
      </c>
      <c r="G380">
        <f>G329*-1.38545</f>
        <v>0</v>
      </c>
      <c r="H380">
        <f>H329*0.0</f>
        <v>0</v>
      </c>
      <c r="I380">
        <f>I329*-21.720100000000002</f>
        <v>0</v>
      </c>
      <c r="J380">
        <f>J329*-17.95225</f>
        <v>0</v>
      </c>
      <c r="K380">
        <f>K329*13.4642</f>
        <v>0</v>
      </c>
      <c r="L380">
        <f>L329*77.68275</f>
        <v>0</v>
      </c>
      <c r="M380">
        <f>M329*-79.28635</f>
        <v>0</v>
      </c>
      <c r="N380">
        <f>E380+F380+G380+H380+I380+J380+K380+L380</f>
        <v>0</v>
      </c>
      <c r="O380">
        <f>E380+F380+G380+H380+I380+J380+K380+M380</f>
        <v>0</v>
      </c>
    </row>
    <row r="381" spans="3:15">
      <c r="C381">
        <f>44.09</f>
        <v>0</v>
      </c>
      <c r="D381">
        <f>4.09</f>
        <v>0</v>
      </c>
      <c r="E381">
        <f>E329*0.69295</f>
        <v>0</v>
      </c>
      <c r="F381">
        <f>F329*-7.94365</f>
        <v>0</v>
      </c>
      <c r="G381">
        <f>G329*-1.1341</f>
        <v>0</v>
      </c>
      <c r="H381">
        <f>H329*0.0</f>
        <v>0</v>
      </c>
      <c r="I381">
        <f>I329*-15.4541</f>
        <v>0</v>
      </c>
      <c r="J381">
        <f>J329*-7.33305</f>
        <v>0</v>
      </c>
      <c r="K381">
        <f>K329*5.4998</f>
        <v>0</v>
      </c>
      <c r="L381">
        <f>L329*76.34385</f>
        <v>0</v>
      </c>
      <c r="M381">
        <f>M329*-74.3496</f>
        <v>0</v>
      </c>
      <c r="N381">
        <f>E381+F381+G381+H381+I381+J381+K381+L381</f>
        <v>0</v>
      </c>
      <c r="O381">
        <f>E381+F381+G381+H381+I381+J381+K381+M381</f>
        <v>0</v>
      </c>
    </row>
    <row r="382" spans="3:15">
      <c r="C382">
        <f>45.0</f>
        <v>0</v>
      </c>
      <c r="D382">
        <f>5.0</f>
        <v>0</v>
      </c>
      <c r="E382">
        <f>E329*-0.6105499999999999</f>
        <v>0</v>
      </c>
      <c r="F382">
        <f>F329*-5.2409</f>
        <v>0</v>
      </c>
      <c r="G382">
        <f>G329*-0.6850499999999999</f>
        <v>0</v>
      </c>
      <c r="H382">
        <f>H329*0.0</f>
        <v>0</v>
      </c>
      <c r="I382">
        <f>I329*-1.0972999999999993</f>
        <v>0</v>
      </c>
      <c r="J382">
        <f>J329*4.113049999999999</f>
        <v>0</v>
      </c>
      <c r="K382">
        <f>K329*-3.0847999999999995</f>
        <v>0</v>
      </c>
      <c r="L382">
        <f>L329*75.6057</f>
        <v>0</v>
      </c>
      <c r="M382">
        <f>M329*-80.37785</f>
        <v>0</v>
      </c>
      <c r="N382">
        <f>E382+F382+G382+H382+I382+J382+K382+L382</f>
        <v>0</v>
      </c>
      <c r="O382">
        <f>E382+F382+G382+H382+I382+J382+K382+M382</f>
        <v>0</v>
      </c>
    </row>
    <row r="383" spans="3:15">
      <c r="C383">
        <f>46.0</f>
        <v>0</v>
      </c>
      <c r="D383">
        <f>6.0</f>
        <v>0</v>
      </c>
      <c r="E383">
        <f>E329*-2.01505</f>
        <v>0</v>
      </c>
      <c r="F383">
        <f>F329*-2.3859</f>
        <v>0</v>
      </c>
      <c r="G383">
        <f>G329*-0.206</f>
        <v>0</v>
      </c>
      <c r="H383">
        <f>H329*0.0</f>
        <v>0</v>
      </c>
      <c r="I383">
        <f>I329*13.70125</f>
        <v>0</v>
      </c>
      <c r="J383">
        <f>J329*17.3032</f>
        <v>0</v>
      </c>
      <c r="K383">
        <f>K329*-12.9774</f>
        <v>0</v>
      </c>
      <c r="L383">
        <f>L329*69.0789</f>
        <v>0</v>
      </c>
      <c r="M383">
        <f>M329*-79.2024</f>
        <v>0</v>
      </c>
      <c r="N383">
        <f>E383+F383+G383+H383+I383+J383+K383+L383</f>
        <v>0</v>
      </c>
      <c r="O383">
        <f>E383+F383+G383+H383+I383+J383+K383+M383</f>
        <v>0</v>
      </c>
    </row>
    <row r="384" spans="3:15">
      <c r="C384">
        <f>47.0</f>
        <v>0</v>
      </c>
      <c r="D384">
        <f>7.0</f>
        <v>0</v>
      </c>
      <c r="E384">
        <f>E329*-2.8501</f>
        <v>0</v>
      </c>
      <c r="F384">
        <f>F329*-0.89245</f>
        <v>0</v>
      </c>
      <c r="G384">
        <f>G329*0.07535</f>
        <v>0</v>
      </c>
      <c r="H384">
        <f>H329*0.0</f>
        <v>0</v>
      </c>
      <c r="I384">
        <f>I329*20.1872</f>
        <v>0</v>
      </c>
      <c r="J384">
        <f>J329*31.9456</f>
        <v>0</v>
      </c>
      <c r="K384">
        <f>K329*-23.9592</f>
        <v>0</v>
      </c>
      <c r="L384">
        <f>L329*72.21545</f>
        <v>0</v>
      </c>
      <c r="M384">
        <f>M329*-80.71209999999999</f>
        <v>0</v>
      </c>
      <c r="N384">
        <f>E384+F384+G384+H384+I384+J384+K384+L384</f>
        <v>0</v>
      </c>
      <c r="O384">
        <f>E384+F384+G384+H384+I384+J384+K384+M384</f>
        <v>0</v>
      </c>
    </row>
    <row r="385" spans="3:15">
      <c r="C385">
        <f>48.0</f>
        <v>0</v>
      </c>
      <c r="D385">
        <f>8.0</f>
        <v>0</v>
      </c>
      <c r="E385">
        <f>E329*-3.2666500000000003</f>
        <v>0</v>
      </c>
      <c r="F385">
        <f>F329*0.24455000000000002</f>
        <v>0</v>
      </c>
      <c r="G385">
        <f>G329*0.28574999999999995</f>
        <v>0</v>
      </c>
      <c r="H385">
        <f>H329*0.0</f>
        <v>0</v>
      </c>
      <c r="I385">
        <f>I329*26.57835</f>
        <v>0</v>
      </c>
      <c r="J385">
        <f>J329*49.162549999999996</f>
        <v>0</v>
      </c>
      <c r="K385">
        <f>K329*-36.87195</f>
        <v>0</v>
      </c>
      <c r="L385">
        <f>L329*81.02695</f>
        <v>0</v>
      </c>
      <c r="M385">
        <f>M329*-84.7251</f>
        <v>0</v>
      </c>
      <c r="N385">
        <f>E385+F385+G385+H385+I385+J385+K385+L385</f>
        <v>0</v>
      </c>
      <c r="O385">
        <f>E385+F385+G385+H385+I385+J385+K385+M385</f>
        <v>0</v>
      </c>
    </row>
    <row r="386" spans="3:15">
      <c r="C386">
        <f>49.0</f>
        <v>0</v>
      </c>
      <c r="D386">
        <f>9.0</f>
        <v>0</v>
      </c>
      <c r="E386">
        <f>E329*-3.47315</f>
        <v>0</v>
      </c>
      <c r="F386">
        <f>F329*0.9218999999999999</f>
        <v>0</v>
      </c>
      <c r="G386">
        <f>G329*0.40825</f>
        <v>0</v>
      </c>
      <c r="H386">
        <f>H329*0.0</f>
        <v>0</v>
      </c>
      <c r="I386">
        <f>I329*33.7255</f>
        <v>0</v>
      </c>
      <c r="J386">
        <f>J329*57.77915</f>
        <v>0</v>
      </c>
      <c r="K386">
        <f>K329*-43.33435</f>
        <v>0</v>
      </c>
      <c r="L386">
        <f>L329*91.7994</f>
        <v>0</v>
      </c>
      <c r="M386">
        <f>M329*-92.124</f>
        <v>0</v>
      </c>
      <c r="N386">
        <f>E386+F386+G386+H386+I386+J386+K386+L386</f>
        <v>0</v>
      </c>
      <c r="O386">
        <f>E386+F386+G386+H386+I386+J386+K386+M386</f>
        <v>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C10:O386"/>
  <sheetViews>
    <sheetView workbookViewId="0"/>
  </sheetViews>
  <sheetFormatPr defaultRowHeight="15"/>
  <sheetData>
    <row r="10" spans="3:15">
      <c r="C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</row>
    <row r="11" spans="3:15">
      <c r="C11">
        <f>0.0</f>
        <v>0</v>
      </c>
      <c r="D11">
        <f>0.0</f>
        <v>0</v>
      </c>
      <c r="E11">
        <f>E9*-28.9446</f>
        <v>0</v>
      </c>
      <c r="F11">
        <f>F9*-7.4411</f>
        <v>0</v>
      </c>
      <c r="G11">
        <f>G9*0.7592</f>
        <v>0</v>
      </c>
      <c r="H11">
        <f>H9*0.0</f>
        <v>0</v>
      </c>
      <c r="I11">
        <f>I9*-0.1889</f>
        <v>0</v>
      </c>
      <c r="J11">
        <f>J9*408.2413</f>
        <v>0</v>
      </c>
      <c r="K11">
        <f>K9*-306.181</f>
        <v>0</v>
      </c>
      <c r="L11">
        <f>L9*466.3723</f>
        <v>0</v>
      </c>
      <c r="M11">
        <f>M9*-447.7857</f>
        <v>0</v>
      </c>
      <c r="N11">
        <f>E11+F11+G11+H11+I11+J11+K11+L11</f>
        <v>0</v>
      </c>
      <c r="O11">
        <f>E11+F11+G11+H11+I11+J11+K11+M11</f>
        <v>0</v>
      </c>
    </row>
    <row r="12" spans="3:15">
      <c r="C12">
        <f>1.0</f>
        <v>0</v>
      </c>
      <c r="D12">
        <f>1.0</f>
        <v>0</v>
      </c>
      <c r="E12">
        <f>E9*6.2947</f>
        <v>0</v>
      </c>
      <c r="F12">
        <f>F9*204.3539</f>
        <v>0</v>
      </c>
      <c r="G12">
        <f>G9*30.45595</f>
        <v>0</v>
      </c>
      <c r="H12">
        <f>H9*0.0</f>
        <v>0</v>
      </c>
      <c r="I12">
        <f>I9*-0.16285</f>
        <v>0</v>
      </c>
      <c r="J12">
        <f>J9*312.3613</f>
        <v>0</v>
      </c>
      <c r="K12">
        <f>K9*-234.27095</f>
        <v>0</v>
      </c>
      <c r="L12">
        <f>L9*539.05795</f>
        <v>0</v>
      </c>
      <c r="M12">
        <f>M9*-219.21465</f>
        <v>0</v>
      </c>
      <c r="N12">
        <f>E12+F12+G12+H12+I12+J12+K12+L12</f>
        <v>0</v>
      </c>
      <c r="O12">
        <f>E12+F12+G12+H12+I12+J12+K12+M12</f>
        <v>0</v>
      </c>
    </row>
    <row r="13" spans="3:15">
      <c r="C13">
        <f>2.0</f>
        <v>0</v>
      </c>
      <c r="D13">
        <f>2.0</f>
        <v>0</v>
      </c>
      <c r="E13">
        <f>E9*33.52465</f>
        <v>0</v>
      </c>
      <c r="F13">
        <f>F9*383.8568</f>
        <v>0</v>
      </c>
      <c r="G13">
        <f>G9*55.6279</f>
        <v>0</v>
      </c>
      <c r="H13">
        <f>H9*0.0</f>
        <v>0</v>
      </c>
      <c r="I13">
        <f>I9*-0.13974999999999999</f>
        <v>0</v>
      </c>
      <c r="J13">
        <f>J9*246.1164</f>
        <v>0</v>
      </c>
      <c r="K13">
        <f>K9*-184.5873</f>
        <v>0</v>
      </c>
      <c r="L13">
        <f>L9*648.5647</f>
        <v>0</v>
      </c>
      <c r="M13">
        <f>M9*-79.17445000000001</f>
        <v>0</v>
      </c>
      <c r="N13">
        <f>E13+F13+G13+H13+I13+J13+K13+L13</f>
        <v>0</v>
      </c>
      <c r="O13">
        <f>E13+F13+G13+H13+I13+J13+K13+M13</f>
        <v>0</v>
      </c>
    </row>
    <row r="14" spans="3:15">
      <c r="C14">
        <f>3.0</f>
        <v>0</v>
      </c>
      <c r="D14">
        <f>3.0</f>
        <v>0</v>
      </c>
      <c r="E14">
        <f>E9*53.6317</f>
        <v>0</v>
      </c>
      <c r="F14">
        <f>F9*535.0896499999999</f>
        <v>0</v>
      </c>
      <c r="G14">
        <f>G9*76.83335</f>
        <v>0</v>
      </c>
      <c r="H14">
        <f>H9*0.0</f>
        <v>0</v>
      </c>
      <c r="I14">
        <f>I9*-0.11895</f>
        <v>0</v>
      </c>
      <c r="J14">
        <f>J9*184.57225</f>
        <v>0</v>
      </c>
      <c r="K14">
        <f>K9*-138.42919999999998</f>
        <v>0</v>
      </c>
      <c r="L14">
        <f>L9*787.15095</f>
        <v>0</v>
      </c>
      <c r="M14">
        <f>M9*-29.3679</f>
        <v>0</v>
      </c>
      <c r="N14">
        <f>E14+F14+G14+H14+I14+J14+K14+L14</f>
        <v>0</v>
      </c>
      <c r="O14">
        <f>E14+F14+G14+H14+I14+J14+K14+M14</f>
        <v>0</v>
      </c>
    </row>
    <row r="15" spans="3:15">
      <c r="C15">
        <f>4.0</f>
        <v>0</v>
      </c>
      <c r="D15">
        <f>4.0</f>
        <v>0</v>
      </c>
      <c r="E15">
        <f>E9*67.39525</f>
        <v>0</v>
      </c>
      <c r="F15">
        <f>F9*657.81975</f>
        <v>0</v>
      </c>
      <c r="G15">
        <f>G9*94.0019</f>
        <v>0</v>
      </c>
      <c r="H15">
        <f>H9*0.0</f>
        <v>0</v>
      </c>
      <c r="I15">
        <f>I9*-0.0999</f>
        <v>0</v>
      </c>
      <c r="J15">
        <f>J9*123.15195</f>
        <v>0</v>
      </c>
      <c r="K15">
        <f>K9*-92.3639</f>
        <v>0</v>
      </c>
      <c r="L15">
        <f>L9*920.3896</f>
        <v>0</v>
      </c>
      <c r="M15">
        <f>M9*-27.58295</f>
        <v>0</v>
      </c>
      <c r="N15">
        <f>E15+F15+G15+H15+I15+J15+K15+L15</f>
        <v>0</v>
      </c>
      <c r="O15">
        <f>E15+F15+G15+H15+I15+J15+K15+M15</f>
        <v>0</v>
      </c>
    </row>
    <row r="16" spans="3:15">
      <c r="C16">
        <f>5.0</f>
        <v>0</v>
      </c>
      <c r="D16">
        <f>5.0</f>
        <v>0</v>
      </c>
      <c r="E16">
        <f>E9*77.5339</f>
        <v>0</v>
      </c>
      <c r="F16">
        <f>F9*773.9866499999999</f>
        <v>0</v>
      </c>
      <c r="G16">
        <f>G9*110.21664999999999</f>
        <v>0</v>
      </c>
      <c r="H16">
        <f>H9*0.0</f>
        <v>0</v>
      </c>
      <c r="I16">
        <f>I9*-0.091</f>
        <v>0</v>
      </c>
      <c r="J16">
        <f>J9*58.61295</f>
        <v>0</v>
      </c>
      <c r="K16">
        <f>K9*-43.9597</f>
        <v>0</v>
      </c>
      <c r="L16">
        <f>L9*1074.2039</f>
        <v>0</v>
      </c>
      <c r="M16">
        <f>M9*-28.78565</f>
        <v>0</v>
      </c>
      <c r="N16">
        <f>E16+F16+G16+H16+I16+J16+K16+L16</f>
        <v>0</v>
      </c>
      <c r="O16">
        <f>E16+F16+G16+H16+I16+J16+K16+M16</f>
        <v>0</v>
      </c>
    </row>
    <row r="17" spans="3:15">
      <c r="C17">
        <f>6.0</f>
        <v>0</v>
      </c>
      <c r="D17">
        <f>6.0</f>
        <v>0</v>
      </c>
      <c r="E17">
        <f>E9*90.5428</f>
        <v>0</v>
      </c>
      <c r="F17">
        <f>F9*862.0892</f>
        <v>0</v>
      </c>
      <c r="G17">
        <f>G9*122.92060000000001</f>
        <v>0</v>
      </c>
      <c r="H17">
        <f>H9*0.0</f>
        <v>0</v>
      </c>
      <c r="I17">
        <f>I9*-0.0828</f>
        <v>0</v>
      </c>
      <c r="J17">
        <f>J9*75.3512</f>
        <v>0</v>
      </c>
      <c r="K17">
        <f>K9*-56.513400000000004</f>
        <v>0</v>
      </c>
      <c r="L17">
        <f>L9*1187.40285</f>
        <v>0</v>
      </c>
      <c r="M17">
        <f>M9*-30.6729</f>
        <v>0</v>
      </c>
      <c r="N17">
        <f>E17+F17+G17+H17+I17+J17+K17+L17</f>
        <v>0</v>
      </c>
      <c r="O17">
        <f>E17+F17+G17+H17+I17+J17+K17+M17</f>
        <v>0</v>
      </c>
    </row>
    <row r="18" spans="3:15">
      <c r="C18">
        <f>7.0</f>
        <v>0</v>
      </c>
      <c r="D18">
        <f>7.0</f>
        <v>0</v>
      </c>
      <c r="E18">
        <f>E9*99.5671</f>
        <v>0</v>
      </c>
      <c r="F18">
        <f>F9*927.0965</f>
        <v>0</v>
      </c>
      <c r="G18">
        <f>G9*132.2183</f>
        <v>0</v>
      </c>
      <c r="H18">
        <f>H9*0.0</f>
        <v>0</v>
      </c>
      <c r="I18">
        <f>I9*-0.0693</f>
        <v>0</v>
      </c>
      <c r="J18">
        <f>J9*84.31485</f>
        <v>0</v>
      </c>
      <c r="K18">
        <f>K9*-63.23609999999999</f>
        <v>0</v>
      </c>
      <c r="L18">
        <f>L9*1279.7906</f>
        <v>0</v>
      </c>
      <c r="M18">
        <f>M9*-32.720699999999994</f>
        <v>0</v>
      </c>
      <c r="N18">
        <f>E18+F18+G18+H18+I18+J18+K18+L18</f>
        <v>0</v>
      </c>
      <c r="O18">
        <f>E18+F18+G18+H18+I18+J18+K18+M18</f>
        <v>0</v>
      </c>
    </row>
    <row r="19" spans="3:15">
      <c r="C19">
        <f>8.0</f>
        <v>0</v>
      </c>
      <c r="D19">
        <f>8.0</f>
        <v>0</v>
      </c>
      <c r="E19">
        <f>E9*104.24285</f>
        <v>0</v>
      </c>
      <c r="F19">
        <f>F9*974.47525</f>
        <v>0</v>
      </c>
      <c r="G19">
        <f>G9*138.9801</f>
        <v>0</v>
      </c>
      <c r="H19">
        <f>H9*0.0</f>
        <v>0</v>
      </c>
      <c r="I19">
        <f>I9*-0.0564</f>
        <v>0</v>
      </c>
      <c r="J19">
        <f>J9*83.2356</f>
        <v>0</v>
      </c>
      <c r="K19">
        <f>K9*-62.4267</f>
        <v>0</v>
      </c>
      <c r="L19">
        <f>L9*1348.7323999999999</f>
        <v>0</v>
      </c>
      <c r="M19">
        <f>M9*-34.9999</f>
        <v>0</v>
      </c>
      <c r="N19">
        <f>E19+F19+G19+H19+I19+J19+K19+L19</f>
        <v>0</v>
      </c>
      <c r="O19">
        <f>E19+F19+G19+H19+I19+J19+K19+M19</f>
        <v>0</v>
      </c>
    </row>
    <row r="20" spans="3:15">
      <c r="C20">
        <f>9.0</f>
        <v>0</v>
      </c>
      <c r="D20">
        <f>9.0</f>
        <v>0</v>
      </c>
      <c r="E20">
        <f>E9*104.67515</f>
        <v>0</v>
      </c>
      <c r="F20">
        <f>F9*1004.9076</f>
        <v>0</v>
      </c>
      <c r="G20">
        <f>G9*143.2853</f>
        <v>0</v>
      </c>
      <c r="H20">
        <f>H9*0.0</f>
        <v>0</v>
      </c>
      <c r="I20">
        <f>I9*-0.0436</f>
        <v>0</v>
      </c>
      <c r="J20">
        <f>J9*71.76885</f>
        <v>0</v>
      </c>
      <c r="K20">
        <f>K9*-53.82665</f>
        <v>0</v>
      </c>
      <c r="L20">
        <f>L9*1396.5288</f>
        <v>0</v>
      </c>
      <c r="M20">
        <f>M9*-37.642849999999996</f>
        <v>0</v>
      </c>
      <c r="N20">
        <f>E20+F20+G20+H20+I20+J20+K20+L20</f>
        <v>0</v>
      </c>
      <c r="O20">
        <f>E20+F20+G20+H20+I20+J20+K20+M20</f>
        <v>0</v>
      </c>
    </row>
    <row r="21" spans="3:15">
      <c r="C21">
        <f>10.0</f>
        <v>0</v>
      </c>
      <c r="D21">
        <f>10.0</f>
        <v>0</v>
      </c>
      <c r="E21">
        <f>E9*101.0398</f>
        <v>0</v>
      </c>
      <c r="F21">
        <f>F9*1015.5561</f>
        <v>0</v>
      </c>
      <c r="G21">
        <f>G9*144.68045</f>
        <v>0</v>
      </c>
      <c r="H21">
        <f>H9*0.0</f>
        <v>0</v>
      </c>
      <c r="I21">
        <f>I9*-0.04015</f>
        <v>0</v>
      </c>
      <c r="J21">
        <f>J9*57.1074</f>
        <v>0</v>
      </c>
      <c r="K21">
        <f>K9*-42.8305</f>
        <v>0</v>
      </c>
      <c r="L21">
        <f>L9*1417.32845</f>
        <v>0</v>
      </c>
      <c r="M21">
        <f>M9*-40.7162</f>
        <v>0</v>
      </c>
      <c r="N21">
        <f>E21+F21+G21+H21+I21+J21+K21+L21</f>
        <v>0</v>
      </c>
      <c r="O21">
        <f>E21+F21+G21+H21+I21+J21+K21+M21</f>
        <v>0</v>
      </c>
    </row>
    <row r="22" spans="3:15">
      <c r="C22">
        <f>11.0</f>
        <v>0</v>
      </c>
      <c r="D22">
        <f>11.0</f>
        <v>0</v>
      </c>
      <c r="E22">
        <f>E9*103.5657</f>
        <v>0</v>
      </c>
      <c r="F22">
        <f>F9*992.00825</f>
        <v>0</v>
      </c>
      <c r="G22">
        <f>G9*141.4532</f>
        <v>0</v>
      </c>
      <c r="H22">
        <f>H9*0.0</f>
        <v>0</v>
      </c>
      <c r="I22">
        <f>I9*-0.0364</f>
        <v>0</v>
      </c>
      <c r="J22">
        <f>J9*72.2984</f>
        <v>0</v>
      </c>
      <c r="K22">
        <f>K9*-54.2238</f>
        <v>0</v>
      </c>
      <c r="L22">
        <f>L9*1392.86635</f>
        <v>0</v>
      </c>
      <c r="M22">
        <f>M9*-43.694900000000004</f>
        <v>0</v>
      </c>
      <c r="N22">
        <f>E22+F22+G22+H22+I22+J22+K22+L22</f>
        <v>0</v>
      </c>
      <c r="O22">
        <f>E22+F22+G22+H22+I22+J22+K22+M22</f>
        <v>0</v>
      </c>
    </row>
    <row r="23" spans="3:15">
      <c r="C23">
        <f>12.0</f>
        <v>0</v>
      </c>
      <c r="D23">
        <f>12.0</f>
        <v>0</v>
      </c>
      <c r="E23">
        <f>E9*102.17125</f>
        <v>0</v>
      </c>
      <c r="F23">
        <f>F9*948.2617</f>
        <v>0</v>
      </c>
      <c r="G23">
        <f>G9*135.2404</f>
        <v>0</v>
      </c>
      <c r="H23">
        <f>H9*0.0</f>
        <v>0</v>
      </c>
      <c r="I23">
        <f>I9*-0.02395</f>
        <v>0</v>
      </c>
      <c r="J23">
        <f>J9*81.56705</f>
        <v>0</v>
      </c>
      <c r="K23">
        <f>K9*-61.1753</f>
        <v>0</v>
      </c>
      <c r="L23">
        <f>L9*1344.0702</f>
        <v>0</v>
      </c>
      <c r="M23">
        <f>M9*-46.8087</f>
        <v>0</v>
      </c>
      <c r="N23">
        <f>E23+F23+G23+H23+I23+J23+K23+L23</f>
        <v>0</v>
      </c>
      <c r="O23">
        <f>E23+F23+G23+H23+I23+J23+K23+M23</f>
        <v>0</v>
      </c>
    </row>
    <row r="24" spans="3:15">
      <c r="C24">
        <f>13.0</f>
        <v>0</v>
      </c>
      <c r="D24">
        <f>13.0</f>
        <v>0</v>
      </c>
      <c r="E24">
        <f>E9*96.57435000000001</f>
        <v>0</v>
      </c>
      <c r="F24">
        <f>F9*888.0903</f>
        <v>0</v>
      </c>
      <c r="G24">
        <f>G9*126.64685</f>
        <v>0</v>
      </c>
      <c r="H24">
        <f>H9*0.0</f>
        <v>0</v>
      </c>
      <c r="I24">
        <f>I9*-0.0118</f>
        <v>0</v>
      </c>
      <c r="J24">
        <f>J9*80.51625000000001</f>
        <v>0</v>
      </c>
      <c r="K24">
        <f>K9*-60.3872</f>
        <v>0</v>
      </c>
      <c r="L24">
        <f>L9*1272.6778</f>
        <v>0</v>
      </c>
      <c r="M24">
        <f>M9*-50.20555</f>
        <v>0</v>
      </c>
      <c r="N24">
        <f>E24+F24+G24+H24+I24+J24+K24+L24</f>
        <v>0</v>
      </c>
      <c r="O24">
        <f>E24+F24+G24+H24+I24+J24+K24+M24</f>
        <v>0</v>
      </c>
    </row>
    <row r="25" spans="3:15">
      <c r="C25">
        <f>14.0</f>
        <v>0</v>
      </c>
      <c r="D25">
        <f>14.0</f>
        <v>0</v>
      </c>
      <c r="E25">
        <f>E9*86.6331</f>
        <v>0</v>
      </c>
      <c r="F25">
        <f>F9*810.0873</f>
        <v>0</v>
      </c>
      <c r="G25">
        <f>G9*115.4892</f>
        <v>0</v>
      </c>
      <c r="H25">
        <f>H9*0.0</f>
        <v>0</v>
      </c>
      <c r="I25">
        <f>I9*0.0007546250000000001</f>
        <v>0</v>
      </c>
      <c r="J25">
        <f>J9*69.21685</f>
        <v>0</v>
      </c>
      <c r="K25">
        <f>K9*-51.91265</f>
        <v>0</v>
      </c>
      <c r="L25">
        <f>L9*1179.8739</f>
        <v>0</v>
      </c>
      <c r="M25">
        <f>M9*-56.2599</f>
        <v>0</v>
      </c>
      <c r="N25">
        <f>E25+F25+G25+H25+I25+J25+K25+L25</f>
        <v>0</v>
      </c>
      <c r="O25">
        <f>E25+F25+G25+H25+I25+J25+K25+M25</f>
        <v>0</v>
      </c>
    </row>
    <row r="26" spans="3:15">
      <c r="C26">
        <f>15.0</f>
        <v>0</v>
      </c>
      <c r="D26">
        <f>15.0</f>
        <v>0</v>
      </c>
      <c r="E26">
        <f>E9*72.48745</f>
        <v>0</v>
      </c>
      <c r="F26">
        <f>F9*706.2015000000001</f>
        <v>0</v>
      </c>
      <c r="G26">
        <f>G9*100.5381</f>
        <v>0</v>
      </c>
      <c r="H26">
        <f>H9*0.0</f>
        <v>0</v>
      </c>
      <c r="I26">
        <f>I9*0.0058000000000000005</f>
        <v>0</v>
      </c>
      <c r="J26">
        <f>J9*50.436099999999996</f>
        <v>0</v>
      </c>
      <c r="K26">
        <f>K9*-37.82705</f>
        <v>0</v>
      </c>
      <c r="L26">
        <f>L9*1059.28255</f>
        <v>0</v>
      </c>
      <c r="M26">
        <f>M9*-66.03985</f>
        <v>0</v>
      </c>
      <c r="N26">
        <f>E26+F26+G26+H26+I26+J26+K26+L26</f>
        <v>0</v>
      </c>
      <c r="O26">
        <f>E26+F26+G26+H26+I26+J26+K26+M26</f>
        <v>0</v>
      </c>
    </row>
    <row r="27" spans="3:15">
      <c r="C27">
        <f>15.91</f>
        <v>0</v>
      </c>
      <c r="D27">
        <f>15.91</f>
        <v>0</v>
      </c>
      <c r="E27">
        <f>E9*65.1669</f>
        <v>0</v>
      </c>
      <c r="F27">
        <f>F9*596.0687</f>
        <v>0</v>
      </c>
      <c r="G27">
        <f>G9*84.95599999999999</f>
        <v>0</v>
      </c>
      <c r="H27">
        <f>H9*0.0</f>
        <v>0</v>
      </c>
      <c r="I27">
        <f>I9*0.0034000000000000002</f>
        <v>0</v>
      </c>
      <c r="J27">
        <f>J9*75.20230000000001</f>
        <v>0</v>
      </c>
      <c r="K27">
        <f>K9*-56.40175</f>
        <v>0</v>
      </c>
      <c r="L27">
        <f>L9*907.8132499999999</f>
        <v>0</v>
      </c>
      <c r="M27">
        <f>M9*-64.459</f>
        <v>0</v>
      </c>
      <c r="N27">
        <f>E27+F27+G27+H27+I27+J27+K27+L27</f>
        <v>0</v>
      </c>
      <c r="O27">
        <f>E27+F27+G27+H27+I27+J27+K27+M27</f>
        <v>0</v>
      </c>
    </row>
    <row r="28" spans="3:15">
      <c r="C28">
        <f>16.82</f>
        <v>0</v>
      </c>
      <c r="D28">
        <f>16.82</f>
        <v>0</v>
      </c>
      <c r="E28">
        <f>E9*55.1589</f>
        <v>0</v>
      </c>
      <c r="F28">
        <f>F9*479.33045</f>
        <v>0</v>
      </c>
      <c r="G28">
        <f>G9*68.3742</f>
        <v>0</v>
      </c>
      <c r="H28">
        <f>H9*0.0</f>
        <v>0</v>
      </c>
      <c r="I28">
        <f>I9*0.0094</f>
        <v>0</v>
      </c>
      <c r="J28">
        <f>J9*92.4026</f>
        <v>0</v>
      </c>
      <c r="K28">
        <f>K9*-69.30195</f>
        <v>0</v>
      </c>
      <c r="L28">
        <f>L9*738.0657</f>
        <v>0</v>
      </c>
      <c r="M28">
        <f>M9*-60.9066</f>
        <v>0</v>
      </c>
      <c r="N28">
        <f>E28+F28+G28+H28+I28+J28+K28+L28</f>
        <v>0</v>
      </c>
      <c r="O28">
        <f>E28+F28+G28+H28+I28+J28+K28+M28</f>
        <v>0</v>
      </c>
    </row>
    <row r="29" spans="3:15">
      <c r="C29">
        <f>17.73</f>
        <v>0</v>
      </c>
      <c r="D29">
        <f>17.73</f>
        <v>0</v>
      </c>
      <c r="E29">
        <f>E9*40.29375</f>
        <v>0</v>
      </c>
      <c r="F29">
        <f>F9*337.6788</f>
        <v>0</v>
      </c>
      <c r="G29">
        <f>G9*48.21685</f>
        <v>0</v>
      </c>
      <c r="H29">
        <f>H9*0.0</f>
        <v>0</v>
      </c>
      <c r="I29">
        <f>I9*0.0148</f>
        <v>0</v>
      </c>
      <c r="J29">
        <f>J9*103.1918</f>
        <v>0</v>
      </c>
      <c r="K29">
        <f>K9*-77.3938</f>
        <v>0</v>
      </c>
      <c r="L29">
        <f>L9*527.56205</f>
        <v>0</v>
      </c>
      <c r="M29">
        <f>M9*-57.44325</f>
        <v>0</v>
      </c>
      <c r="N29">
        <f>E29+F29+G29+H29+I29+J29+K29+L29</f>
        <v>0</v>
      </c>
      <c r="O29">
        <f>E29+F29+G29+H29+I29+J29+K29+M29</f>
        <v>0</v>
      </c>
    </row>
    <row r="30" spans="3:15">
      <c r="C30">
        <f>18.64</f>
        <v>0</v>
      </c>
      <c r="D30">
        <f>18.64</f>
        <v>0</v>
      </c>
      <c r="E30">
        <f>E9*21.37925</f>
        <v>0</v>
      </c>
      <c r="F30">
        <f>F9*180.87725</f>
        <v>0</v>
      </c>
      <c r="G30">
        <f>G9*25.879550000000002</f>
        <v>0</v>
      </c>
      <c r="H30">
        <f>H9*0.0</f>
        <v>0</v>
      </c>
      <c r="I30">
        <f>I9*0.01795</f>
        <v>0</v>
      </c>
      <c r="J30">
        <f>J9*108.4598</f>
        <v>0</v>
      </c>
      <c r="K30">
        <f>K9*-81.3449</f>
        <v>0</v>
      </c>
      <c r="L30">
        <f>L9*287.8505</f>
        <v>0</v>
      </c>
      <c r="M30">
        <f>M9*-55.538650000000004</f>
        <v>0</v>
      </c>
      <c r="N30">
        <f>E30+F30+G30+H30+I30+J30+K30+L30</f>
        <v>0</v>
      </c>
      <c r="O30">
        <f>E30+F30+G30+H30+I30+J30+K30+M30</f>
        <v>0</v>
      </c>
    </row>
    <row r="31" spans="3:15">
      <c r="C31">
        <f>19.55</f>
        <v>0</v>
      </c>
      <c r="D31">
        <f>19.55</f>
        <v>0</v>
      </c>
      <c r="E31">
        <f>E9*-2.2494</f>
        <v>0</v>
      </c>
      <c r="F31">
        <f>F9*-2.2990500000000003</f>
        <v>0</v>
      </c>
      <c r="G31">
        <f>G9*-0.28615</f>
        <v>0</v>
      </c>
      <c r="H31">
        <f>H9*0.0</f>
        <v>0</v>
      </c>
      <c r="I31">
        <f>I9*0.0097</f>
        <v>0</v>
      </c>
      <c r="J31">
        <f>J9*116.97715</f>
        <v>0</v>
      </c>
      <c r="K31">
        <f>K9*-87.7329</f>
        <v>0</v>
      </c>
      <c r="L31">
        <f>L9*29.23115</f>
        <v>0</v>
      </c>
      <c r="M31">
        <f>M9*-73.08080000000001</f>
        <v>0</v>
      </c>
      <c r="N31">
        <f>E31+F31+G31+H31+I31+J31+K31+L31</f>
        <v>0</v>
      </c>
      <c r="O31">
        <f>E31+F31+G31+H31+I31+J31+K31+M31</f>
        <v>0</v>
      </c>
    </row>
    <row r="32" spans="3:15">
      <c r="C32">
        <f>20.0</f>
        <v>0</v>
      </c>
      <c r="D32">
        <f>20.0</f>
        <v>0</v>
      </c>
      <c r="E32">
        <f>E9*-0.8734</f>
        <v>0</v>
      </c>
      <c r="F32">
        <f>F9*-7.6867</f>
        <v>0</v>
      </c>
      <c r="G32">
        <f>G9*-1.1026</f>
        <v>0</v>
      </c>
      <c r="H32">
        <f>H9*0.0</f>
        <v>0</v>
      </c>
      <c r="I32">
        <f>I9*-0.0011</f>
        <v>0</v>
      </c>
      <c r="J32">
        <f>J9*90.3818</f>
        <v>0</v>
      </c>
      <c r="K32">
        <f>K9*-67.7863</f>
        <v>0</v>
      </c>
      <c r="L32">
        <f>L9*3.5704</f>
        <v>0</v>
      </c>
      <c r="M32">
        <f>M9*-11.7107</f>
        <v>0</v>
      </c>
      <c r="N32">
        <f>E32+F32+G32+H32+I32+J32+K32+L32</f>
        <v>0</v>
      </c>
      <c r="O32">
        <f>E32+F32+G32+H32+I32+J32+K32+M32</f>
        <v>0</v>
      </c>
    </row>
    <row r="33" spans="3:15">
      <c r="C33">
        <f>20.0</f>
        <v>0</v>
      </c>
      <c r="D33">
        <f>0.0</f>
        <v>0</v>
      </c>
      <c r="E33">
        <f>E9*-0.7098</f>
        <v>0</v>
      </c>
      <c r="F33">
        <f>F9*-8.5719</f>
        <v>0</v>
      </c>
      <c r="G33">
        <f>G9*-1.239</f>
        <v>0</v>
      </c>
      <c r="H33">
        <f>H9*0.0</f>
        <v>0</v>
      </c>
      <c r="I33">
        <f>I9*0.2871</f>
        <v>0</v>
      </c>
      <c r="J33">
        <f>J9*88.0309</f>
        <v>0</v>
      </c>
      <c r="K33">
        <f>K9*-66.0232</f>
        <v>0</v>
      </c>
      <c r="L33">
        <f>L9*1.0313</f>
        <v>0</v>
      </c>
      <c r="M33">
        <f>M9*-13.3958</f>
        <v>0</v>
      </c>
      <c r="N33">
        <f>E33+F33+G33+H33+I33+J33+K33+L33</f>
        <v>0</v>
      </c>
      <c r="O33">
        <f>E33+F33+G33+H33+I33+J33+K33+M33</f>
        <v>0</v>
      </c>
    </row>
    <row r="34" spans="3:15">
      <c r="C34">
        <f>20.45</f>
        <v>0</v>
      </c>
      <c r="D34">
        <f>0.45</f>
        <v>0</v>
      </c>
      <c r="E34">
        <f>E9*-3.28705</f>
        <v>0</v>
      </c>
      <c r="F34">
        <f>F9*5.7849499999999985</f>
        <v>0</v>
      </c>
      <c r="G34">
        <f>G9*0.94265</f>
        <v>0</v>
      </c>
      <c r="H34">
        <f>H9*0.0</f>
        <v>0</v>
      </c>
      <c r="I34">
        <f>I9*-2.0515000000000003</f>
        <v>0</v>
      </c>
      <c r="J34">
        <f>J9*134.2246</f>
        <v>0</v>
      </c>
      <c r="K34">
        <f>K9*-100.66845</f>
        <v>0</v>
      </c>
      <c r="L34">
        <f>L9*58.590500000000006</f>
        <v>0</v>
      </c>
      <c r="M34">
        <f>M9*-47.729</f>
        <v>0</v>
      </c>
      <c r="N34">
        <f>E34+F34+G34+H34+I34+J34+K34+L34</f>
        <v>0</v>
      </c>
      <c r="O34">
        <f>E34+F34+G34+H34+I34+J34+K34+M34</f>
        <v>0</v>
      </c>
    </row>
    <row r="35" spans="3:15">
      <c r="C35">
        <f>21.36</f>
        <v>0</v>
      </c>
      <c r="D35">
        <f>1.36</f>
        <v>0</v>
      </c>
      <c r="E35">
        <f>E9*19.18825</f>
        <v>0</v>
      </c>
      <c r="F35">
        <f>F9*189.20065</f>
        <v>0</v>
      </c>
      <c r="G35">
        <f>G9*27.18815</f>
        <v>0</v>
      </c>
      <c r="H35">
        <f>H9*0.0</f>
        <v>0</v>
      </c>
      <c r="I35">
        <f>I9*-3.8135000000000003</f>
        <v>0</v>
      </c>
      <c r="J35">
        <f>J9*136.75855</f>
        <v>0</v>
      </c>
      <c r="K35">
        <f>K9*-102.5689</f>
        <v>0</v>
      </c>
      <c r="L35">
        <f>L9*299.02094999999997</f>
        <v>0</v>
      </c>
      <c r="M35">
        <f>M9*-11.07555</f>
        <v>0</v>
      </c>
      <c r="N35">
        <f>E35+F35+G35+H35+I35+J35+K35+L35</f>
        <v>0</v>
      </c>
      <c r="O35">
        <f>E35+F35+G35+H35+I35+J35+K35+M35</f>
        <v>0</v>
      </c>
    </row>
    <row r="36" spans="3:15">
      <c r="C36">
        <f>22.27</f>
        <v>0</v>
      </c>
      <c r="D36">
        <f>2.27</f>
        <v>0</v>
      </c>
      <c r="E36">
        <f>E9*38.10825</f>
        <v>0</v>
      </c>
      <c r="F36">
        <f>F9*337.81015</f>
        <v>0</v>
      </c>
      <c r="G36">
        <f>G9*48.321600000000004</f>
        <v>0</v>
      </c>
      <c r="H36">
        <f>H9*0.0</f>
        <v>0</v>
      </c>
      <c r="I36">
        <f>I9*-3.39475</f>
        <v>0</v>
      </c>
      <c r="J36">
        <f>J9*123.99664999999999</f>
        <v>0</v>
      </c>
      <c r="K36">
        <f>K9*-92.9975</f>
        <v>0</v>
      </c>
      <c r="L36">
        <f>L9*527.90375</f>
        <v>0</v>
      </c>
      <c r="M36">
        <f>M9*-15.30365</f>
        <v>0</v>
      </c>
      <c r="N36">
        <f>E36+F36+G36+H36+I36+J36+K36+L36</f>
        <v>0</v>
      </c>
      <c r="O36">
        <f>E36+F36+G36+H36+I36+J36+K36+M36</f>
        <v>0</v>
      </c>
    </row>
    <row r="37" spans="3:15">
      <c r="C37">
        <f>23.18</f>
        <v>0</v>
      </c>
      <c r="D37">
        <f>3.18</f>
        <v>0</v>
      </c>
      <c r="E37">
        <f>E9*52.87175</f>
        <v>0</v>
      </c>
      <c r="F37">
        <f>F9*472.09029999999996</f>
        <v>0</v>
      </c>
      <c r="G37">
        <f>G9*67.40005</f>
        <v>0</v>
      </c>
      <c r="H37">
        <f>H9*0.0</f>
        <v>0</v>
      </c>
      <c r="I37">
        <f>I9*-3.03625</f>
        <v>0</v>
      </c>
      <c r="J37">
        <f>J9*107.48605</f>
        <v>0</v>
      </c>
      <c r="K37">
        <f>K9*-80.61455000000001</f>
        <v>0</v>
      </c>
      <c r="L37">
        <f>L9*732.5505</f>
        <v>0</v>
      </c>
      <c r="M37">
        <f>M9*-20.18195</f>
        <v>0</v>
      </c>
      <c r="N37">
        <f>E37+F37+G37+H37+I37+J37+K37+L37</f>
        <v>0</v>
      </c>
      <c r="O37">
        <f>E37+F37+G37+H37+I37+J37+K37+M37</f>
        <v>0</v>
      </c>
    </row>
    <row r="38" spans="3:15">
      <c r="C38">
        <f>24.09</f>
        <v>0</v>
      </c>
      <c r="D38">
        <f>4.09</f>
        <v>0</v>
      </c>
      <c r="E38">
        <f>E9*62.741550000000004</f>
        <v>0</v>
      </c>
      <c r="F38">
        <f>F9*582.3023499999999</f>
        <v>0</v>
      </c>
      <c r="G38">
        <f>G9*83.0286</f>
        <v>0</v>
      </c>
      <c r="H38">
        <f>H9*0.0</f>
        <v>0</v>
      </c>
      <c r="I38">
        <f>I9*-2.70145</f>
        <v>0</v>
      </c>
      <c r="J38">
        <f>J9*85.6936</f>
        <v>0</v>
      </c>
      <c r="K38">
        <f>K9*-64.27025</f>
        <v>0</v>
      </c>
      <c r="L38">
        <f>L9*898.80455</f>
        <v>0</v>
      </c>
      <c r="M38">
        <f>M9*-27.87595</f>
        <v>0</v>
      </c>
      <c r="N38">
        <f>E38+F38+G38+H38+I38+J38+K38+L38</f>
        <v>0</v>
      </c>
      <c r="O38">
        <f>E38+F38+G38+H38+I38+J38+K38+M38</f>
        <v>0</v>
      </c>
    </row>
    <row r="39" spans="3:15">
      <c r="C39">
        <f>25.0</f>
        <v>0</v>
      </c>
      <c r="D39">
        <f>5.0</f>
        <v>0</v>
      </c>
      <c r="E39">
        <f>E9*69.80735</f>
        <v>0</v>
      </c>
      <c r="F39">
        <f>F9*686.0234</f>
        <v>0</v>
      </c>
      <c r="G39">
        <f>G9*97.6808</f>
        <v>0</v>
      </c>
      <c r="H39">
        <f>H9*0.0</f>
        <v>0</v>
      </c>
      <c r="I39">
        <f>I9*-2.7599</f>
        <v>0</v>
      </c>
      <c r="J39">
        <f>J9*57.7572</f>
        <v>0</v>
      </c>
      <c r="K39">
        <f>K9*-43.317899999999995</f>
        <v>0</v>
      </c>
      <c r="L39">
        <f>L9*1047.507</f>
        <v>0</v>
      </c>
      <c r="M39">
        <f>M9*-35.49245</f>
        <v>0</v>
      </c>
      <c r="N39">
        <f>E39+F39+G39+H39+I39+J39+K39+L39</f>
        <v>0</v>
      </c>
      <c r="O39">
        <f>E39+F39+G39+H39+I39+J39+K39+M39</f>
        <v>0</v>
      </c>
    </row>
    <row r="40" spans="3:15">
      <c r="C40">
        <f>26.0</f>
        <v>0</v>
      </c>
      <c r="D40">
        <f>6.0</f>
        <v>0</v>
      </c>
      <c r="E40">
        <f>E9*83.42994999999999</f>
        <v>0</v>
      </c>
      <c r="F40">
        <f>F9*783.6357</f>
        <v>0</v>
      </c>
      <c r="G40">
        <f>G9*111.7367</f>
        <v>0</v>
      </c>
      <c r="H40">
        <f>H9*0.0</f>
        <v>0</v>
      </c>
      <c r="I40">
        <f>I9*-3.1376</f>
        <v>0</v>
      </c>
      <c r="J40">
        <f>J9*76.3809</f>
        <v>0</v>
      </c>
      <c r="K40">
        <f>K9*-57.28565</f>
        <v>0</v>
      </c>
      <c r="L40">
        <f>L9*1167.7925</f>
        <v>0</v>
      </c>
      <c r="M40">
        <f>M9*-31.9386</f>
        <v>0</v>
      </c>
      <c r="N40">
        <f>E40+F40+G40+H40+I40+J40+K40+L40</f>
        <v>0</v>
      </c>
      <c r="O40">
        <f>E40+F40+G40+H40+I40+J40+K40+M40</f>
        <v>0</v>
      </c>
    </row>
    <row r="41" spans="3:15">
      <c r="C41">
        <f>27.0</f>
        <v>0</v>
      </c>
      <c r="D41">
        <f>7.0</f>
        <v>0</v>
      </c>
      <c r="E41">
        <f>E9*92.87950000000001</f>
        <v>0</v>
      </c>
      <c r="F41">
        <f>F9*855.87545</f>
        <v>0</v>
      </c>
      <c r="G41">
        <f>G9*122.07239999999999</f>
        <v>0</v>
      </c>
      <c r="H41">
        <f>H9*0.0</f>
        <v>0</v>
      </c>
      <c r="I41">
        <f>I9*-3.26525</f>
        <v>0</v>
      </c>
      <c r="J41">
        <f>J9*87.62325</f>
        <v>0</v>
      </c>
      <c r="K41">
        <f>K9*-65.71745</f>
        <v>0</v>
      </c>
      <c r="L41">
        <f>L9*1260.33445</f>
        <v>0</v>
      </c>
      <c r="M41">
        <f>M9*-32.91095</f>
        <v>0</v>
      </c>
      <c r="N41">
        <f>E41+F41+G41+H41+I41+J41+K41+L41</f>
        <v>0</v>
      </c>
      <c r="O41">
        <f>E41+F41+G41+H41+I41+J41+K41+M41</f>
        <v>0</v>
      </c>
    </row>
    <row r="42" spans="3:15">
      <c r="C42">
        <f>28.0</f>
        <v>0</v>
      </c>
      <c r="D42">
        <f>8.0</f>
        <v>0</v>
      </c>
      <c r="E42">
        <f>E9*97.94525</f>
        <v>0</v>
      </c>
      <c r="F42">
        <f>F9*910.20915</f>
        <v>0</v>
      </c>
      <c r="G42">
        <f>G9*129.83655</f>
        <v>0</v>
      </c>
      <c r="H42">
        <f>H9*0.0</f>
        <v>0</v>
      </c>
      <c r="I42">
        <f>I9*-3.50145</f>
        <v>0</v>
      </c>
      <c r="J42">
        <f>J9*89.1183</f>
        <v>0</v>
      </c>
      <c r="K42">
        <f>K9*-66.83875</f>
        <v>0</v>
      </c>
      <c r="L42">
        <f>L9*1332.6951</f>
        <v>0</v>
      </c>
      <c r="M42">
        <f>M9*-34.712050000000005</f>
        <v>0</v>
      </c>
      <c r="N42">
        <f>E42+F42+G42+H42+I42+J42+K42+L42</f>
        <v>0</v>
      </c>
      <c r="O42">
        <f>E42+F42+G42+H42+I42+J42+K42+M42</f>
        <v>0</v>
      </c>
    </row>
    <row r="43" spans="3:15">
      <c r="C43">
        <f>29.0</f>
        <v>0</v>
      </c>
      <c r="D43">
        <f>9.0</f>
        <v>0</v>
      </c>
      <c r="E43">
        <f>E9*98.7427</f>
        <v>0</v>
      </c>
      <c r="F43">
        <f>F9*947.68815</f>
        <v>0</v>
      </c>
      <c r="G43">
        <f>G9*135.16244999999998</f>
        <v>0</v>
      </c>
      <c r="H43">
        <f>H9*0.0</f>
        <v>0</v>
      </c>
      <c r="I43">
        <f>I9*-3.91735</f>
        <v>0</v>
      </c>
      <c r="J43">
        <f>J9*80.80924999999999</f>
        <v>0</v>
      </c>
      <c r="K43">
        <f>K9*-60.60695</f>
        <v>0</v>
      </c>
      <c r="L43">
        <f>L9*1382.033</f>
        <v>0</v>
      </c>
      <c r="M43">
        <f>M9*-40.3651</f>
        <v>0</v>
      </c>
      <c r="N43">
        <f>E43+F43+G43+H43+I43+J43+K43+L43</f>
        <v>0</v>
      </c>
      <c r="O43">
        <f>E43+F43+G43+H43+I43+J43+K43+M43</f>
        <v>0</v>
      </c>
    </row>
    <row r="44" spans="3:15">
      <c r="C44">
        <f>30.0</f>
        <v>0</v>
      </c>
      <c r="D44">
        <f>10.0</f>
        <v>0</v>
      </c>
      <c r="E44">
        <f>E9*95.5162</f>
        <v>0</v>
      </c>
      <c r="F44">
        <f>F9*965.1161999999999</f>
        <v>0</v>
      </c>
      <c r="G44">
        <f>G9*137.53515</f>
        <v>0</v>
      </c>
      <c r="H44">
        <f>H9*0.0</f>
        <v>0</v>
      </c>
      <c r="I44">
        <f>I9*-4.9282</f>
        <v>0</v>
      </c>
      <c r="J44">
        <f>J9*68.37674999999999</f>
        <v>0</v>
      </c>
      <c r="K44">
        <f>K9*-51.28255</f>
        <v>0</v>
      </c>
      <c r="L44">
        <f>L9*1404.4070499999998</f>
        <v>0</v>
      </c>
      <c r="M44">
        <f>M9*-48.9443</f>
        <v>0</v>
      </c>
      <c r="N44">
        <f>E44+F44+G44+H44+I44+J44+K44+L44</f>
        <v>0</v>
      </c>
      <c r="O44">
        <f>E44+F44+G44+H44+I44+J44+K44+M44</f>
        <v>0</v>
      </c>
    </row>
    <row r="45" spans="3:15">
      <c r="C45">
        <f>31.0</f>
        <v>0</v>
      </c>
      <c r="D45">
        <f>11.0</f>
        <v>0</v>
      </c>
      <c r="E45">
        <f>E9*98.8536</f>
        <v>0</v>
      </c>
      <c r="F45">
        <f>F9*948.3428000000001</f>
        <v>0</v>
      </c>
      <c r="G45">
        <f>G9*135.25414999999998</f>
        <v>0</v>
      </c>
      <c r="H45">
        <f>H9*0.0</f>
        <v>0</v>
      </c>
      <c r="I45">
        <f>I9*-6.1833</f>
        <v>0</v>
      </c>
      <c r="J45">
        <f>J9*80.4031</f>
        <v>0</v>
      </c>
      <c r="K45">
        <f>K9*-60.3023</f>
        <v>0</v>
      </c>
      <c r="L45">
        <f>L9*1382.6183</f>
        <v>0</v>
      </c>
      <c r="M45">
        <f>M9*-47.68775</f>
        <v>0</v>
      </c>
      <c r="N45">
        <f>E45+F45+G45+H45+I45+J45+K45+L45</f>
        <v>0</v>
      </c>
      <c r="O45">
        <f>E45+F45+G45+H45+I45+J45+K45+M45</f>
        <v>0</v>
      </c>
    </row>
    <row r="46" spans="3:15">
      <c r="C46">
        <f>32.0</f>
        <v>0</v>
      </c>
      <c r="D46">
        <f>12.0</f>
        <v>0</v>
      </c>
      <c r="E46">
        <f>E9*98.18185</f>
        <v>0</v>
      </c>
      <c r="F46">
        <f>F9*911.29935</f>
        <v>0</v>
      </c>
      <c r="G46">
        <f>G9*129.98725000000002</f>
        <v>0</v>
      </c>
      <c r="H46">
        <f>H9*0.0</f>
        <v>0</v>
      </c>
      <c r="I46">
        <f>I9*-7.2517000000000005</f>
        <v>0</v>
      </c>
      <c r="J46">
        <f>J9*87.9663</f>
        <v>0</v>
      </c>
      <c r="K46">
        <f>K9*-65.9747</f>
        <v>0</v>
      </c>
      <c r="L46">
        <f>L9*1334.5248000000001</f>
        <v>0</v>
      </c>
      <c r="M46">
        <f>M9*-49.116550000000004</f>
        <v>0</v>
      </c>
      <c r="N46">
        <f>E46+F46+G46+H46+I46+J46+K46+L46</f>
        <v>0</v>
      </c>
      <c r="O46">
        <f>E46+F46+G46+H46+I46+J46+K46+M46</f>
        <v>0</v>
      </c>
    </row>
    <row r="47" spans="3:15">
      <c r="C47">
        <f>33.0</f>
        <v>0</v>
      </c>
      <c r="D47">
        <f>13.0</f>
        <v>0</v>
      </c>
      <c r="E47">
        <f>E9*93.24195</f>
        <v>0</v>
      </c>
      <c r="F47">
        <f>F9*857.39905</f>
        <v>0</v>
      </c>
      <c r="G47">
        <f>G9*122.2818</f>
        <v>0</v>
      </c>
      <c r="H47">
        <f>H9*0.0</f>
        <v>0</v>
      </c>
      <c r="I47">
        <f>I9*-8.561499999999999</f>
        <v>0</v>
      </c>
      <c r="J47">
        <f>J9*85.7225</f>
        <v>0</v>
      </c>
      <c r="K47">
        <f>K9*-64.2919</f>
        <v>0</v>
      </c>
      <c r="L47">
        <f>L9*1263.27685</f>
        <v>0</v>
      </c>
      <c r="M47">
        <f>M9*-53.0139</f>
        <v>0</v>
      </c>
      <c r="N47">
        <f>E47+F47+G47+H47+I47+J47+K47+L47</f>
        <v>0</v>
      </c>
      <c r="O47">
        <f>E47+F47+G47+H47+I47+J47+K47+M47</f>
        <v>0</v>
      </c>
    </row>
    <row r="48" spans="3:15">
      <c r="C48">
        <f>34.0</f>
        <v>0</v>
      </c>
      <c r="D48">
        <f>14.0</f>
        <v>0</v>
      </c>
      <c r="E48">
        <f>E9*83.9297</f>
        <v>0</v>
      </c>
      <c r="F48">
        <f>F9*785.6131499999999</f>
        <v>0</v>
      </c>
      <c r="G48">
        <f>G9*112.0073</f>
        <v>0</v>
      </c>
      <c r="H48">
        <f>H9*0.0</f>
        <v>0</v>
      </c>
      <c r="I48">
        <f>I9*-10.2023</f>
        <v>0</v>
      </c>
      <c r="J48">
        <f>J9*73.64689999999999</f>
        <v>0</v>
      </c>
      <c r="K48">
        <f>K9*-55.235150000000004</f>
        <v>0</v>
      </c>
      <c r="L48">
        <f>L9*1171.4234</f>
        <v>0</v>
      </c>
      <c r="M48">
        <f>M9*-58.2247</f>
        <v>0</v>
      </c>
      <c r="N48">
        <f>E48+F48+G48+H48+I48+J48+K48+L48</f>
        <v>0</v>
      </c>
      <c r="O48">
        <f>E48+F48+G48+H48+I48+J48+K48+M48</f>
        <v>0</v>
      </c>
    </row>
    <row r="49" spans="3:15">
      <c r="C49">
        <f>35.0</f>
        <v>0</v>
      </c>
      <c r="D49">
        <f>15.0</f>
        <v>0</v>
      </c>
      <c r="E49">
        <f>E9*70.50104999999999</f>
        <v>0</v>
      </c>
      <c r="F49">
        <f>F9*688.7039</f>
        <v>0</v>
      </c>
      <c r="G49">
        <f>G9*98.0471</f>
        <v>0</v>
      </c>
      <c r="H49">
        <f>H9*0.0</f>
        <v>0</v>
      </c>
      <c r="I49">
        <f>I9*-13.57035</f>
        <v>0</v>
      </c>
      <c r="J49">
        <f>J9*53.91055</f>
        <v>0</v>
      </c>
      <c r="K49">
        <f>K9*-40.432950000000005</f>
        <v>0</v>
      </c>
      <c r="L49">
        <f>L9*1052.02925</f>
        <v>0</v>
      </c>
      <c r="M49">
        <f>M9*-68.3406</f>
        <v>0</v>
      </c>
      <c r="N49">
        <f>E49+F49+G49+H49+I49+J49+K49+L49</f>
        <v>0</v>
      </c>
      <c r="O49">
        <f>E49+F49+G49+H49+I49+J49+K49+M49</f>
        <v>0</v>
      </c>
    </row>
    <row r="50" spans="3:15">
      <c r="C50">
        <f>35.91</f>
        <v>0</v>
      </c>
      <c r="D50">
        <f>15.91</f>
        <v>0</v>
      </c>
      <c r="E50">
        <f>E9*63.611399999999996</f>
        <v>0</v>
      </c>
      <c r="F50">
        <f>F9*582.2003</f>
        <v>0</v>
      </c>
      <c r="G50">
        <f>G9*82.97955</f>
        <v>0</v>
      </c>
      <c r="H50">
        <f>H9*0.0</f>
        <v>0</v>
      </c>
      <c r="I50">
        <f>I9*-11.893450000000001</f>
        <v>0</v>
      </c>
      <c r="J50">
        <f>J9*77.6499</f>
        <v>0</v>
      </c>
      <c r="K50">
        <f>K9*-58.2374</f>
        <v>0</v>
      </c>
      <c r="L50">
        <f>L9*901.6393</f>
        <v>0</v>
      </c>
      <c r="M50">
        <f>M9*-65.3175</f>
        <v>0</v>
      </c>
      <c r="N50">
        <f>E50+F50+G50+H50+I50+J50+K50+L50</f>
        <v>0</v>
      </c>
      <c r="O50">
        <f>E50+F50+G50+H50+I50+J50+K50+M50</f>
        <v>0</v>
      </c>
    </row>
    <row r="51" spans="3:15">
      <c r="C51">
        <f>36.82</f>
        <v>0</v>
      </c>
      <c r="D51">
        <f>16.82</f>
        <v>0</v>
      </c>
      <c r="E51">
        <f>E9*53.93665</f>
        <v>0</v>
      </c>
      <c r="F51">
        <f>F9*468.44165</f>
        <v>0</v>
      </c>
      <c r="G51">
        <f>G9*66.8227</f>
        <v>0</v>
      </c>
      <c r="H51">
        <f>H9*0.0</f>
        <v>0</v>
      </c>
      <c r="I51">
        <f>I9*-8.823049999999999</f>
        <v>0</v>
      </c>
      <c r="J51">
        <f>J9*94.355</f>
        <v>0</v>
      </c>
      <c r="K51">
        <f>K9*-70.76625</f>
        <v>0</v>
      </c>
      <c r="L51">
        <f>L9*732.3389999999999</f>
        <v>0</v>
      </c>
      <c r="M51">
        <f>M9*-60.560249999999996</f>
        <v>0</v>
      </c>
      <c r="N51">
        <f>E51+F51+G51+H51+I51+J51+K51+L51</f>
        <v>0</v>
      </c>
      <c r="O51">
        <f>E51+F51+G51+H51+I51+J51+K51+M51</f>
        <v>0</v>
      </c>
    </row>
    <row r="52" spans="3:15">
      <c r="C52">
        <f>37.73</f>
        <v>0</v>
      </c>
      <c r="D52">
        <f>17.73</f>
        <v>0</v>
      </c>
      <c r="E52">
        <f>E9*39.42915</f>
        <v>0</v>
      </c>
      <c r="F52">
        <f>F9*330.02555</f>
        <v>0</v>
      </c>
      <c r="G52">
        <f>G9*47.1271</f>
        <v>0</v>
      </c>
      <c r="H52">
        <f>H9*0.0</f>
        <v>0</v>
      </c>
      <c r="I52">
        <f>I9*-5.19945</f>
        <v>0</v>
      </c>
      <c r="J52">
        <f>J9*104.66114999999999</f>
        <v>0</v>
      </c>
      <c r="K52">
        <f>K9*-78.49585</f>
        <v>0</v>
      </c>
      <c r="L52">
        <f>L9*522.9720500000001</f>
        <v>0</v>
      </c>
      <c r="M52">
        <f>M9*-56.564</f>
        <v>0</v>
      </c>
      <c r="N52">
        <f>E52+F52+G52+H52+I52+J52+K52+L52</f>
        <v>0</v>
      </c>
      <c r="O52">
        <f>E52+F52+G52+H52+I52+J52+K52+M52</f>
        <v>0</v>
      </c>
    </row>
    <row r="53" spans="3:15">
      <c r="C53">
        <f>38.64</f>
        <v>0</v>
      </c>
      <c r="D53">
        <f>18.64</f>
        <v>0</v>
      </c>
      <c r="E53">
        <f>E9*20.85705</f>
        <v>0</v>
      </c>
      <c r="F53">
        <f>F9*176.32285000000002</f>
        <v>0</v>
      </c>
      <c r="G53">
        <f>G9*25.232100000000003</f>
        <v>0</v>
      </c>
      <c r="H53">
        <f>H9*0.0</f>
        <v>0</v>
      </c>
      <c r="I53">
        <f>I9*-0.3933</f>
        <v>0</v>
      </c>
      <c r="J53">
        <f>J9*109.46605</f>
        <v>0</v>
      </c>
      <c r="K53">
        <f>K9*-82.09955</f>
        <v>0</v>
      </c>
      <c r="L53">
        <f>L9*284.99435</f>
        <v>0</v>
      </c>
      <c r="M53">
        <f>M9*-55.321650000000005</f>
        <v>0</v>
      </c>
      <c r="N53">
        <f>E53+F53+G53+H53+I53+J53+K53+L53</f>
        <v>0</v>
      </c>
      <c r="O53">
        <f>E53+F53+G53+H53+I53+J53+K53+M53</f>
        <v>0</v>
      </c>
    </row>
    <row r="54" spans="3:15">
      <c r="C54">
        <f>39.55</f>
        <v>0</v>
      </c>
      <c r="D54">
        <f>19.55</f>
        <v>0</v>
      </c>
      <c r="E54">
        <f>E9*-2.4259500000000003</f>
        <v>0</v>
      </c>
      <c r="F54">
        <f>F9*-3.8877499999999996</f>
        <v>0</v>
      </c>
      <c r="G54">
        <f>G9*-0.51135</f>
        <v>0</v>
      </c>
      <c r="H54">
        <f>H9*0.0</f>
        <v>0</v>
      </c>
      <c r="I54">
        <f>I9*6.453</f>
        <v>0</v>
      </c>
      <c r="J54">
        <f>J9*117.2862</f>
        <v>0</v>
      </c>
      <c r="K54">
        <f>K9*-87.96465</f>
        <v>0</v>
      </c>
      <c r="L54">
        <f>L9*33.0968</f>
        <v>0</v>
      </c>
      <c r="M54">
        <f>M9*-76.3988</f>
        <v>0</v>
      </c>
      <c r="N54">
        <f>E54+F54+G54+H54+I54+J54+K54+L54</f>
        <v>0</v>
      </c>
      <c r="O54">
        <f>E54+F54+G54+H54+I54+J54+K54+M54</f>
        <v>0</v>
      </c>
    </row>
    <row r="55" spans="3:15">
      <c r="C55">
        <f>40.0</f>
        <v>0</v>
      </c>
      <c r="D55">
        <f>20.0</f>
        <v>0</v>
      </c>
      <c r="E55">
        <f>E9*-0.8534</f>
        <v>0</v>
      </c>
      <c r="F55">
        <f>F9*-7.5257</f>
        <v>0</v>
      </c>
      <c r="G55">
        <f>G9*-1.0798</f>
        <v>0</v>
      </c>
      <c r="H55">
        <f>H9*0.0</f>
        <v>0</v>
      </c>
      <c r="I55">
        <f>I9*0.0418</f>
        <v>0</v>
      </c>
      <c r="J55">
        <f>J9*90.3239</f>
        <v>0</v>
      </c>
      <c r="K55">
        <f>K9*-67.7429</f>
        <v>0</v>
      </c>
      <c r="L55">
        <f>L9*3.537</f>
        <v>0</v>
      </c>
      <c r="M55">
        <f>M9*-11.5632</f>
        <v>0</v>
      </c>
      <c r="N55">
        <f>E55+F55+G55+H55+I55+J55+K55+L55</f>
        <v>0</v>
      </c>
      <c r="O55">
        <f>E55+F55+G55+H55+I55+J55+K55+M55</f>
        <v>0</v>
      </c>
    </row>
    <row r="56" spans="3:15">
      <c r="C56">
        <f>40.0</f>
        <v>0</v>
      </c>
      <c r="D56">
        <f>0.0</f>
        <v>0</v>
      </c>
      <c r="E56">
        <f>E9*-0.4832</f>
        <v>0</v>
      </c>
      <c r="F56">
        <f>F9*-4.2972</f>
        <v>0</v>
      </c>
      <c r="G56">
        <f>G9*-0.617</f>
        <v>0</v>
      </c>
      <c r="H56">
        <f>H9*0.0</f>
        <v>0</v>
      </c>
      <c r="I56">
        <f>I9*-7.0821</f>
        <v>0</v>
      </c>
      <c r="J56">
        <f>J9*88.8089</f>
        <v>0</v>
      </c>
      <c r="K56">
        <f>K9*-66.6067</f>
        <v>0</v>
      </c>
      <c r="L56">
        <f>L9*0.7657</f>
        <v>0</v>
      </c>
      <c r="M56">
        <f>M9*-8.9958</f>
        <v>0</v>
      </c>
      <c r="N56">
        <f>E56+F56+G56+H56+I56+J56+K56+L56</f>
        <v>0</v>
      </c>
      <c r="O56">
        <f>E56+F56+G56+H56+I56+J56+K56+M56</f>
        <v>0</v>
      </c>
    </row>
    <row r="57" spans="3:15">
      <c r="C57">
        <f>40.45</f>
        <v>0</v>
      </c>
      <c r="D57">
        <f>0.45</f>
        <v>0</v>
      </c>
      <c r="E57">
        <f>E9*-2.1017</f>
        <v>0</v>
      </c>
      <c r="F57">
        <f>F9*7.550649999999999</f>
        <v>0</v>
      </c>
      <c r="G57">
        <f>G9*1.1262500000000002</f>
        <v>0</v>
      </c>
      <c r="H57">
        <f>H9*0.0</f>
        <v>0</v>
      </c>
      <c r="I57">
        <f>I9*-52.686949999999996</f>
        <v>0</v>
      </c>
      <c r="J57">
        <f>J9*121.5528</f>
        <v>0</v>
      </c>
      <c r="K57">
        <f>K9*-91.16460000000001</f>
        <v>0</v>
      </c>
      <c r="L57">
        <f>L9*29.869899999999998</f>
        <v>0</v>
      </c>
      <c r="M57">
        <f>M9*-20.4505</f>
        <v>0</v>
      </c>
      <c r="N57">
        <f>E57+F57+G57+H57+I57+J57+K57+L57</f>
        <v>0</v>
      </c>
      <c r="O57">
        <f>E57+F57+G57+H57+I57+J57+K57+M57</f>
        <v>0</v>
      </c>
    </row>
    <row r="58" spans="3:15">
      <c r="C58">
        <f>41.36</f>
        <v>0</v>
      </c>
      <c r="D58">
        <f>1.36</f>
        <v>0</v>
      </c>
      <c r="E58">
        <f>E9*11.92025</f>
        <v>0</v>
      </c>
      <c r="F58">
        <f>F9*88.43635</f>
        <v>0</v>
      </c>
      <c r="G58">
        <f>G9*12.64335</f>
        <v>0</v>
      </c>
      <c r="H58">
        <f>H9*0.0</f>
        <v>0</v>
      </c>
      <c r="I58">
        <f>I9*202.09570000000002</f>
        <v>0</v>
      </c>
      <c r="J58">
        <f>J9*109.7612</f>
        <v>0</v>
      </c>
      <c r="K58">
        <f>K9*-82.3209</f>
        <v>0</v>
      </c>
      <c r="L58">
        <f>L9*199.25925</f>
        <v>0</v>
      </c>
      <c r="M58">
        <f>M9*-8.981200000000001</f>
        <v>0</v>
      </c>
      <c r="N58">
        <f>E58+F58+G58+H58+I58+J58+K58+L58</f>
        <v>0</v>
      </c>
      <c r="O58">
        <f>E58+F58+G58+H58+I58+J58+K58+M58</f>
        <v>0</v>
      </c>
    </row>
    <row r="59" spans="3:15">
      <c r="C59">
        <f>42.27</f>
        <v>0</v>
      </c>
      <c r="D59">
        <f>2.27</f>
        <v>0</v>
      </c>
      <c r="E59">
        <f>E9*22.0398</f>
        <v>0</v>
      </c>
      <c r="F59">
        <f>F9*141.9975</f>
        <v>0</v>
      </c>
      <c r="G59">
        <f>G9*20.1846</f>
        <v>0</v>
      </c>
      <c r="H59">
        <f>H9*0.0</f>
        <v>0</v>
      </c>
      <c r="I59">
        <f>I9*398.9809</f>
        <v>0</v>
      </c>
      <c r="J59">
        <f>J9*95.63059999999999</f>
        <v>0</v>
      </c>
      <c r="K59">
        <f>K9*-71.72295</f>
        <v>0</v>
      </c>
      <c r="L59">
        <f>L9*319.76855</f>
        <v>0</v>
      </c>
      <c r="M59">
        <f>M9*-11.22355</f>
        <v>0</v>
      </c>
      <c r="N59">
        <f>E59+F59+G59+H59+I59+J59+K59+L59</f>
        <v>0</v>
      </c>
      <c r="O59">
        <f>E59+F59+G59+H59+I59+J59+K59+M59</f>
        <v>0</v>
      </c>
    </row>
    <row r="60" spans="3:15">
      <c r="C60">
        <f>43.18</f>
        <v>0</v>
      </c>
      <c r="D60">
        <f>3.18</f>
        <v>0</v>
      </c>
      <c r="E60">
        <f>E9*28.627049999999997</f>
        <v>0</v>
      </c>
      <c r="F60">
        <f>F9*184.0799</f>
        <v>0</v>
      </c>
      <c r="G60">
        <f>G9*26.06815</f>
        <v>0</v>
      </c>
      <c r="H60">
        <f>H9*0.0</f>
        <v>0</v>
      </c>
      <c r="I60">
        <f>I9*540.2646500000001</f>
        <v>0</v>
      </c>
      <c r="J60">
        <f>J9*61.45485</f>
        <v>0</v>
      </c>
      <c r="K60">
        <f>K9*-46.09115</f>
        <v>0</v>
      </c>
      <c r="L60">
        <f>L9*414.40610000000004</f>
        <v>0</v>
      </c>
      <c r="M60">
        <f>M9*-15.91785</f>
        <v>0</v>
      </c>
      <c r="N60">
        <f>E60+F60+G60+H60+I60+J60+K60+L60</f>
        <v>0</v>
      </c>
      <c r="O60">
        <f>E60+F60+G60+H60+I60+J60+K60+M60</f>
        <v>0</v>
      </c>
    </row>
    <row r="61" spans="3:15">
      <c r="C61">
        <f>44.09</f>
        <v>0</v>
      </c>
      <c r="D61">
        <f>4.09</f>
        <v>0</v>
      </c>
      <c r="E61">
        <f>E9*31.3078</f>
        <v>0</v>
      </c>
      <c r="F61">
        <f>F9*210.59515</f>
        <v>0</v>
      </c>
      <c r="G61">
        <f>G9*29.706899999999997</f>
        <v>0</v>
      </c>
      <c r="H61">
        <f>H9*0.0</f>
        <v>0</v>
      </c>
      <c r="I61">
        <f>I9*618.2499</f>
        <v>0</v>
      </c>
      <c r="J61">
        <f>J9*19.43825</f>
        <v>0</v>
      </c>
      <c r="K61">
        <f>K9*-14.57865</f>
        <v>0</v>
      </c>
      <c r="L61">
        <f>L9*476.28380000000004</f>
        <v>0</v>
      </c>
      <c r="M61">
        <f>M9*-22.2983</f>
        <v>0</v>
      </c>
      <c r="N61">
        <f>E61+F61+G61+H61+I61+J61+K61+L61</f>
        <v>0</v>
      </c>
      <c r="O61">
        <f>E61+F61+G61+H61+I61+J61+K61+M61</f>
        <v>0</v>
      </c>
    </row>
    <row r="62" spans="3:15">
      <c r="C62">
        <f>45.0</f>
        <v>0</v>
      </c>
      <c r="D62">
        <f>5.0</f>
        <v>0</v>
      </c>
      <c r="E62">
        <f>E9*31.01345</f>
        <v>0</v>
      </c>
      <c r="F62">
        <f>F9*223.8512</f>
        <v>0</v>
      </c>
      <c r="G62">
        <f>G9*31.35555</f>
        <v>0</v>
      </c>
      <c r="H62">
        <f>H9*0.0</f>
        <v>0</v>
      </c>
      <c r="I62">
        <f>I9*640.6556499999999</f>
        <v>0</v>
      </c>
      <c r="J62">
        <f>J9*-25.584249999999997</f>
        <v>0</v>
      </c>
      <c r="K62">
        <f>K9*19.188200000000002</f>
        <v>0</v>
      </c>
      <c r="L62">
        <f>L9*506.05655</f>
        <v>0</v>
      </c>
      <c r="M62">
        <f>M9*-28.79555</f>
        <v>0</v>
      </c>
      <c r="N62">
        <f>E62+F62+G62+H62+I62+J62+K62+L62</f>
        <v>0</v>
      </c>
      <c r="O62">
        <f>E62+F62+G62+H62+I62+J62+K62+M62</f>
        <v>0</v>
      </c>
    </row>
    <row r="63" spans="3:15">
      <c r="C63">
        <f>46.0</f>
        <v>0</v>
      </c>
      <c r="D63">
        <f>6.0</f>
        <v>0</v>
      </c>
      <c r="E63">
        <f>E9*33.28245</f>
        <v>0</v>
      </c>
      <c r="F63">
        <f>F9*216.286</f>
        <v>0</v>
      </c>
      <c r="G63">
        <f>G9*30.4703</f>
        <v>0</v>
      </c>
      <c r="H63">
        <f>H9*0.0</f>
        <v>0</v>
      </c>
      <c r="I63">
        <f>I9*650.6937</f>
        <v>0</v>
      </c>
      <c r="J63">
        <f>J9*13.240549999999999</f>
        <v>0</v>
      </c>
      <c r="K63">
        <f>K9*-9.93035</f>
        <v>0</v>
      </c>
      <c r="L63">
        <f>L9*486.82545</f>
        <v>0</v>
      </c>
      <c r="M63">
        <f>M9*-22.048099999999998</f>
        <v>0</v>
      </c>
      <c r="N63">
        <f>E63+F63+G63+H63+I63+J63+K63+L63</f>
        <v>0</v>
      </c>
      <c r="O63">
        <f>E63+F63+G63+H63+I63+J63+K63+M63</f>
        <v>0</v>
      </c>
    </row>
    <row r="64" spans="3:15">
      <c r="C64">
        <f>47.0</f>
        <v>0</v>
      </c>
      <c r="D64">
        <f>7.0</f>
        <v>0</v>
      </c>
      <c r="E64">
        <f>E9*31.4687</f>
        <v>0</v>
      </c>
      <c r="F64">
        <f>F9*189.40965</f>
        <v>0</v>
      </c>
      <c r="G64">
        <f>G9*26.756700000000002</f>
        <v>0</v>
      </c>
      <c r="H64">
        <f>H9*0.0</f>
        <v>0</v>
      </c>
      <c r="I64">
        <f>I9*590.8664</f>
        <v>0</v>
      </c>
      <c r="J64">
        <f>J9*51.6172</f>
        <v>0</v>
      </c>
      <c r="K64">
        <f>K9*-38.712900000000005</f>
        <v>0</v>
      </c>
      <c r="L64">
        <f>L9*429.54745</f>
        <v>0</v>
      </c>
      <c r="M64">
        <f>M9*-16.652549999999998</f>
        <v>0</v>
      </c>
      <c r="N64">
        <f>E64+F64+G64+H64+I64+J64+K64+L64</f>
        <v>0</v>
      </c>
      <c r="O64">
        <f>E64+F64+G64+H64+I64+J64+K64+M64</f>
        <v>0</v>
      </c>
    </row>
    <row r="65" spans="3:15">
      <c r="C65">
        <f>48.0</f>
        <v>0</v>
      </c>
      <c r="D65">
        <f>8.0</f>
        <v>0</v>
      </c>
      <c r="E65">
        <f>E9*25.2329</f>
        <v>0</v>
      </c>
      <c r="F65">
        <f>F9*144.42194999999998</f>
        <v>0</v>
      </c>
      <c r="G65">
        <f>G9*20.426299999999998</f>
        <v>0</v>
      </c>
      <c r="H65">
        <f>H9*0.0</f>
        <v>0</v>
      </c>
      <c r="I65">
        <f>I9*461.11685</f>
        <v>0</v>
      </c>
      <c r="J65">
        <f>J9*77.2757</f>
        <v>0</v>
      </c>
      <c r="K65">
        <f>K9*-57.95675</f>
        <v>0</v>
      </c>
      <c r="L65">
        <f>L9*332.582</f>
        <v>0</v>
      </c>
      <c r="M65">
        <f>M9*-12.0241</f>
        <v>0</v>
      </c>
      <c r="N65">
        <f>E65+F65+G65+H65+I65+J65+K65+L65</f>
        <v>0</v>
      </c>
      <c r="O65">
        <f>E65+F65+G65+H65+I65+J65+K65+M65</f>
        <v>0</v>
      </c>
    </row>
    <row r="66" spans="3:15">
      <c r="C66">
        <f>49.0</f>
        <v>0</v>
      </c>
      <c r="D66">
        <f>9.0</f>
        <v>0</v>
      </c>
      <c r="E66">
        <f>E9*14.531199999999998</f>
        <v>0</v>
      </c>
      <c r="F66">
        <f>F9*82.60115</f>
        <v>0</v>
      </c>
      <c r="G66">
        <f>G9*11.6814</f>
        <v>0</v>
      </c>
      <c r="H66">
        <f>H9*0.0</f>
        <v>0</v>
      </c>
      <c r="I66">
        <f>I9*262.31005</f>
        <v>0</v>
      </c>
      <c r="J66">
        <f>J9*72.04095</f>
        <v>0</v>
      </c>
      <c r="K66">
        <f>K9*-54.030699999999996</f>
        <v>0</v>
      </c>
      <c r="L66">
        <f>L9*196.4965</f>
        <v>0</v>
      </c>
      <c r="M66">
        <f>M9*-7.48135</f>
        <v>0</v>
      </c>
      <c r="N66">
        <f>E66+F66+G66+H66+I66+J66+K66+L66</f>
        <v>0</v>
      </c>
      <c r="O66">
        <f>E66+F66+G66+H66+I66+J66+K66+M66</f>
        <v>0</v>
      </c>
    </row>
    <row r="74" spans="3:15"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10</v>
      </c>
      <c r="N74" t="s">
        <v>11</v>
      </c>
      <c r="O74" t="s">
        <v>12</v>
      </c>
    </row>
    <row r="75" spans="3:15">
      <c r="C75">
        <f>0.0</f>
        <v>0</v>
      </c>
      <c r="D75">
        <f>0.0</f>
        <v>0</v>
      </c>
      <c r="E75">
        <f>E73*-37.948</f>
        <v>0</v>
      </c>
      <c r="F75">
        <f>F73*-230.611</f>
        <v>0</v>
      </c>
      <c r="G75">
        <f>G73*-31.64</f>
        <v>0</v>
      </c>
      <c r="H75">
        <f>H73*0.0</f>
        <v>0</v>
      </c>
      <c r="I75">
        <f>I73*-0.027999999999999997</f>
        <v>0</v>
      </c>
      <c r="J75">
        <f>J73*116.583</f>
        <v>0</v>
      </c>
      <c r="K75">
        <f>K73*-87.43700000000001</f>
        <v>0</v>
      </c>
      <c r="L75">
        <f>L73*41.1</f>
        <v>0</v>
      </c>
      <c r="M75">
        <f>M73*-370.61300000000006</f>
        <v>0</v>
      </c>
      <c r="N75">
        <f>E75+F75+G75+H75+I75+J75+K75+L75</f>
        <v>0</v>
      </c>
      <c r="O75">
        <f>E75+F75+G75+H75+I75+J75+K75+M75</f>
        <v>0</v>
      </c>
    </row>
    <row r="76" spans="3:15">
      <c r="C76">
        <f>1.0</f>
        <v>0</v>
      </c>
      <c r="D76">
        <f>1.0</f>
        <v>0</v>
      </c>
      <c r="E76">
        <f>E73*-33.430499999999995</f>
        <v>0</v>
      </c>
      <c r="F76">
        <f>F73*-209.39950000000002</f>
        <v>0</v>
      </c>
      <c r="G76">
        <f>G73*-29.348999999999997</f>
        <v>0</v>
      </c>
      <c r="H76">
        <f>H73*0.0</f>
        <v>0</v>
      </c>
      <c r="I76">
        <f>I73*-0.026500000000000003</f>
        <v>0</v>
      </c>
      <c r="J76">
        <f>J73*101.5575</f>
        <v>0</v>
      </c>
      <c r="K76">
        <f>K73*-76.168</f>
        <v>0</v>
      </c>
      <c r="L76">
        <f>L73*43.0135</f>
        <v>0</v>
      </c>
      <c r="M76">
        <f>M73*-354.22349999999994</f>
        <v>0</v>
      </c>
      <c r="N76">
        <f>E76+F76+G76+H76+I76+J76+K76+L76</f>
        <v>0</v>
      </c>
      <c r="O76">
        <f>E76+F76+G76+H76+I76+J76+K76+M76</f>
        <v>0</v>
      </c>
    </row>
    <row r="77" spans="3:15">
      <c r="C77">
        <f>2.0</f>
        <v>0</v>
      </c>
      <c r="D77">
        <f>2.0</f>
        <v>0</v>
      </c>
      <c r="E77">
        <f>E73*-26.947499999999998</f>
        <v>0</v>
      </c>
      <c r="F77">
        <f>F73*-187.065</f>
        <v>0</v>
      </c>
      <c r="G77">
        <f>G73*-26.214</f>
        <v>0</v>
      </c>
      <c r="H77">
        <f>H73*0.0</f>
        <v>0</v>
      </c>
      <c r="I77">
        <f>I73*-0.0245</f>
        <v>0</v>
      </c>
      <c r="J77">
        <f>J73*81.697</f>
        <v>0</v>
      </c>
      <c r="K77">
        <f>K73*-61.272999999999996</f>
        <v>0</v>
      </c>
      <c r="L77">
        <f>L73*46.007000000000005</f>
        <v>0</v>
      </c>
      <c r="M77">
        <f>M73*-330.7115</f>
        <v>0</v>
      </c>
      <c r="N77">
        <f>E77+F77+G77+H77+I77+J77+K77+L77</f>
        <v>0</v>
      </c>
      <c r="O77">
        <f>E77+F77+G77+H77+I77+J77+K77+M77</f>
        <v>0</v>
      </c>
    </row>
    <row r="78" spans="3:15">
      <c r="C78">
        <f>3.0</f>
        <v>0</v>
      </c>
      <c r="D78">
        <f>3.0</f>
        <v>0</v>
      </c>
      <c r="E78">
        <f>E73*-20.833</f>
        <v>0</v>
      </c>
      <c r="F78">
        <f>F73*-163.8775</f>
        <v>0</v>
      </c>
      <c r="G78">
        <f>G73*-22.930999999999997</f>
        <v>0</v>
      </c>
      <c r="H78">
        <f>H73*0.0</f>
        <v>0</v>
      </c>
      <c r="I78">
        <f>I73*-0.0225</f>
        <v>0</v>
      </c>
      <c r="J78">
        <f>J73*72.07499999999999</f>
        <v>0</v>
      </c>
      <c r="K78">
        <f>K73*-54.0565</f>
        <v>0</v>
      </c>
      <c r="L78">
        <f>L73*54.677</f>
        <v>0</v>
      </c>
      <c r="M78">
        <f>M73*-306.3065</f>
        <v>0</v>
      </c>
      <c r="N78">
        <f>E78+F78+G78+H78+I78+J78+K78+L78</f>
        <v>0</v>
      </c>
      <c r="O78">
        <f>E78+F78+G78+H78+I78+J78+K78+M78</f>
        <v>0</v>
      </c>
    </row>
    <row r="79" spans="3:15">
      <c r="C79">
        <f>4.0</f>
        <v>0</v>
      </c>
      <c r="D79">
        <f>4.0</f>
        <v>0</v>
      </c>
      <c r="E79">
        <f>E73*-15.791</f>
        <v>0</v>
      </c>
      <c r="F79">
        <f>F73*-145.03449999999998</f>
        <v>0</v>
      </c>
      <c r="G79">
        <f>G73*-20.2365</f>
        <v>0</v>
      </c>
      <c r="H79">
        <f>H73*0.0</f>
        <v>0</v>
      </c>
      <c r="I79">
        <f>I73*-0.02</f>
        <v>0</v>
      </c>
      <c r="J79">
        <f>J73*72.83699999999999</f>
        <v>0</v>
      </c>
      <c r="K79">
        <f>K73*-54.6275</f>
        <v>0</v>
      </c>
      <c r="L79">
        <f>L73*61.766000000000005</f>
        <v>0</v>
      </c>
      <c r="M79">
        <f>M73*-286.479</f>
        <v>0</v>
      </c>
      <c r="N79">
        <f>E79+F79+G79+H79+I79+J79+K79+L79</f>
        <v>0</v>
      </c>
      <c r="O79">
        <f>E79+F79+G79+H79+I79+J79+K79+M79</f>
        <v>0</v>
      </c>
    </row>
    <row r="80" spans="3:15">
      <c r="C80">
        <f>5.0</f>
        <v>0</v>
      </c>
      <c r="D80">
        <f>5.0</f>
        <v>0</v>
      </c>
      <c r="E80">
        <f>E73*-14.585999999999999</f>
        <v>0</v>
      </c>
      <c r="F80">
        <f>F73*-120.07150000000001</f>
        <v>0</v>
      </c>
      <c r="G80">
        <f>G73*-16.939500000000002</f>
        <v>0</v>
      </c>
      <c r="H80">
        <f>H73*0.0</f>
        <v>0</v>
      </c>
      <c r="I80">
        <f>I73*-0.018000000000000002</f>
        <v>0</v>
      </c>
      <c r="J80">
        <f>J73*36.133</f>
        <v>0</v>
      </c>
      <c r="K80">
        <f>K73*-27.099500000000003</f>
        <v>0</v>
      </c>
      <c r="L80">
        <f>L73*64.2475</f>
        <v>0</v>
      </c>
      <c r="M80">
        <f>M73*-258.087</f>
        <v>0</v>
      </c>
      <c r="N80">
        <f>E80+F80+G80+H80+I80+J80+K80+L80</f>
        <v>0</v>
      </c>
      <c r="O80">
        <f>E80+F80+G80+H80+I80+J80+K80+M80</f>
        <v>0</v>
      </c>
    </row>
    <row r="81" spans="3:15">
      <c r="C81">
        <f>6.0</f>
        <v>0</v>
      </c>
      <c r="D81">
        <f>6.0</f>
        <v>0</v>
      </c>
      <c r="E81">
        <f>E73*-13.182500000000001</f>
        <v>0</v>
      </c>
      <c r="F81">
        <f>F73*-90.917</f>
        <v>0</v>
      </c>
      <c r="G81">
        <f>G73*-13.023</f>
        <v>0</v>
      </c>
      <c r="H81">
        <f>H73*0.0</f>
        <v>0</v>
      </c>
      <c r="I81">
        <f>I73*-0.0175</f>
        <v>0</v>
      </c>
      <c r="J81">
        <f>J73*-3.5245</f>
        <v>0</v>
      </c>
      <c r="K81">
        <f>K73*2.6434999999999995</f>
        <v>0</v>
      </c>
      <c r="L81">
        <f>L73*72.10249999999999</f>
        <v>0</v>
      </c>
      <c r="M81">
        <f>M73*-227.6875</f>
        <v>0</v>
      </c>
      <c r="N81">
        <f>E81+F81+G81+H81+I81+J81+K81+L81</f>
        <v>0</v>
      </c>
      <c r="O81">
        <f>E81+F81+G81+H81+I81+J81+K81+M81</f>
        <v>0</v>
      </c>
    </row>
    <row r="82" spans="3:15">
      <c r="C82">
        <f>7.0</f>
        <v>0</v>
      </c>
      <c r="D82">
        <f>7.0</f>
        <v>0</v>
      </c>
      <c r="E82">
        <f>E73*-8.4205</f>
        <v>0</v>
      </c>
      <c r="F82">
        <f>F73*-68.336</f>
        <v>0</v>
      </c>
      <c r="G82">
        <f>G73*-9.751</f>
        <v>0</v>
      </c>
      <c r="H82">
        <f>H73*0.0</f>
        <v>0</v>
      </c>
      <c r="I82">
        <f>I73*-0.017</f>
        <v>0</v>
      </c>
      <c r="J82">
        <f>J73*0.22199999999999986</f>
        <v>0</v>
      </c>
      <c r="K82">
        <f>K73*-0.16599999999999993</f>
        <v>0</v>
      </c>
      <c r="L82">
        <f>L73*86.02850000000001</f>
        <v>0</v>
      </c>
      <c r="M82">
        <f>M73*-207.432</f>
        <v>0</v>
      </c>
      <c r="N82">
        <f>E82+F82+G82+H82+I82+J82+K82+L82</f>
        <v>0</v>
      </c>
      <c r="O82">
        <f>E82+F82+G82+H82+I82+J82+K82+M82</f>
        <v>0</v>
      </c>
    </row>
    <row r="83" spans="3:15">
      <c r="C83">
        <f>8.0</f>
        <v>0</v>
      </c>
      <c r="D83">
        <f>8.0</f>
        <v>0</v>
      </c>
      <c r="E83">
        <f>E73*-3.5545</f>
        <v>0</v>
      </c>
      <c r="F83">
        <f>F73*-45.6035</f>
        <v>0</v>
      </c>
      <c r="G83">
        <f>G73*-6.4590000000000005</f>
        <v>0</v>
      </c>
      <c r="H83">
        <f>H73*0.0</f>
        <v>0</v>
      </c>
      <c r="I83">
        <f>I73*-0.0165</f>
        <v>0</v>
      </c>
      <c r="J83">
        <f>J73*7.059000000000001</f>
        <v>0</v>
      </c>
      <c r="K83">
        <f>K73*-5.2940000000000005</f>
        <v>0</v>
      </c>
      <c r="L83">
        <f>L73*100.2635</f>
        <v>0</v>
      </c>
      <c r="M83">
        <f>M73*-186.8185</f>
        <v>0</v>
      </c>
      <c r="N83">
        <f>E83+F83+G83+H83+I83+J83+K83+L83</f>
        <v>0</v>
      </c>
      <c r="O83">
        <f>E83+F83+G83+H83+I83+J83+K83+M83</f>
        <v>0</v>
      </c>
    </row>
    <row r="84" spans="3:15">
      <c r="C84">
        <f>9.0</f>
        <v>0</v>
      </c>
      <c r="D84">
        <f>9.0</f>
        <v>0</v>
      </c>
      <c r="E84">
        <f>E73*1.054</f>
        <v>0</v>
      </c>
      <c r="F84">
        <f>F73*-22.802</f>
        <v>0</v>
      </c>
      <c r="G84">
        <f>G73*-3.134</f>
        <v>0</v>
      </c>
      <c r="H84">
        <f>H73*0.0</f>
        <v>0</v>
      </c>
      <c r="I84">
        <f>I73*-0.0155</f>
        <v>0</v>
      </c>
      <c r="J84">
        <f>J73*13.3415</f>
        <v>0</v>
      </c>
      <c r="K84">
        <f>K73*-10.006</f>
        <v>0</v>
      </c>
      <c r="L84">
        <f>L73*114.369</f>
        <v>0</v>
      </c>
      <c r="M84">
        <f>M73*-165.66750000000002</f>
        <v>0</v>
      </c>
      <c r="N84">
        <f>E84+F84+G84+H84+I84+J84+K84+L84</f>
        <v>0</v>
      </c>
      <c r="O84">
        <f>E84+F84+G84+H84+I84+J84+K84+M84</f>
        <v>0</v>
      </c>
    </row>
    <row r="85" spans="3:15">
      <c r="C85">
        <f>10.0</f>
        <v>0</v>
      </c>
      <c r="D85">
        <f>10.0</f>
        <v>0</v>
      </c>
      <c r="E85">
        <f>E73*0.5075000000000001</f>
        <v>0</v>
      </c>
      <c r="F85">
        <f>F73*7.9239999999999995</f>
        <v>0</v>
      </c>
      <c r="G85">
        <f>G73*1.137</f>
        <v>0</v>
      </c>
      <c r="H85">
        <f>H73*0.0</f>
        <v>0</v>
      </c>
      <c r="I85">
        <f>I73*-0.015</f>
        <v>0</v>
      </c>
      <c r="J85">
        <f>J73*1.9370000000000003</f>
        <v>0</v>
      </c>
      <c r="K85">
        <f>K73*-1.4530000000000003</f>
        <v>0</v>
      </c>
      <c r="L85">
        <f>L73*133.559</f>
        <v>0</v>
      </c>
      <c r="M85">
        <f>M73*-135.8435</f>
        <v>0</v>
      </c>
      <c r="N85">
        <f>E85+F85+G85+H85+I85+J85+K85+L85</f>
        <v>0</v>
      </c>
      <c r="O85">
        <f>E85+F85+G85+H85+I85+J85+K85+M85</f>
        <v>0</v>
      </c>
    </row>
    <row r="86" spans="3:15">
      <c r="C86">
        <f>11.0</f>
        <v>0</v>
      </c>
      <c r="D86">
        <f>11.0</f>
        <v>0</v>
      </c>
      <c r="E86">
        <f>E73*-0.06050000000000011</f>
        <v>0</v>
      </c>
      <c r="F86">
        <f>F73*38.6655</f>
        <v>0</v>
      </c>
      <c r="G86">
        <f>G73*5.4125</f>
        <v>0</v>
      </c>
      <c r="H86">
        <f>H73*0.0</f>
        <v>0</v>
      </c>
      <c r="I86">
        <f>I73*-0.015</f>
        <v>0</v>
      </c>
      <c r="J86">
        <f>J73*-9.183000000000002</f>
        <v>0</v>
      </c>
      <c r="K86">
        <f>K73*6.887499999999999</f>
        <v>0</v>
      </c>
      <c r="L86">
        <f>L73*157.5845</f>
        <v>0</v>
      </c>
      <c r="M86">
        <f>M73*-109.726</f>
        <v>0</v>
      </c>
      <c r="N86">
        <f>E86+F86+G86+H86+I86+J86+K86+L86</f>
        <v>0</v>
      </c>
      <c r="O86">
        <f>E86+F86+G86+H86+I86+J86+K86+M86</f>
        <v>0</v>
      </c>
    </row>
    <row r="87" spans="3:15">
      <c r="C87">
        <f>12.0</f>
        <v>0</v>
      </c>
      <c r="D87">
        <f>12.0</f>
        <v>0</v>
      </c>
      <c r="E87">
        <f>E73*4.4925</f>
        <v>0</v>
      </c>
      <c r="F87">
        <f>F73*61.5475</f>
        <v>0</v>
      </c>
      <c r="G87">
        <f>G73*8.7525</f>
        <v>0</v>
      </c>
      <c r="H87">
        <f>H73*0.0</f>
        <v>0</v>
      </c>
      <c r="I87">
        <f>I73*-0.016</f>
        <v>0</v>
      </c>
      <c r="J87">
        <f>J73*-2.1565000000000003</f>
        <v>0</v>
      </c>
      <c r="K87">
        <f>K73*1.6175</f>
        <v>0</v>
      </c>
      <c r="L87">
        <f>L73*178.463</f>
        <v>0</v>
      </c>
      <c r="M87">
        <f>M73*-95.093</f>
        <v>0</v>
      </c>
      <c r="N87">
        <f>E87+F87+G87+H87+I87+J87+K87+L87</f>
        <v>0</v>
      </c>
      <c r="O87">
        <f>E87+F87+G87+H87+I87+J87+K87+M87</f>
        <v>0</v>
      </c>
    </row>
    <row r="88" spans="3:15">
      <c r="C88">
        <f>13.0</f>
        <v>0</v>
      </c>
      <c r="D88">
        <f>13.0</f>
        <v>0</v>
      </c>
      <c r="E88">
        <f>E73*9.2555</f>
        <v>0</v>
      </c>
      <c r="F88">
        <f>F73*84.38399999999999</f>
        <v>0</v>
      </c>
      <c r="G88">
        <f>G73*12.0665</f>
        <v>0</v>
      </c>
      <c r="H88">
        <f>H73*0.0</f>
        <v>0</v>
      </c>
      <c r="I88">
        <f>I73*-0.016</f>
        <v>0</v>
      </c>
      <c r="J88">
        <f>J73*6.055</f>
        <v>0</v>
      </c>
      <c r="K88">
        <f>K73*-4.541500000000001</f>
        <v>0</v>
      </c>
      <c r="L88">
        <f>L73*199.0905</f>
        <v>0</v>
      </c>
      <c r="M88">
        <f>M73*-81.382</f>
        <v>0</v>
      </c>
      <c r="N88">
        <f>E88+F88+G88+H88+I88+J88+K88+L88</f>
        <v>0</v>
      </c>
      <c r="O88">
        <f>E88+F88+G88+H88+I88+J88+K88+M88</f>
        <v>0</v>
      </c>
    </row>
    <row r="89" spans="3:15">
      <c r="C89">
        <f>14.0</f>
        <v>0</v>
      </c>
      <c r="D89">
        <f>14.0</f>
        <v>0</v>
      </c>
      <c r="E89">
        <f>E73*13.829</f>
        <v>0</v>
      </c>
      <c r="F89">
        <f>F73*106.9495</f>
        <v>0</v>
      </c>
      <c r="G89">
        <f>G73*15.351</f>
        <v>0</v>
      </c>
      <c r="H89">
        <f>H73*0.0</f>
        <v>0</v>
      </c>
      <c r="I89">
        <f>I73*-0.016</f>
        <v>0</v>
      </c>
      <c r="J89">
        <f>J73*12.276499999999999</f>
        <v>0</v>
      </c>
      <c r="K89">
        <f>K73*-9.2075</f>
        <v>0</v>
      </c>
      <c r="L89">
        <f>L73*219.60750000000002</f>
        <v>0</v>
      </c>
      <c r="M89">
        <f>M73*-67.9065</f>
        <v>0</v>
      </c>
      <c r="N89">
        <f>E89+F89+G89+H89+I89+J89+K89+L89</f>
        <v>0</v>
      </c>
      <c r="O89">
        <f>E89+F89+G89+H89+I89+J89+K89+M89</f>
        <v>0</v>
      </c>
    </row>
    <row r="90" spans="3:15">
      <c r="C90">
        <f>15.0</f>
        <v>0</v>
      </c>
      <c r="D90">
        <f>15.0</f>
        <v>0</v>
      </c>
      <c r="E90">
        <f>E73*13.593499999999999</f>
        <v>0</v>
      </c>
      <c r="F90">
        <f>F73*131.6825</f>
        <v>0</v>
      </c>
      <c r="G90">
        <f>G73*18.725</f>
        <v>0</v>
      </c>
      <c r="H90">
        <f>H73*0.0</f>
        <v>0</v>
      </c>
      <c r="I90">
        <f>I73*-0.011772999999999999</f>
        <v>0</v>
      </c>
      <c r="J90">
        <f>J73*-8.1415</f>
        <v>0</v>
      </c>
      <c r="K90">
        <f>K73*6.106499999999999</f>
        <v>0</v>
      </c>
      <c r="L90">
        <f>L73*248.745</f>
        <v>0</v>
      </c>
      <c r="M90">
        <f>M73*-58.793</f>
        <v>0</v>
      </c>
      <c r="N90">
        <f>E90+F90+G90+H90+I90+J90+K90+L90</f>
        <v>0</v>
      </c>
      <c r="O90">
        <f>E90+F90+G90+H90+I90+J90+K90+M90</f>
        <v>0</v>
      </c>
    </row>
    <row r="91" spans="3:15">
      <c r="C91">
        <f>15.91</f>
        <v>0</v>
      </c>
      <c r="D91">
        <f>15.91</f>
        <v>0</v>
      </c>
      <c r="E91">
        <f>E73*12.71</f>
        <v>0</v>
      </c>
      <c r="F91">
        <f>F73*150.8345</f>
        <v>0</v>
      </c>
      <c r="G91">
        <f>G73*21.3575</f>
        <v>0</v>
      </c>
      <c r="H91">
        <f>H73*0.0</f>
        <v>0</v>
      </c>
      <c r="I91">
        <f>I73*-0.008681</f>
        <v>0</v>
      </c>
      <c r="J91">
        <f>J73*-24.453</f>
        <v>0</v>
      </c>
      <c r="K91">
        <f>K73*18.339</f>
        <v>0</v>
      </c>
      <c r="L91">
        <f>L73*274.105</f>
        <v>0</v>
      </c>
      <c r="M91">
        <f>M73*-52.818999999999996</f>
        <v>0</v>
      </c>
      <c r="N91">
        <f>E91+F91+G91+H91+I91+J91+K91+L91</f>
        <v>0</v>
      </c>
      <c r="O91">
        <f>E91+F91+G91+H91+I91+J91+K91+M91</f>
        <v>0</v>
      </c>
    </row>
    <row r="92" spans="3:15">
      <c r="C92">
        <f>16.82</f>
        <v>0</v>
      </c>
      <c r="D92">
        <f>16.82</f>
        <v>0</v>
      </c>
      <c r="E92">
        <f>E73*16.5745</f>
        <v>0</v>
      </c>
      <c r="F92">
        <f>F73*167.02300000000002</f>
        <v>0</v>
      </c>
      <c r="G92">
        <f>G73*23.7245</f>
        <v>0</v>
      </c>
      <c r="H92">
        <f>H73*0.0</f>
        <v>0</v>
      </c>
      <c r="I92">
        <f>I73*-0.0080515</f>
        <v>0</v>
      </c>
      <c r="J92">
        <f>J73*-16.0365</f>
        <v>0</v>
      </c>
      <c r="K92">
        <f>K73*12.0275</f>
        <v>0</v>
      </c>
      <c r="L92">
        <f>L73*291.3915</f>
        <v>0</v>
      </c>
      <c r="M92">
        <f>M73*-41.679</f>
        <v>0</v>
      </c>
      <c r="N92">
        <f>E92+F92+G92+H92+I92+J92+K92+L92</f>
        <v>0</v>
      </c>
      <c r="O92">
        <f>E92+F92+G92+H92+I92+J92+K92+M92</f>
        <v>0</v>
      </c>
    </row>
    <row r="93" spans="3:15">
      <c r="C93">
        <f>17.73</f>
        <v>0</v>
      </c>
      <c r="D93">
        <f>17.73</f>
        <v>0</v>
      </c>
      <c r="E93">
        <f>E73*21.139499999999998</f>
        <v>0</v>
      </c>
      <c r="F93">
        <f>F73*186.185</f>
        <v>0</v>
      </c>
      <c r="G93">
        <f>G73*26.509</f>
        <v>0</v>
      </c>
      <c r="H93">
        <f>H73*0.0</f>
        <v>0</v>
      </c>
      <c r="I93">
        <f>I73*-0.0057075</f>
        <v>0</v>
      </c>
      <c r="J93">
        <f>J73*-14.0825</f>
        <v>0</v>
      </c>
      <c r="K93">
        <f>K73*10.562</f>
        <v>0</v>
      </c>
      <c r="L93">
        <f>L73*314.002</f>
        <v>0</v>
      </c>
      <c r="M93">
        <f>M73*-30.299499999999995</f>
        <v>0</v>
      </c>
      <c r="N93">
        <f>E93+F93+G93+H93+I93+J93+K93+L93</f>
        <v>0</v>
      </c>
      <c r="O93">
        <f>E93+F93+G93+H93+I93+J93+K93+M93</f>
        <v>0</v>
      </c>
    </row>
    <row r="94" spans="3:15">
      <c r="C94">
        <f>18.64</f>
        <v>0</v>
      </c>
      <c r="D94">
        <f>18.64</f>
        <v>0</v>
      </c>
      <c r="E94">
        <f>E73*25.812</f>
        <v>0</v>
      </c>
      <c r="F94">
        <f>F73*204.3465</f>
        <v>0</v>
      </c>
      <c r="G94">
        <f>G73*29.147</f>
        <v>0</v>
      </c>
      <c r="H94">
        <f>H73*0.0</f>
        <v>0</v>
      </c>
      <c r="I94">
        <f>I73*-0.0009196499999999999</f>
        <v>0</v>
      </c>
      <c r="J94">
        <f>J73*-18.124499999999998</f>
        <v>0</v>
      </c>
      <c r="K94">
        <f>K73*13.593499999999999</f>
        <v>0</v>
      </c>
      <c r="L94">
        <f>L73*337.24850000000004</f>
        <v>0</v>
      </c>
      <c r="M94">
        <f>M73*-23.4335</f>
        <v>0</v>
      </c>
      <c r="N94">
        <f>E94+F94+G94+H94+I94+J94+K94+L94</f>
        <v>0</v>
      </c>
      <c r="O94">
        <f>E94+F94+G94+H94+I94+J94+K94+M94</f>
        <v>0</v>
      </c>
    </row>
    <row r="95" spans="3:15">
      <c r="C95">
        <f>19.55</f>
        <v>0</v>
      </c>
      <c r="D95">
        <f>19.55</f>
        <v>0</v>
      </c>
      <c r="E95">
        <f>E73*13.598</f>
        <v>0</v>
      </c>
      <c r="F95">
        <f>F73*110.5965</f>
        <v>0</v>
      </c>
      <c r="G95">
        <f>G73*15.8155</f>
        <v>0</v>
      </c>
      <c r="H95">
        <f>H73*0.0</f>
        <v>0</v>
      </c>
      <c r="I95">
        <f>I73*0.0070335</f>
        <v>0</v>
      </c>
      <c r="J95">
        <f>J73*6.865999999999998</f>
        <v>0</v>
      </c>
      <c r="K95">
        <f>K73*-5.1495000000000015</f>
        <v>0</v>
      </c>
      <c r="L95">
        <f>L73*197.585</f>
        <v>0</v>
      </c>
      <c r="M95">
        <f>M73*-81.807</f>
        <v>0</v>
      </c>
      <c r="N95">
        <f>E95+F95+G95+H95+I95+J95+K95+L95</f>
        <v>0</v>
      </c>
      <c r="O95">
        <f>E95+F95+G95+H95+I95+J95+K95+M95</f>
        <v>0</v>
      </c>
    </row>
    <row r="96" spans="3:15">
      <c r="C96">
        <f>20.0</f>
        <v>0</v>
      </c>
      <c r="D96">
        <f>20.0</f>
        <v>0</v>
      </c>
      <c r="E96">
        <f>E73*-1.972</f>
        <v>0</v>
      </c>
      <c r="F96">
        <f>F73*10.224</f>
        <v>0</v>
      </c>
      <c r="G96">
        <f>G73*0.8420000000000001</f>
        <v>0</v>
      </c>
      <c r="H96">
        <f>H73*0.0</f>
        <v>0</v>
      </c>
      <c r="I96">
        <f>I73*0.01</f>
        <v>0</v>
      </c>
      <c r="J96">
        <f>J73*43.54</f>
        <v>0</v>
      </c>
      <c r="K96">
        <f>K73*-32.655</f>
        <v>0</v>
      </c>
      <c r="L96">
        <f>L73*41.391999999999996</f>
        <v>0</v>
      </c>
      <c r="M96">
        <f>M73*-145.04</f>
        <v>0</v>
      </c>
      <c r="N96">
        <f>E96+F96+G96+H96+I96+J96+K96+L96</f>
        <v>0</v>
      </c>
      <c r="O96">
        <f>E96+F96+G96+H96+I96+J96+K96+M96</f>
        <v>0</v>
      </c>
    </row>
    <row r="97" spans="3:15">
      <c r="C97">
        <f>20.0</f>
        <v>0</v>
      </c>
      <c r="D97">
        <f>0.0</f>
        <v>0</v>
      </c>
      <c r="E97">
        <f>E73*1.915</f>
        <v>0</v>
      </c>
      <c r="F97">
        <f>F73*-9.171</f>
        <v>0</v>
      </c>
      <c r="G97">
        <f>G73*-0.687</f>
        <v>0</v>
      </c>
      <c r="H97">
        <f>H73*0.0</f>
        <v>0</v>
      </c>
      <c r="I97">
        <f>I73*0.45</f>
        <v>0</v>
      </c>
      <c r="J97">
        <f>J73*-42.34</f>
        <v>0</v>
      </c>
      <c r="K97">
        <f>K73*31.755</f>
        <v>0</v>
      </c>
      <c r="L97">
        <f>L73*32.745</f>
        <v>0</v>
      </c>
      <c r="M97">
        <f>M73*-45.048</f>
        <v>0</v>
      </c>
      <c r="N97">
        <f>E97+F97+G97+H97+I97+J97+K97+L97</f>
        <v>0</v>
      </c>
      <c r="O97">
        <f>E97+F97+G97+H97+I97+J97+K97+M97</f>
        <v>0</v>
      </c>
    </row>
    <row r="98" spans="3:15">
      <c r="C98">
        <f>20.45</f>
        <v>0</v>
      </c>
      <c r="D98">
        <f>0.45</f>
        <v>0</v>
      </c>
      <c r="E98">
        <f>E73*-13.657</f>
        <v>0</v>
      </c>
      <c r="F98">
        <f>F73*-104.71699999999998</f>
        <v>0</v>
      </c>
      <c r="G98">
        <f>G73*-14.950500000000002</f>
        <v>0</v>
      </c>
      <c r="H98">
        <f>H73*0.0</f>
        <v>0</v>
      </c>
      <c r="I98">
        <f>I73*0.058500000000000024</f>
        <v>0</v>
      </c>
      <c r="J98">
        <f>J73*-1.0884999999999998</f>
        <v>0</v>
      </c>
      <c r="K98">
        <f>K73*0.8164999999999996</f>
        <v>0</v>
      </c>
      <c r="L98">
        <f>L73*27.1025</f>
        <v>0</v>
      </c>
      <c r="M98">
        <f>M73*-195.56199999999998</f>
        <v>0</v>
      </c>
      <c r="N98">
        <f>E98+F98+G98+H98+I98+J98+K98+L98</f>
        <v>0</v>
      </c>
      <c r="O98">
        <f>E98+F98+G98+H98+I98+J98+K98+M98</f>
        <v>0</v>
      </c>
    </row>
    <row r="99" spans="3:15">
      <c r="C99">
        <f>21.36</f>
        <v>0</v>
      </c>
      <c r="D99">
        <f>1.36</f>
        <v>0</v>
      </c>
      <c r="E99">
        <f>E73*-25.801000000000002</f>
        <v>0</v>
      </c>
      <c r="F99">
        <f>F73*-194.087</f>
        <v>0</v>
      </c>
      <c r="G99">
        <f>G73*-27.6405</f>
        <v>0</v>
      </c>
      <c r="H99">
        <f>H73*0.0</f>
        <v>0</v>
      </c>
      <c r="I99">
        <f>I73*-0.34299999999999997</f>
        <v>0</v>
      </c>
      <c r="J99">
        <f>J73*27.3305</f>
        <v>0</v>
      </c>
      <c r="K99">
        <f>K73*-20.497999999999998</f>
        <v>0</v>
      </c>
      <c r="L99">
        <f>L73*26.524</f>
        <v>0</v>
      </c>
      <c r="M99">
        <f>M73*-330.678</f>
        <v>0</v>
      </c>
      <c r="N99">
        <f>E99+F99+G99+H99+I99+J99+K99+L99</f>
        <v>0</v>
      </c>
      <c r="O99">
        <f>E99+F99+G99+H99+I99+J99+K99+M99</f>
        <v>0</v>
      </c>
    </row>
    <row r="100" spans="3:15">
      <c r="C100">
        <f>22.27</f>
        <v>0</v>
      </c>
      <c r="D100">
        <f>2.27</f>
        <v>0</v>
      </c>
      <c r="E100">
        <f>E73*-21.04</f>
        <v>0</v>
      </c>
      <c r="F100">
        <f>F73*-176.599</f>
        <v>0</v>
      </c>
      <c r="G100">
        <f>G73*-25.106</f>
        <v>0</v>
      </c>
      <c r="H100">
        <f>H73*0.0</f>
        <v>0</v>
      </c>
      <c r="I100">
        <f>I73*-0.348</f>
        <v>0</v>
      </c>
      <c r="J100">
        <f>J73*21.777</f>
        <v>0</v>
      </c>
      <c r="K100">
        <f>K73*-16.332500000000003</f>
        <v>0</v>
      </c>
      <c r="L100">
        <f>L73*34.219</f>
        <v>0</v>
      </c>
      <c r="M100">
        <f>M73*-309.193</f>
        <v>0</v>
      </c>
      <c r="N100">
        <f>E100+F100+G100+H100+I100+J100+K100+L100</f>
        <v>0</v>
      </c>
      <c r="O100">
        <f>E100+F100+G100+H100+I100+J100+K100+M100</f>
        <v>0</v>
      </c>
    </row>
    <row r="101" spans="3:15">
      <c r="C101">
        <f>23.18</f>
        <v>0</v>
      </c>
      <c r="D101">
        <f>3.18</f>
        <v>0</v>
      </c>
      <c r="E101">
        <f>E73*-16.3995</f>
        <v>0</v>
      </c>
      <c r="F101">
        <f>F73*-157.96949999999998</f>
        <v>0</v>
      </c>
      <c r="G101">
        <f>G73*-22.403000000000002</f>
        <v>0</v>
      </c>
      <c r="H101">
        <f>H73*0.0</f>
        <v>0</v>
      </c>
      <c r="I101">
        <f>I73*-0.311</f>
        <v>0</v>
      </c>
      <c r="J101">
        <f>J73*22.475</f>
        <v>0</v>
      </c>
      <c r="K101">
        <f>K73*-16.8565</f>
        <v>0</v>
      </c>
      <c r="L101">
        <f>L73*45.084</f>
        <v>0</v>
      </c>
      <c r="M101">
        <f>M73*-288.1205</f>
        <v>0</v>
      </c>
      <c r="N101">
        <f>E101+F101+G101+H101+I101+J101+K101+L101</f>
        <v>0</v>
      </c>
      <c r="O101">
        <f>E101+F101+G101+H101+I101+J101+K101+M101</f>
        <v>0</v>
      </c>
    </row>
    <row r="102" spans="3:15">
      <c r="C102">
        <f>24.09</f>
        <v>0</v>
      </c>
      <c r="D102">
        <f>4.09</f>
        <v>0</v>
      </c>
      <c r="E102">
        <f>E73*-12.457</f>
        <v>0</v>
      </c>
      <c r="F102">
        <f>F73*-142.09</f>
        <v>0</v>
      </c>
      <c r="G102">
        <f>G73*-20.085</f>
        <v>0</v>
      </c>
      <c r="H102">
        <f>H73*0.0</f>
        <v>0</v>
      </c>
      <c r="I102">
        <f>I73*-0.21550000000000002</f>
        <v>0</v>
      </c>
      <c r="J102">
        <f>J73*29.784000000000002</f>
        <v>0</v>
      </c>
      <c r="K102">
        <f>K73*-22.338</f>
        <v>0</v>
      </c>
      <c r="L102">
        <f>L73*55.710499999999996</f>
        <v>0</v>
      </c>
      <c r="M102">
        <f>M73*-271.933</f>
        <v>0</v>
      </c>
      <c r="N102">
        <f>E102+F102+G102+H102+I102+J102+K102+L102</f>
        <v>0</v>
      </c>
      <c r="O102">
        <f>E102+F102+G102+H102+I102+J102+K102+M102</f>
        <v>0</v>
      </c>
    </row>
    <row r="103" spans="3:15">
      <c r="C103">
        <f>25.0</f>
        <v>0</v>
      </c>
      <c r="D103">
        <f>5.0</f>
        <v>0</v>
      </c>
      <c r="E103">
        <f>E73*-13.1815</f>
        <v>0</v>
      </c>
      <c r="F103">
        <f>F73*-123.55950000000001</f>
        <v>0</v>
      </c>
      <c r="G103">
        <f>G73*-17.552999999999997</f>
        <v>0</v>
      </c>
      <c r="H103">
        <f>H73*0.0</f>
        <v>0</v>
      </c>
      <c r="I103">
        <f>I73*0.026999999999999996</f>
        <v>0</v>
      </c>
      <c r="J103">
        <f>J73*11.1935</f>
        <v>0</v>
      </c>
      <c r="K103">
        <f>K73*-8.395500000000002</f>
        <v>0</v>
      </c>
      <c r="L103">
        <f>L73*58.591499999999996</f>
        <v>0</v>
      </c>
      <c r="M103">
        <f>M73*-247.60650000000004</f>
        <v>0</v>
      </c>
      <c r="N103">
        <f>E103+F103+G103+H103+I103+J103+K103+L103</f>
        <v>0</v>
      </c>
      <c r="O103">
        <f>E103+F103+G103+H103+I103+J103+K103+M103</f>
        <v>0</v>
      </c>
    </row>
    <row r="104" spans="3:15">
      <c r="C104">
        <f>26.0</f>
        <v>0</v>
      </c>
      <c r="D104">
        <f>6.0</f>
        <v>0</v>
      </c>
      <c r="E104">
        <f>E73*-13.282</f>
        <v>0</v>
      </c>
      <c r="F104">
        <f>F73*-99.4225</f>
        <v>0</v>
      </c>
      <c r="G104">
        <f>G73*-14.274</f>
        <v>0</v>
      </c>
      <c r="H104">
        <f>H73*0.0</f>
        <v>0</v>
      </c>
      <c r="I104">
        <f>I73*0.2535</f>
        <v>0</v>
      </c>
      <c r="J104">
        <f>J73*-11.2875</f>
        <v>0</v>
      </c>
      <c r="K104">
        <f>K73*8.4655</f>
        <v>0</v>
      </c>
      <c r="L104">
        <f>L73*64.8995</f>
        <v>0</v>
      </c>
      <c r="M104">
        <f>M73*-218.96550000000002</f>
        <v>0</v>
      </c>
      <c r="N104">
        <f>E104+F104+G104+H104+I104+J104+K104+L104</f>
        <v>0</v>
      </c>
      <c r="O104">
        <f>E104+F104+G104+H104+I104+J104+K104+M104</f>
        <v>0</v>
      </c>
    </row>
    <row r="105" spans="3:15">
      <c r="C105">
        <f>27.0</f>
        <v>0</v>
      </c>
      <c r="D105">
        <f>7.0</f>
        <v>0</v>
      </c>
      <c r="E105">
        <f>E73*-8.671</f>
        <v>0</v>
      </c>
      <c r="F105">
        <f>F73*-76.925</f>
        <v>0</v>
      </c>
      <c r="G105">
        <f>G73*-11.003</f>
        <v>0</v>
      </c>
      <c r="H105">
        <f>H73*0.0</f>
        <v>0</v>
      </c>
      <c r="I105">
        <f>I73*0.379</f>
        <v>0</v>
      </c>
      <c r="J105">
        <f>J73*-5.6505</f>
        <v>0</v>
      </c>
      <c r="K105">
        <f>K73*4.238</f>
        <v>0</v>
      </c>
      <c r="L105">
        <f>L73*78.87049999999999</f>
        <v>0</v>
      </c>
      <c r="M105">
        <f>M73*-198.38799999999998</f>
        <v>0</v>
      </c>
      <c r="N105">
        <f>E105+F105+G105+H105+I105+J105+K105+L105</f>
        <v>0</v>
      </c>
      <c r="O105">
        <f>E105+F105+G105+H105+I105+J105+K105+M105</f>
        <v>0</v>
      </c>
    </row>
    <row r="106" spans="3:15">
      <c r="C106">
        <f>28.0</f>
        <v>0</v>
      </c>
      <c r="D106">
        <f>8.0</f>
        <v>0</v>
      </c>
      <c r="E106">
        <f>E73*-3.8785</f>
        <v>0</v>
      </c>
      <c r="F106">
        <f>F73*-54.067499999999995</f>
        <v>0</v>
      </c>
      <c r="G106">
        <f>G73*-7.689</f>
        <v>0</v>
      </c>
      <c r="H106">
        <f>H73*0.0</f>
        <v>0</v>
      </c>
      <c r="I106">
        <f>I73*0.5545</f>
        <v>0</v>
      </c>
      <c r="J106">
        <f>J73*2.113</f>
        <v>0</v>
      </c>
      <c r="K106">
        <f>K73*-1.5850000000000002</f>
        <v>0</v>
      </c>
      <c r="L106">
        <f>L73*93.05450000000002</f>
        <v>0</v>
      </c>
      <c r="M106">
        <f>M73*-178.22449999999998</f>
        <v>0</v>
      </c>
      <c r="N106">
        <f>E106+F106+G106+H106+I106+J106+K106+L106</f>
        <v>0</v>
      </c>
      <c r="O106">
        <f>E106+F106+G106+H106+I106+J106+K106+M106</f>
        <v>0</v>
      </c>
    </row>
    <row r="107" spans="3:15">
      <c r="C107">
        <f>29.0</f>
        <v>0</v>
      </c>
      <c r="D107">
        <f>9.0</f>
        <v>0</v>
      </c>
      <c r="E107">
        <f>E73*0.6904999999999999</f>
        <v>0</v>
      </c>
      <c r="F107">
        <f>F73*-31.088</f>
        <v>0</v>
      </c>
      <c r="G107">
        <f>G73*-4.337</f>
        <v>0</v>
      </c>
      <c r="H107">
        <f>H73*0.0</f>
        <v>0</v>
      </c>
      <c r="I107">
        <f>I73*0.7765000000000001</f>
        <v>0</v>
      </c>
      <c r="J107">
        <f>J73*8.889</f>
        <v>0</v>
      </c>
      <c r="K107">
        <f>K73*-6.667</f>
        <v>0</v>
      </c>
      <c r="L107">
        <f>L73*107.28450000000001</f>
        <v>0</v>
      </c>
      <c r="M107">
        <f>M73*-157.88299999999998</f>
        <v>0</v>
      </c>
      <c r="N107">
        <f>E107+F107+G107+H107+I107+J107+K107+L107</f>
        <v>0</v>
      </c>
      <c r="O107">
        <f>E107+F107+G107+H107+I107+J107+K107+M107</f>
        <v>0</v>
      </c>
    </row>
    <row r="108" spans="3:15">
      <c r="C108">
        <f>30.0</f>
        <v>0</v>
      </c>
      <c r="D108">
        <f>10.0</f>
        <v>0</v>
      </c>
      <c r="E108">
        <f>E73*-0.08799999999999986</f>
        <v>0</v>
      </c>
      <c r="F108">
        <f>F73*-0.2624999999999993</f>
        <v>0</v>
      </c>
      <c r="G108">
        <f>G73*-0.035499999999999976</f>
        <v>0</v>
      </c>
      <c r="H108">
        <f>H73*0.0</f>
        <v>0</v>
      </c>
      <c r="I108">
        <f>I73*1.0475</f>
        <v>0</v>
      </c>
      <c r="J108">
        <f>J73*0.5625</f>
        <v>0</v>
      </c>
      <c r="K108">
        <f>K73*-0.4219999999999997</f>
        <v>0</v>
      </c>
      <c r="L108">
        <f>L73*129.7285</f>
        <v>0</v>
      </c>
      <c r="M108">
        <f>M73*-130.89600000000002</f>
        <v>0</v>
      </c>
      <c r="N108">
        <f>E108+F108+G108+H108+I108+J108+K108+L108</f>
        <v>0</v>
      </c>
      <c r="O108">
        <f>E108+F108+G108+H108+I108+J108+K108+M108</f>
        <v>0</v>
      </c>
    </row>
    <row r="109" spans="3:15">
      <c r="C109">
        <f>31.0</f>
        <v>0</v>
      </c>
      <c r="D109">
        <f>11.0</f>
        <v>0</v>
      </c>
      <c r="E109">
        <f>E73*-0.8694999999999999</f>
        <v>0</v>
      </c>
      <c r="F109">
        <f>F73*30.582</f>
        <v>0</v>
      </c>
      <c r="G109">
        <f>G73*4.27</f>
        <v>0</v>
      </c>
      <c r="H109">
        <f>H73*0.0</f>
        <v>0</v>
      </c>
      <c r="I109">
        <f>I73*1.3145</f>
        <v>0</v>
      </c>
      <c r="J109">
        <f>J73*-7.718500000000001</f>
        <v>0</v>
      </c>
      <c r="K109">
        <f>K73*5.789</f>
        <v>0</v>
      </c>
      <c r="L109">
        <f>L73*155.77499999999998</f>
        <v>0</v>
      </c>
      <c r="M109">
        <f>M73*-107.49599999999998</f>
        <v>0</v>
      </c>
      <c r="N109">
        <f>E109+F109+G109+H109+I109+J109+K109+L109</f>
        <v>0</v>
      </c>
      <c r="O109">
        <f>E109+F109+G109+H109+I109+J109+K109+M109</f>
        <v>0</v>
      </c>
    </row>
    <row r="110" spans="3:15">
      <c r="C110">
        <f>32.0</f>
        <v>0</v>
      </c>
      <c r="D110">
        <f>12.0</f>
        <v>0</v>
      </c>
      <c r="E110">
        <f>E73*3.6904999999999997</f>
        <v>0</v>
      </c>
      <c r="F110">
        <f>F73*53.608</f>
        <v>0</v>
      </c>
      <c r="G110">
        <f>G73*7.629</f>
        <v>0</v>
      </c>
      <c r="H110">
        <f>H73*0.0</f>
        <v>0</v>
      </c>
      <c r="I110">
        <f>I73*1.5955000000000001</f>
        <v>0</v>
      </c>
      <c r="J110">
        <f>J73*-0.8160000000000002</f>
        <v>0</v>
      </c>
      <c r="K110">
        <f>K73*0.612</f>
        <v>0</v>
      </c>
      <c r="L110">
        <f>L73*176.394</f>
        <v>0</v>
      </c>
      <c r="M110">
        <f>M73*-93.1635</f>
        <v>0</v>
      </c>
      <c r="N110">
        <f>E110+F110+G110+H110+I110+J110+K110+L110</f>
        <v>0</v>
      </c>
      <c r="O110">
        <f>E110+F110+G110+H110+I110+J110+K110+M110</f>
        <v>0</v>
      </c>
    </row>
    <row r="111" spans="3:15">
      <c r="C111">
        <f>33.0</f>
        <v>0</v>
      </c>
      <c r="D111">
        <f>13.0</f>
        <v>0</v>
      </c>
      <c r="E111">
        <f>E73*8.4675</f>
        <v>0</v>
      </c>
      <c r="F111">
        <f>F73*76.559</f>
        <v>0</v>
      </c>
      <c r="G111">
        <f>G73*10.958</f>
        <v>0</v>
      </c>
      <c r="H111">
        <f>H73*0.0</f>
        <v>0</v>
      </c>
      <c r="I111">
        <f>I73*1.8964999999999999</f>
        <v>0</v>
      </c>
      <c r="J111">
        <f>J73*7.1739999999999995</f>
        <v>0</v>
      </c>
      <c r="K111">
        <f>K73*-5.3805</f>
        <v>0</v>
      </c>
      <c r="L111">
        <f>L73*197.302</f>
        <v>0</v>
      </c>
      <c r="M111">
        <f>M73*-78.8785</f>
        <v>0</v>
      </c>
      <c r="N111">
        <f>E111+F111+G111+H111+I111+J111+K111+L111</f>
        <v>0</v>
      </c>
      <c r="O111">
        <f>E111+F111+G111+H111+I111+J111+K111+M111</f>
        <v>0</v>
      </c>
    </row>
    <row r="112" spans="3:15">
      <c r="C112">
        <f>34.0</f>
        <v>0</v>
      </c>
      <c r="D112">
        <f>14.0</f>
        <v>0</v>
      </c>
      <c r="E112">
        <f>E73*13.058</f>
        <v>0</v>
      </c>
      <c r="F112">
        <f>F73*99.2535</f>
        <v>0</v>
      </c>
      <c r="G112">
        <f>G73*14.258000000000001</f>
        <v>0</v>
      </c>
      <c r="H112">
        <f>H73*0.0</f>
        <v>0</v>
      </c>
      <c r="I112">
        <f>I73*2.1145</f>
        <v>0</v>
      </c>
      <c r="J112">
        <f>J73*13.1795</f>
        <v>0</v>
      </c>
      <c r="K112">
        <f>K73*-9.885</f>
        <v>0</v>
      </c>
      <c r="L112">
        <f>L73*217.942</f>
        <v>0</v>
      </c>
      <c r="M112">
        <f>M73*-64.954</f>
        <v>0</v>
      </c>
      <c r="N112">
        <f>E112+F112+G112+H112+I112+J112+K112+L112</f>
        <v>0</v>
      </c>
      <c r="O112">
        <f>E112+F112+G112+H112+I112+J112+K112+M112</f>
        <v>0</v>
      </c>
    </row>
    <row r="113" spans="3:15">
      <c r="C113">
        <f>35.0</f>
        <v>0</v>
      </c>
      <c r="D113">
        <f>15.0</f>
        <v>0</v>
      </c>
      <c r="E113">
        <f>E73*12.945500000000003</f>
        <v>0</v>
      </c>
      <c r="F113">
        <f>F73*125.49249999999999</f>
        <v>0</v>
      </c>
      <c r="G113">
        <f>G73*17.846</f>
        <v>0</v>
      </c>
      <c r="H113">
        <f>H73*0.0</f>
        <v>0</v>
      </c>
      <c r="I113">
        <f>I73*-0.5414999999999999</f>
        <v>0</v>
      </c>
      <c r="J113">
        <f>J73*-7.232499999999998</f>
        <v>0</v>
      </c>
      <c r="K113">
        <f>K73*5.4245</f>
        <v>0</v>
      </c>
      <c r="L113">
        <f>L73*247.66000000000003</f>
        <v>0</v>
      </c>
      <c r="M113">
        <f>M73*-58.009</f>
        <v>0</v>
      </c>
      <c r="N113">
        <f>E113+F113+G113+H113+I113+J113+K113+L113</f>
        <v>0</v>
      </c>
      <c r="O113">
        <f>E113+F113+G113+H113+I113+J113+K113+M113</f>
        <v>0</v>
      </c>
    </row>
    <row r="114" spans="3:15">
      <c r="C114">
        <f>35.91</f>
        <v>0</v>
      </c>
      <c r="D114">
        <f>15.91</f>
        <v>0</v>
      </c>
      <c r="E114">
        <f>E73*12.2</f>
        <v>0</v>
      </c>
      <c r="F114">
        <f>F73*146.28</f>
        <v>0</v>
      </c>
      <c r="G114">
        <f>G73*20.710499999999996</f>
        <v>0</v>
      </c>
      <c r="H114">
        <f>H73*0.0</f>
        <v>0</v>
      </c>
      <c r="I114">
        <f>I73*-3.5</f>
        <v>0</v>
      </c>
      <c r="J114">
        <f>J73*-23.5285</f>
        <v>0</v>
      </c>
      <c r="K114">
        <f>K73*17.647</f>
        <v>0</v>
      </c>
      <c r="L114">
        <f>L73*273.38</f>
        <v>0</v>
      </c>
      <c r="M114">
        <f>M73*-54.532</f>
        <v>0</v>
      </c>
      <c r="N114">
        <f>E114+F114+G114+H114+I114+J114+K114+L114</f>
        <v>0</v>
      </c>
      <c r="O114">
        <f>E114+F114+G114+H114+I114+J114+K114+M114</f>
        <v>0</v>
      </c>
    </row>
    <row r="115" spans="3:15">
      <c r="C115">
        <f>36.82</f>
        <v>0</v>
      </c>
      <c r="D115">
        <f>16.82</f>
        <v>0</v>
      </c>
      <c r="E115">
        <f>E73*16.103</f>
        <v>0</v>
      </c>
      <c r="F115">
        <f>F73*162.80900000000003</f>
        <v>0</v>
      </c>
      <c r="G115">
        <f>G73*23.125</f>
        <v>0</v>
      </c>
      <c r="H115">
        <f>H73*0.0</f>
        <v>0</v>
      </c>
      <c r="I115">
        <f>I73*-4.2105</f>
        <v>0</v>
      </c>
      <c r="J115">
        <f>J73*-15.246500000000001</f>
        <v>0</v>
      </c>
      <c r="K115">
        <f>K73*11.434999999999999</f>
        <v>0</v>
      </c>
      <c r="L115">
        <f>L73*290.28499999999997</f>
        <v>0</v>
      </c>
      <c r="M115">
        <f>M73*-43.842</f>
        <v>0</v>
      </c>
      <c r="N115">
        <f>E115+F115+G115+H115+I115+J115+K115+L115</f>
        <v>0</v>
      </c>
      <c r="O115">
        <f>E115+F115+G115+H115+I115+J115+K115+M115</f>
        <v>0</v>
      </c>
    </row>
    <row r="116" spans="3:15">
      <c r="C116">
        <f>37.73</f>
        <v>0</v>
      </c>
      <c r="D116">
        <f>17.73</f>
        <v>0</v>
      </c>
      <c r="E116">
        <f>E73*20.706</f>
        <v>0</v>
      </c>
      <c r="F116">
        <f>F73*182.3275</f>
        <v>0</v>
      </c>
      <c r="G116">
        <f>G73*25.96</f>
        <v>0</v>
      </c>
      <c r="H116">
        <f>H73*0.0</f>
        <v>0</v>
      </c>
      <c r="I116">
        <f>I73*-5.7215</f>
        <v>0</v>
      </c>
      <c r="J116">
        <f>J73*-13.363</f>
        <v>0</v>
      </c>
      <c r="K116">
        <f>K73*10.022</f>
        <v>0</v>
      </c>
      <c r="L116">
        <f>L73*312.3755</f>
        <v>0</v>
      </c>
      <c r="M116">
        <f>M73*-32.3915</f>
        <v>0</v>
      </c>
      <c r="N116">
        <f>E116+F116+G116+H116+I116+J116+K116+L116</f>
        <v>0</v>
      </c>
      <c r="O116">
        <f>E116+F116+G116+H116+I116+J116+K116+M116</f>
        <v>0</v>
      </c>
    </row>
    <row r="117" spans="3:15">
      <c r="C117">
        <f>38.64</f>
        <v>0</v>
      </c>
      <c r="D117">
        <f>18.64</f>
        <v>0</v>
      </c>
      <c r="E117">
        <f>E73*25.444499999999998</f>
        <v>0</v>
      </c>
      <c r="F117">
        <f>F73*201.16199999999998</f>
        <v>0</v>
      </c>
      <c r="G117">
        <f>G73*28.6935</f>
        <v>0</v>
      </c>
      <c r="H117">
        <f>H73*0.0</f>
        <v>0</v>
      </c>
      <c r="I117">
        <f>I73*-8.7255</f>
        <v>0</v>
      </c>
      <c r="J117">
        <f>J73*-17.427</f>
        <v>0</v>
      </c>
      <c r="K117">
        <f>K73*13.07</f>
        <v>0</v>
      </c>
      <c r="L117">
        <f>L73*335.1345</f>
        <v>0</v>
      </c>
      <c r="M117">
        <f>M73*-24.9095</f>
        <v>0</v>
      </c>
      <c r="N117">
        <f>E117+F117+G117+H117+I117+J117+K117+L117</f>
        <v>0</v>
      </c>
      <c r="O117">
        <f>E117+F117+G117+H117+I117+J117+K117+M117</f>
        <v>0</v>
      </c>
    </row>
    <row r="118" spans="3:15">
      <c r="C118">
        <f>39.55</f>
        <v>0</v>
      </c>
      <c r="D118">
        <f>19.55</f>
        <v>0</v>
      </c>
      <c r="E118">
        <f>E73*13.3265</f>
        <v>0</v>
      </c>
      <c r="F118">
        <f>F73*108.255</f>
        <v>0</v>
      </c>
      <c r="G118">
        <f>G73*15.483</f>
        <v>0</v>
      </c>
      <c r="H118">
        <f>H73*0.0</f>
        <v>0</v>
      </c>
      <c r="I118">
        <f>I73*-1.7855000000000008</f>
        <v>0</v>
      </c>
      <c r="J118">
        <f>J73*7.427499999999998</f>
        <v>0</v>
      </c>
      <c r="K118">
        <f>K73*-5.570499999999999</f>
        <v>0</v>
      </c>
      <c r="L118">
        <f>L73*198.79649999999998</f>
        <v>0</v>
      </c>
      <c r="M118">
        <f>M73*-84.59300000000002</f>
        <v>0</v>
      </c>
      <c r="N118">
        <f>E118+F118+G118+H118+I118+J118+K118+L118</f>
        <v>0</v>
      </c>
      <c r="O118">
        <f>E118+F118+G118+H118+I118+J118+K118+M118</f>
        <v>0</v>
      </c>
    </row>
    <row r="119" spans="3:15">
      <c r="C119">
        <f>40.0</f>
        <v>0</v>
      </c>
      <c r="D119">
        <f>20.0</f>
        <v>0</v>
      </c>
      <c r="E119">
        <f>E73*-2.248</f>
        <v>0</v>
      </c>
      <c r="F119">
        <f>F73*7.712000000000001</f>
        <v>0</v>
      </c>
      <c r="G119">
        <f>G73*0.486</f>
        <v>0</v>
      </c>
      <c r="H119">
        <f>H73*0.0</f>
        <v>0</v>
      </c>
      <c r="I119">
        <f>I73*9.229</f>
        <v>0</v>
      </c>
      <c r="J119">
        <f>J73*43.989</f>
        <v>0</v>
      </c>
      <c r="K119">
        <f>K73*-32.992</f>
        <v>0</v>
      </c>
      <c r="L119">
        <f>L73*46.191</f>
        <v>0</v>
      </c>
      <c r="M119">
        <f>M73*-149.61700000000002</f>
        <v>0</v>
      </c>
      <c r="N119">
        <f>E119+F119+G119+H119+I119+J119+K119+L119</f>
        <v>0</v>
      </c>
      <c r="O119">
        <f>E119+F119+G119+H119+I119+J119+K119+M119</f>
        <v>0</v>
      </c>
    </row>
    <row r="120" spans="3:15">
      <c r="C120">
        <f>40.0</f>
        <v>0</v>
      </c>
      <c r="D120">
        <f>0.0</f>
        <v>0</v>
      </c>
      <c r="E120">
        <f>E73*1.805</f>
        <v>0</v>
      </c>
      <c r="F120">
        <f>F73*-6.877000000000001</f>
        <v>0</v>
      </c>
      <c r="G120">
        <f>G73*-0.336</f>
        <v>0</v>
      </c>
      <c r="H120">
        <f>H73*0.0</f>
        <v>0</v>
      </c>
      <c r="I120">
        <f>I73*45.233000000000004</f>
        <v>0</v>
      </c>
      <c r="J120">
        <f>J73*-48.141999999999996</f>
        <v>0</v>
      </c>
      <c r="K120">
        <f>K73*36.106</f>
        <v>0</v>
      </c>
      <c r="L120">
        <f>L73*9.857999999999999</f>
        <v>0</v>
      </c>
      <c r="M120">
        <f>M73*-19.631</f>
        <v>0</v>
      </c>
      <c r="N120">
        <f>E120+F120+G120+H120+I120+J120+K120+L120</f>
        <v>0</v>
      </c>
      <c r="O120">
        <f>E120+F120+G120+H120+I120+J120+K120+M120</f>
        <v>0</v>
      </c>
    </row>
    <row r="121" spans="3:15">
      <c r="C121">
        <f>40.45</f>
        <v>0</v>
      </c>
      <c r="D121">
        <f>0.45</f>
        <v>0</v>
      </c>
      <c r="E121">
        <f>E73*-8.254</f>
        <v>0</v>
      </c>
      <c r="F121">
        <f>F73*-43.929500000000004</f>
        <v>0</v>
      </c>
      <c r="G121">
        <f>G73*-6.243</f>
        <v>0</v>
      </c>
      <c r="H121">
        <f>H73*0.0</f>
        <v>0</v>
      </c>
      <c r="I121">
        <f>I73*-151.547</f>
        <v>0</v>
      </c>
      <c r="J121">
        <f>J73*-3.2469999999999963</f>
        <v>0</v>
      </c>
      <c r="K121">
        <f>K73*2.4350000000000005</f>
        <v>0</v>
      </c>
      <c r="L121">
        <f>L73*14.786000000000001</f>
        <v>0</v>
      </c>
      <c r="M121">
        <f>M73*-121.5925</f>
        <v>0</v>
      </c>
      <c r="N121">
        <f>E121+F121+G121+H121+I121+J121+K121+L121</f>
        <v>0</v>
      </c>
      <c r="O121">
        <f>E121+F121+G121+H121+I121+J121+K121+M121</f>
        <v>0</v>
      </c>
    </row>
    <row r="122" spans="3:15">
      <c r="C122">
        <f>41.36</f>
        <v>0</v>
      </c>
      <c r="D122">
        <f>1.36</f>
        <v>0</v>
      </c>
      <c r="E122">
        <f>E73*-14.9485</f>
        <v>0</v>
      </c>
      <c r="F122">
        <f>F73*-75.07900000000001</f>
        <v>0</v>
      </c>
      <c r="G122">
        <f>G73*-10.6125</f>
        <v>0</v>
      </c>
      <c r="H122">
        <f>H73*0.0</f>
        <v>0</v>
      </c>
      <c r="I122">
        <f>I73*-285.3075</f>
        <v>0</v>
      </c>
      <c r="J122">
        <f>J73*32.7065</f>
        <v>0</v>
      </c>
      <c r="K122">
        <f>K73*-24.53</f>
        <v>0</v>
      </c>
      <c r="L122">
        <f>L73*26.665999999999997</f>
        <v>0</v>
      </c>
      <c r="M122">
        <f>M73*-202.39550000000003</f>
        <v>0</v>
      </c>
      <c r="N122">
        <f>E122+F122+G122+H122+I122+J122+K122+L122</f>
        <v>0</v>
      </c>
      <c r="O122">
        <f>E122+F122+G122+H122+I122+J122+K122+M122</f>
        <v>0</v>
      </c>
    </row>
    <row r="123" spans="3:15">
      <c r="C123">
        <f>42.27</f>
        <v>0</v>
      </c>
      <c r="D123">
        <f>2.27</f>
        <v>0</v>
      </c>
      <c r="E123">
        <f>E73*-10.586</f>
        <v>0</v>
      </c>
      <c r="F123">
        <f>F73*-59.9765</f>
        <v>0</v>
      </c>
      <c r="G123">
        <f>G73*-8.4105</f>
        <v>0</v>
      </c>
      <c r="H123">
        <f>H73*0.0</f>
        <v>0</v>
      </c>
      <c r="I123">
        <f>I73*-211.665</f>
        <v>0</v>
      </c>
      <c r="J123">
        <f>J73*40.25</f>
        <v>0</v>
      </c>
      <c r="K123">
        <f>K73*-30.1875</f>
        <v>0</v>
      </c>
      <c r="L123">
        <f>L73*37.498999999999995</f>
        <v>0</v>
      </c>
      <c r="M123">
        <f>M73*-178.269</f>
        <v>0</v>
      </c>
      <c r="N123">
        <f>E123+F123+G123+H123+I123+J123+K123+L123</f>
        <v>0</v>
      </c>
      <c r="O123">
        <f>E123+F123+G123+H123+I123+J123+K123+M123</f>
        <v>0</v>
      </c>
    </row>
    <row r="124" spans="3:15">
      <c r="C124">
        <f>43.18</f>
        <v>0</v>
      </c>
      <c r="D124">
        <f>3.18</f>
        <v>0</v>
      </c>
      <c r="E124">
        <f>E73*-6.303</f>
        <v>0</v>
      </c>
      <c r="F124">
        <f>F73*-43.44799999999999</f>
        <v>0</v>
      </c>
      <c r="G124">
        <f>G73*-6.0024999999999995</f>
        <v>0</v>
      </c>
      <c r="H124">
        <f>H73*0.0</f>
        <v>0</v>
      </c>
      <c r="I124">
        <f>I73*-141.24200000000002</f>
        <v>0</v>
      </c>
      <c r="J124">
        <f>J73*49.557</f>
        <v>0</v>
      </c>
      <c r="K124">
        <f>K73*-37.167500000000004</f>
        <v>0</v>
      </c>
      <c r="L124">
        <f>L73*52.826</f>
        <v>0</v>
      </c>
      <c r="M124">
        <f>M73*-156.96</f>
        <v>0</v>
      </c>
      <c r="N124">
        <f>E124+F124+G124+H124+I124+J124+K124+L124</f>
        <v>0</v>
      </c>
      <c r="O124">
        <f>E124+F124+G124+H124+I124+J124+K124+M124</f>
        <v>0</v>
      </c>
    </row>
    <row r="125" spans="3:15">
      <c r="C125">
        <f>44.09</f>
        <v>0</v>
      </c>
      <c r="D125">
        <f>4.09</f>
        <v>0</v>
      </c>
      <c r="E125">
        <f>E73*-2.0949999999999998</f>
        <v>0</v>
      </c>
      <c r="F125">
        <f>F73*-25.008</f>
        <v>0</v>
      </c>
      <c r="G125">
        <f>G73*-3.3125</f>
        <v>0</v>
      </c>
      <c r="H125">
        <f>H73*0.0</f>
        <v>0</v>
      </c>
      <c r="I125">
        <f>I73*-69.047</f>
        <v>0</v>
      </c>
      <c r="J125">
        <f>J73*50.283</f>
        <v>0</v>
      </c>
      <c r="K125">
        <f>K73*-37.712</f>
        <v>0</v>
      </c>
      <c r="L125">
        <f>L73*71.397</f>
        <v>0</v>
      </c>
      <c r="M125">
        <f>M73*-132.6895</f>
        <v>0</v>
      </c>
      <c r="N125">
        <f>E125+F125+G125+H125+I125+J125+K125+L125</f>
        <v>0</v>
      </c>
      <c r="O125">
        <f>E125+F125+G125+H125+I125+J125+K125+M125</f>
        <v>0</v>
      </c>
    </row>
    <row r="126" spans="3:15">
      <c r="C126">
        <f>45.0</f>
        <v>0</v>
      </c>
      <c r="D126">
        <f>5.0</f>
        <v>0</v>
      </c>
      <c r="E126">
        <f>E73*-1.1215</f>
        <v>0</v>
      </c>
      <c r="F126">
        <f>F73*-3.4905</f>
        <v>0</v>
      </c>
      <c r="G126">
        <f>G73*-0.4325</f>
        <v>0</v>
      </c>
      <c r="H126">
        <f>H73*0.0</f>
        <v>0</v>
      </c>
      <c r="I126">
        <f>I73*-21.0505</f>
        <v>0</v>
      </c>
      <c r="J126">
        <f>J73*6.074499999999997</f>
        <v>0</v>
      </c>
      <c r="K126">
        <f>K73*-4.556000000000001</f>
        <v>0</v>
      </c>
      <c r="L126">
        <f>L73*93.667</f>
        <v>0</v>
      </c>
      <c r="M126">
        <f>M73*-103.25649999999999</f>
        <v>0</v>
      </c>
      <c r="N126">
        <f>E126+F126+G126+H126+I126+J126+K126+L126</f>
        <v>0</v>
      </c>
      <c r="O126">
        <f>E126+F126+G126+H126+I126+J126+K126+M126</f>
        <v>0</v>
      </c>
    </row>
    <row r="127" spans="3:15">
      <c r="C127">
        <f>46.0</f>
        <v>0</v>
      </c>
      <c r="D127">
        <f>6.0</f>
        <v>0</v>
      </c>
      <c r="E127">
        <f>E73*0.21600000000000008</f>
        <v>0</v>
      </c>
      <c r="F127">
        <f>F73*20.2605</f>
        <v>0</v>
      </c>
      <c r="G127">
        <f>G73*2.7005</f>
        <v>0</v>
      </c>
      <c r="H127">
        <f>H73*0.0</f>
        <v>0</v>
      </c>
      <c r="I127">
        <f>I73*32.322</f>
        <v>0</v>
      </c>
      <c r="J127">
        <f>J73*-38.01349999999999</f>
        <v>0</v>
      </c>
      <c r="K127">
        <f>K73*28.5105</f>
        <v>0</v>
      </c>
      <c r="L127">
        <f>L73*123.4175</f>
        <v>0</v>
      </c>
      <c r="M127">
        <f>M73*-76.7885</f>
        <v>0</v>
      </c>
      <c r="N127">
        <f>E127+F127+G127+H127+I127+J127+K127+L127</f>
        <v>0</v>
      </c>
      <c r="O127">
        <f>E127+F127+G127+H127+I127+J127+K127+M127</f>
        <v>0</v>
      </c>
    </row>
    <row r="128" spans="3:15">
      <c r="C128">
        <f>47.0</f>
        <v>0</v>
      </c>
      <c r="D128">
        <f>7.0</f>
        <v>0</v>
      </c>
      <c r="E128">
        <f>E73*4.9825</f>
        <v>0</v>
      </c>
      <c r="F128">
        <f>F73*41.518</f>
        <v>0</v>
      </c>
      <c r="G128">
        <f>G73*5.7865</f>
        <v>0</v>
      </c>
      <c r="H128">
        <f>H73*0.0</f>
        <v>0</v>
      </c>
      <c r="I128">
        <f>I73*111.764</f>
        <v>0</v>
      </c>
      <c r="J128">
        <f>J73*-37.3665</f>
        <v>0</v>
      </c>
      <c r="K128">
        <f>K73*28.025</f>
        <v>0</v>
      </c>
      <c r="L128">
        <f>L73*151.13349999999997</f>
        <v>0</v>
      </c>
      <c r="M128">
        <f>M73*-55.09</f>
        <v>0</v>
      </c>
      <c r="N128">
        <f>E128+F128+G128+H128+I128+J128+K128+L128</f>
        <v>0</v>
      </c>
      <c r="O128">
        <f>E128+F128+G128+H128+I128+J128+K128+M128</f>
        <v>0</v>
      </c>
    </row>
    <row r="129" spans="3:15">
      <c r="C129">
        <f>48.0</f>
        <v>0</v>
      </c>
      <c r="D129">
        <f>8.0</f>
        <v>0</v>
      </c>
      <c r="E129">
        <f>E73*9.8045</f>
        <v>0</v>
      </c>
      <c r="F129">
        <f>F73*60.8855</f>
        <v>0</v>
      </c>
      <c r="G129">
        <f>G73*8.58</f>
        <v>0</v>
      </c>
      <c r="H129">
        <f>H73*0.0</f>
        <v>0</v>
      </c>
      <c r="I129">
        <f>I73*187.68900000000002</f>
        <v>0</v>
      </c>
      <c r="J129">
        <f>J73*-25.720999999999997</f>
        <v>0</v>
      </c>
      <c r="K129">
        <f>K73*19.2915</f>
        <v>0</v>
      </c>
      <c r="L129">
        <f>L73*175.2745</f>
        <v>0</v>
      </c>
      <c r="M129">
        <f>M73*-35.158500000000004</f>
        <v>0</v>
      </c>
      <c r="N129">
        <f>E129+F129+G129+H129+I129+J129+K129+L129</f>
        <v>0</v>
      </c>
      <c r="O129">
        <f>E129+F129+G129+H129+I129+J129+K129+M129</f>
        <v>0</v>
      </c>
    </row>
    <row r="130" spans="3:15">
      <c r="C130">
        <f>49.0</f>
        <v>0</v>
      </c>
      <c r="D130">
        <f>9.0</f>
        <v>0</v>
      </c>
      <c r="E130">
        <f>E73*15.041</f>
        <v>0</v>
      </c>
      <c r="F130">
        <f>F73*80.7535</f>
        <v>0</v>
      </c>
      <c r="G130">
        <f>G73*11.424</f>
        <v>0</v>
      </c>
      <c r="H130">
        <f>H73*0.0</f>
        <v>0</v>
      </c>
      <c r="I130">
        <f>I73*270.48400000000004</f>
        <v>0</v>
      </c>
      <c r="J130">
        <f>J73*-22.308</f>
        <v>0</v>
      </c>
      <c r="K130">
        <f>K73*16.731</f>
        <v>0</v>
      </c>
      <c r="L130">
        <f>L73*203.80849999999998</f>
        <v>0</v>
      </c>
      <c r="M130">
        <f>M73*-20.098999999999997</f>
        <v>0</v>
      </c>
      <c r="N130">
        <f>E130+F130+G130+H130+I130+J130+K130+L130</f>
        <v>0</v>
      </c>
      <c r="O130">
        <f>E130+F130+G130+H130+I130+J130+K130+M130</f>
        <v>0</v>
      </c>
    </row>
    <row r="138" spans="3:15">
      <c r="C138" t="s">
        <v>0</v>
      </c>
      <c r="D138" t="s">
        <v>1</v>
      </c>
      <c r="E138" t="s">
        <v>2</v>
      </c>
      <c r="F138" t="s">
        <v>3</v>
      </c>
      <c r="G138" t="s">
        <v>4</v>
      </c>
      <c r="H138" t="s">
        <v>5</v>
      </c>
      <c r="I138" t="s">
        <v>6</v>
      </c>
      <c r="J138" t="s">
        <v>7</v>
      </c>
      <c r="K138" t="s">
        <v>8</v>
      </c>
      <c r="L138" t="s">
        <v>9</v>
      </c>
      <c r="M138" t="s">
        <v>10</v>
      </c>
      <c r="N138" t="s">
        <v>11</v>
      </c>
      <c r="O138" t="s">
        <v>12</v>
      </c>
    </row>
    <row r="139" spans="3:15">
      <c r="C139">
        <f>0.0</f>
        <v>0</v>
      </c>
      <c r="D139">
        <f>0.0</f>
        <v>0</v>
      </c>
      <c r="E139">
        <f>E137*0.6916</f>
        <v>0</v>
      </c>
      <c r="F139">
        <f>F137*-5.3606</f>
        <v>0</v>
      </c>
      <c r="G139">
        <f>G137*-0.8221</f>
        <v>0</v>
      </c>
      <c r="H139">
        <f>H137*0.0</f>
        <v>0</v>
      </c>
      <c r="I139">
        <f>I137*-0.0012</f>
        <v>0</v>
      </c>
      <c r="J139">
        <f>J137*130.4036</f>
        <v>0</v>
      </c>
      <c r="K139">
        <f>K137*-97.8027</f>
        <v>0</v>
      </c>
      <c r="L139">
        <f>L137*5.3647</f>
        <v>0</v>
      </c>
      <c r="M139">
        <f>M137*-14.0446</f>
        <v>0</v>
      </c>
      <c r="N139">
        <f>E139+F139+G139+H139+I139+J139+K139+L139</f>
        <v>0</v>
      </c>
      <c r="O139">
        <f>E139+F139+G139+H139+I139+J139+K139+M139</f>
        <v>0</v>
      </c>
    </row>
    <row r="140" spans="3:15">
      <c r="C140">
        <f>1.0</f>
        <v>0</v>
      </c>
      <c r="D140">
        <f>1.0</f>
        <v>0</v>
      </c>
      <c r="E140">
        <f>E137*4.22495</f>
        <v>0</v>
      </c>
      <c r="F140">
        <f>F137*62.325199999999995</f>
        <v>0</v>
      </c>
      <c r="G140">
        <f>G137*8.9613</f>
        <v>0</v>
      </c>
      <c r="H140">
        <f>H137*0.0</f>
        <v>0</v>
      </c>
      <c r="I140">
        <f>I137*0.00495</f>
        <v>0</v>
      </c>
      <c r="J140">
        <f>J137*-214.90505000000002</f>
        <v>0</v>
      </c>
      <c r="K140">
        <f>K137*161.17880000000002</f>
        <v>0</v>
      </c>
      <c r="L140">
        <f>L137*96.8664</f>
        <v>0</v>
      </c>
      <c r="M140">
        <f>M137*-10.70125</f>
        <v>0</v>
      </c>
      <c r="N140">
        <f>E140+F140+G140+H140+I140+J140+K140+L140</f>
        <v>0</v>
      </c>
      <c r="O140">
        <f>E140+F140+G140+H140+I140+J140+K140+M140</f>
        <v>0</v>
      </c>
    </row>
    <row r="141" spans="3:15">
      <c r="C141">
        <f>2.0</f>
        <v>0</v>
      </c>
      <c r="D141">
        <f>2.0</f>
        <v>0</v>
      </c>
      <c r="E141">
        <f>E137*11.292549999999999</f>
        <v>0</v>
      </c>
      <c r="F141">
        <f>F137*137.9229</f>
        <v>0</v>
      </c>
      <c r="G141">
        <f>G137*19.86055</f>
        <v>0</v>
      </c>
      <c r="H141">
        <f>H137*0.0</f>
        <v>0</v>
      </c>
      <c r="I141">
        <f>I137*0.0037</f>
        <v>0</v>
      </c>
      <c r="J141">
        <f>J137*-169.19279999999998</f>
        <v>0</v>
      </c>
      <c r="K141">
        <f>K137*126.8946</f>
        <v>0</v>
      </c>
      <c r="L141">
        <f>L137*199.3431</f>
        <v>0</v>
      </c>
      <c r="M141">
        <f>M137*-5.964700000000001</f>
        <v>0</v>
      </c>
      <c r="N141">
        <f>E141+F141+G141+H141+I141+J141+K141+L141</f>
        <v>0</v>
      </c>
      <c r="O141">
        <f>E141+F141+G141+H141+I141+J141+K141+M141</f>
        <v>0</v>
      </c>
    </row>
    <row r="142" spans="3:15">
      <c r="C142">
        <f>3.0</f>
        <v>0</v>
      </c>
      <c r="D142">
        <f>3.0</f>
        <v>0</v>
      </c>
      <c r="E142">
        <f>E137*18.0311</f>
        <v>0</v>
      </c>
      <c r="F142">
        <f>F137*205.44675</f>
        <v>0</v>
      </c>
      <c r="G142">
        <f>G137*29.53235</f>
        <v>0</v>
      </c>
      <c r="H142">
        <f>H137*0.0</f>
        <v>0</v>
      </c>
      <c r="I142">
        <f>I137*0.0034000000000000002</f>
        <v>0</v>
      </c>
      <c r="J142">
        <f>J137*-115.5107</f>
        <v>0</v>
      </c>
      <c r="K142">
        <f>K137*86.63305</f>
        <v>0</v>
      </c>
      <c r="L142">
        <f>L137*292.1284</f>
        <v>0</v>
      </c>
      <c r="M142">
        <f>M137*-4.503</f>
        <v>0</v>
      </c>
      <c r="N142">
        <f>E142+F142+G142+H142+I142+J142+K142+L142</f>
        <v>0</v>
      </c>
      <c r="O142">
        <f>E142+F142+G142+H142+I142+J142+K142+M142</f>
        <v>0</v>
      </c>
    </row>
    <row r="143" spans="3:15">
      <c r="C143">
        <f>4.0</f>
        <v>0</v>
      </c>
      <c r="D143">
        <f>4.0</f>
        <v>0</v>
      </c>
      <c r="E143">
        <f>E137*25.19195</f>
        <v>0</v>
      </c>
      <c r="F143">
        <f>F137*262.9473</f>
        <v>0</v>
      </c>
      <c r="G143">
        <f>G137*37.6344</f>
        <v>0</v>
      </c>
      <c r="H143">
        <f>H137*0.0</f>
        <v>0</v>
      </c>
      <c r="I143">
        <f>I137*0.00285</f>
        <v>0</v>
      </c>
      <c r="J143">
        <f>J137*-59.07</f>
        <v>0</v>
      </c>
      <c r="K143">
        <f>K137*44.3025</f>
        <v>0</v>
      </c>
      <c r="L143">
        <f>L137*368.37415</f>
        <v>0</v>
      </c>
      <c r="M143">
        <f>M137*-5.3154</f>
        <v>0</v>
      </c>
      <c r="N143">
        <f>E143+F143+G143+H143+I143+J143+K143+L143</f>
        <v>0</v>
      </c>
      <c r="O143">
        <f>E143+F143+G143+H143+I143+J143+K143+M143</f>
        <v>0</v>
      </c>
    </row>
    <row r="144" spans="3:15">
      <c r="C144">
        <f>5.0</f>
        <v>0</v>
      </c>
      <c r="D144">
        <f>5.0</f>
        <v>0</v>
      </c>
      <c r="E144">
        <f>E137*40.3717</f>
        <v>0</v>
      </c>
      <c r="F144">
        <f>F137*303.9367</f>
        <v>0</v>
      </c>
      <c r="G144">
        <f>G137*42.81125</f>
        <v>0</v>
      </c>
      <c r="H144">
        <f>H137*0.0</f>
        <v>0</v>
      </c>
      <c r="I144">
        <f>I137*0.00505</f>
        <v>0</v>
      </c>
      <c r="J144">
        <f>J137*139.62205</f>
        <v>0</v>
      </c>
      <c r="K144">
        <f>K137*-104.71655</f>
        <v>0</v>
      </c>
      <c r="L144">
        <f>L137*408.79035</f>
        <v>0</v>
      </c>
      <c r="M144">
        <f>M137*-6.5802</f>
        <v>0</v>
      </c>
      <c r="N144">
        <f>E144+F144+G144+H144+I144+J144+K144+L144</f>
        <v>0</v>
      </c>
      <c r="O144">
        <f>E144+F144+G144+H144+I144+J144+K144+M144</f>
        <v>0</v>
      </c>
    </row>
    <row r="145" spans="3:15">
      <c r="C145">
        <f>6.0</f>
        <v>0</v>
      </c>
      <c r="D145">
        <f>6.0</f>
        <v>0</v>
      </c>
      <c r="E145">
        <f>E137*33.56145</f>
        <v>0</v>
      </c>
      <c r="F145">
        <f>F137*349.6421</f>
        <v>0</v>
      </c>
      <c r="G145">
        <f>G137*50.0141</f>
        <v>0</v>
      </c>
      <c r="H145">
        <f>H137*0.0</f>
        <v>0</v>
      </c>
      <c r="I145">
        <f>I137*0.0058985</f>
        <v>0</v>
      </c>
      <c r="J145">
        <f>J137*-38.244699999999995</f>
        <v>0</v>
      </c>
      <c r="K145">
        <f>K137*28.6835</f>
        <v>0</v>
      </c>
      <c r="L145">
        <f>L137*485.66695000000004</f>
        <v>0</v>
      </c>
      <c r="M145">
        <f>M137*-8.0345</f>
        <v>0</v>
      </c>
      <c r="N145">
        <f>E145+F145+G145+H145+I145+J145+K145+L145</f>
        <v>0</v>
      </c>
      <c r="O145">
        <f>E145+F145+G145+H145+I145+J145+K145+M145</f>
        <v>0</v>
      </c>
    </row>
    <row r="146" spans="3:15">
      <c r="C146">
        <f>7.0</f>
        <v>0</v>
      </c>
      <c r="D146">
        <f>7.0</f>
        <v>0</v>
      </c>
      <c r="E146">
        <f>E137*34.52705</f>
        <v>0</v>
      </c>
      <c r="F146">
        <f>F137*379.6064</f>
        <v>0</v>
      </c>
      <c r="G146">
        <f>G137*54.435</f>
        <v>0</v>
      </c>
      <c r="H146">
        <f>H137*0.0</f>
        <v>0</v>
      </c>
      <c r="I146">
        <f>I137*0.0057965</f>
        <v>0</v>
      </c>
      <c r="J146">
        <f>J137*-58.49395</f>
        <v>0</v>
      </c>
      <c r="K146">
        <f>K137*43.87045</f>
        <v>0</v>
      </c>
      <c r="L146">
        <f>L137*526.75885</f>
        <v>0</v>
      </c>
      <c r="M146">
        <f>M137*-9.281649999999999</f>
        <v>0</v>
      </c>
      <c r="N146">
        <f>E146+F146+G146+H146+I146+J146+K146+L146</f>
        <v>0</v>
      </c>
      <c r="O146">
        <f>E146+F146+G146+H146+I146+J146+K146+M146</f>
        <v>0</v>
      </c>
    </row>
    <row r="147" spans="3:15">
      <c r="C147">
        <f>8.0</f>
        <v>0</v>
      </c>
      <c r="D147">
        <f>8.0</f>
        <v>0</v>
      </c>
      <c r="E147">
        <f>E137*36.34555</f>
        <v>0</v>
      </c>
      <c r="F147">
        <f>F137*399.98755</f>
        <v>0</v>
      </c>
      <c r="G147">
        <f>G137*57.3511</f>
        <v>0</v>
      </c>
      <c r="H147">
        <f>H137*0.0</f>
        <v>0</v>
      </c>
      <c r="I147">
        <f>I137*0.00659045</f>
        <v>0</v>
      </c>
      <c r="J147">
        <f>J137*-55.2427</f>
        <v>0</v>
      </c>
      <c r="K147">
        <f>K137*41.432</f>
        <v>0</v>
      </c>
      <c r="L147">
        <f>L137*553.5026499999999</f>
        <v>0</v>
      </c>
      <c r="M147">
        <f>M137*-10.5763</f>
        <v>0</v>
      </c>
      <c r="N147">
        <f>E147+F147+G147+H147+I147+J147+K147+L147</f>
        <v>0</v>
      </c>
      <c r="O147">
        <f>E147+F147+G147+H147+I147+J147+K147+M147</f>
        <v>0</v>
      </c>
    </row>
    <row r="148" spans="3:15">
      <c r="C148">
        <f>9.0</f>
        <v>0</v>
      </c>
      <c r="D148">
        <f>9.0</f>
        <v>0</v>
      </c>
      <c r="E148">
        <f>E137*39.31125</f>
        <v>0</v>
      </c>
      <c r="F148">
        <f>F137*410.91965</f>
        <v>0</v>
      </c>
      <c r="G148">
        <f>G137*58.7633</f>
        <v>0</v>
      </c>
      <c r="H148">
        <f>H137*0.0</f>
        <v>0</v>
      </c>
      <c r="I148">
        <f>I137*0.00620545</f>
        <v>0</v>
      </c>
      <c r="J148">
        <f>J137*-31.274900000000002</f>
        <v>0</v>
      </c>
      <c r="K148">
        <f>K137*23.45615</f>
        <v>0</v>
      </c>
      <c r="L148">
        <f>L137*565.12765</f>
        <v>0</v>
      </c>
      <c r="M148">
        <f>M137*-11.8291</f>
        <v>0</v>
      </c>
      <c r="N148">
        <f>E148+F148+G148+H148+I148+J148+K148+L148</f>
        <v>0</v>
      </c>
      <c r="O148">
        <f>E148+F148+G148+H148+I148+J148+K148+M148</f>
        <v>0</v>
      </c>
    </row>
    <row r="149" spans="3:15">
      <c r="C149">
        <f>10.0</f>
        <v>0</v>
      </c>
      <c r="D149">
        <f>10.0</f>
        <v>0</v>
      </c>
      <c r="E149">
        <f>E137*53.3022</f>
        <v>0</v>
      </c>
      <c r="F149">
        <f>F137*405.3297</f>
        <v>0</v>
      </c>
      <c r="G149">
        <f>G137*57.0599</f>
        <v>0</v>
      </c>
      <c r="H149">
        <f>H137*0.0</f>
        <v>0</v>
      </c>
      <c r="I149">
        <f>I137*0.0078000000000000005</f>
        <v>0</v>
      </c>
      <c r="J149">
        <f>J137*108.94825</f>
        <v>0</v>
      </c>
      <c r="K149">
        <f>K137*-81.71115</f>
        <v>0</v>
      </c>
      <c r="L149">
        <f>L137*536.4847</f>
        <v>0</v>
      </c>
      <c r="M149">
        <f>M137*-12.6633</f>
        <v>0</v>
      </c>
      <c r="N149">
        <f>E149+F149+G149+H149+I149+J149+K149+L149</f>
        <v>0</v>
      </c>
      <c r="O149">
        <f>E149+F149+G149+H149+I149+J149+K149+M149</f>
        <v>0</v>
      </c>
    </row>
    <row r="150" spans="3:15">
      <c r="C150">
        <f>11.0</f>
        <v>0</v>
      </c>
      <c r="D150">
        <f>11.0</f>
        <v>0</v>
      </c>
      <c r="E150">
        <f>E137*38.74515</f>
        <v>0</v>
      </c>
      <c r="F150">
        <f>F137*406.7785</f>
        <v>0</v>
      </c>
      <c r="G150">
        <f>G137*58.180350000000004</f>
        <v>0</v>
      </c>
      <c r="H150">
        <f>H137*0.0</f>
        <v>0</v>
      </c>
      <c r="I150">
        <f>I137*0.0084</f>
        <v>0</v>
      </c>
      <c r="J150">
        <f>J137*-29.60565</f>
        <v>0</v>
      </c>
      <c r="K150">
        <f>K137*22.2042</f>
        <v>0</v>
      </c>
      <c r="L150">
        <f>L137*559.8351</f>
        <v>0</v>
      </c>
      <c r="M150">
        <f>M137*-14.711</f>
        <v>0</v>
      </c>
      <c r="N150">
        <f>E150+F150+G150+H150+I150+J150+K150+L150</f>
        <v>0</v>
      </c>
      <c r="O150">
        <f>E150+F150+G150+H150+I150+J150+K150+M150</f>
        <v>0</v>
      </c>
    </row>
    <row r="151" spans="3:15">
      <c r="C151">
        <f>12.0</f>
        <v>0</v>
      </c>
      <c r="D151">
        <f>12.0</f>
        <v>0</v>
      </c>
      <c r="E151">
        <f>E137*35.1351</f>
        <v>0</v>
      </c>
      <c r="F151">
        <f>F137*391.38955</f>
        <v>0</v>
      </c>
      <c r="G151">
        <f>G137*56.1463</f>
        <v>0</v>
      </c>
      <c r="H151">
        <f>H137*0.0</f>
        <v>0</v>
      </c>
      <c r="I151">
        <f>I137*0.00745</f>
        <v>0</v>
      </c>
      <c r="J151">
        <f>J137*-51.07535</f>
        <v>0</v>
      </c>
      <c r="K151">
        <f>K137*38.3065</f>
        <v>0</v>
      </c>
      <c r="L151">
        <f>L137*542.7138</f>
        <v>0</v>
      </c>
      <c r="M151">
        <f>M137*-16.21125</f>
        <v>0</v>
      </c>
      <c r="N151">
        <f>E151+F151+G151+H151+I151+J151+K151+L151</f>
        <v>0</v>
      </c>
      <c r="O151">
        <f>E151+F151+G151+H151+I151+J151+K151+M151</f>
        <v>0</v>
      </c>
    </row>
    <row r="152" spans="3:15">
      <c r="C152">
        <f>13.0</f>
        <v>0</v>
      </c>
      <c r="D152">
        <f>13.0</f>
        <v>0</v>
      </c>
      <c r="E152">
        <f>E137*32.712199999999996</f>
        <v>0</v>
      </c>
      <c r="F152">
        <f>F137*366.64750000000004</f>
        <v>0</v>
      </c>
      <c r="G152">
        <f>G137*52.619749999999996</f>
        <v>0</v>
      </c>
      <c r="H152">
        <f>H137*0.0</f>
        <v>0</v>
      </c>
      <c r="I152">
        <f>I137*0.0078000000000000005</f>
        <v>0</v>
      </c>
      <c r="J152">
        <f>J137*-52.391149999999996</f>
        <v>0</v>
      </c>
      <c r="K152">
        <f>K137*39.293350000000004</f>
        <v>0</v>
      </c>
      <c r="L152">
        <f>L137*510.58435</f>
        <v>0</v>
      </c>
      <c r="M152">
        <f>M137*-17.52825</f>
        <v>0</v>
      </c>
      <c r="N152">
        <f>E152+F152+G152+H152+I152+J152+K152+L152</f>
        <v>0</v>
      </c>
      <c r="O152">
        <f>E152+F152+G152+H152+I152+J152+K152+M152</f>
        <v>0</v>
      </c>
    </row>
    <row r="153" spans="3:15">
      <c r="C153">
        <f>14.0</f>
        <v>0</v>
      </c>
      <c r="D153">
        <f>14.0</f>
        <v>0</v>
      </c>
      <c r="E153">
        <f>E137*31.3566</f>
        <v>0</v>
      </c>
      <c r="F153">
        <f>F137*332.98465</f>
        <v>0</v>
      </c>
      <c r="G153">
        <f>G137*47.668400000000005</f>
        <v>0</v>
      </c>
      <c r="H153">
        <f>H137*0.0</f>
        <v>0</v>
      </c>
      <c r="I153">
        <f>I137*0.0057756</f>
        <v>0</v>
      </c>
      <c r="J153">
        <f>J137*-33.07445</f>
        <v>0</v>
      </c>
      <c r="K153">
        <f>K137*24.805799999999998</f>
        <v>0</v>
      </c>
      <c r="L153">
        <f>L137*464.1241</f>
        <v>0</v>
      </c>
      <c r="M153">
        <f>M137*-18.617800000000003</f>
        <v>0</v>
      </c>
      <c r="N153">
        <f>E153+F153+G153+H153+I153+J153+K153+L153</f>
        <v>0</v>
      </c>
      <c r="O153">
        <f>E153+F153+G153+H153+I153+J153+K153+M153</f>
        <v>0</v>
      </c>
    </row>
    <row r="154" spans="3:15">
      <c r="C154">
        <f>15.0</f>
        <v>0</v>
      </c>
      <c r="D154">
        <f>15.0</f>
        <v>0</v>
      </c>
      <c r="E154">
        <f>E137*39.9951</f>
        <v>0</v>
      </c>
      <c r="F154">
        <f>F137*291.02549999999997</f>
        <v>0</v>
      </c>
      <c r="G154">
        <f>G137*40.826049999999995</f>
        <v>0</v>
      </c>
      <c r="H154">
        <f>H137*0.0</f>
        <v>0</v>
      </c>
      <c r="I154">
        <f>I137*-0.00067665</f>
        <v>0</v>
      </c>
      <c r="J154">
        <f>J137*115.44069999999999</f>
        <v>0</v>
      </c>
      <c r="K154">
        <f>K137*-86.58055</f>
        <v>0</v>
      </c>
      <c r="L154">
        <f>L137*383.73245</f>
        <v>0</v>
      </c>
      <c r="M154">
        <f>M137*-16.8432</f>
        <v>0</v>
      </c>
      <c r="N154">
        <f>E154+F154+G154+H154+I154+J154+K154+L154</f>
        <v>0</v>
      </c>
      <c r="O154">
        <f>E154+F154+G154+H154+I154+J154+K154+M154</f>
        <v>0</v>
      </c>
    </row>
    <row r="155" spans="3:15">
      <c r="C155">
        <f>15.91</f>
        <v>0</v>
      </c>
      <c r="D155">
        <f>15.91</f>
        <v>0</v>
      </c>
      <c r="E155">
        <f>E137*22.70245</f>
        <v>0</v>
      </c>
      <c r="F155">
        <f>F137*242.40115</f>
        <v>0</v>
      </c>
      <c r="G155">
        <f>G137*34.74615</f>
        <v>0</v>
      </c>
      <c r="H155">
        <f>H137*0.0</f>
        <v>0</v>
      </c>
      <c r="I155">
        <f>I137*0.01</f>
        <v>0</v>
      </c>
      <c r="J155">
        <f>J137*-41.08585</f>
        <v>0</v>
      </c>
      <c r="K155">
        <f>K137*30.8144</f>
        <v>0</v>
      </c>
      <c r="L155">
        <f>L137*340.6473</f>
        <v>0</v>
      </c>
      <c r="M155">
        <f>M137*-20.7069</f>
        <v>0</v>
      </c>
      <c r="N155">
        <f>E155+F155+G155+H155+I155+J155+K155+L155</f>
        <v>0</v>
      </c>
      <c r="O155">
        <f>E155+F155+G155+H155+I155+J155+K155+M155</f>
        <v>0</v>
      </c>
    </row>
    <row r="156" spans="3:15">
      <c r="C156">
        <f>16.82</f>
        <v>0</v>
      </c>
      <c r="D156">
        <f>16.82</f>
        <v>0</v>
      </c>
      <c r="E156">
        <f>E137*14.8665</f>
        <v>0</v>
      </c>
      <c r="F156">
        <f>F137*185.5116</f>
        <v>0</v>
      </c>
      <c r="G156">
        <f>G137*26.82545</f>
        <v>0</v>
      </c>
      <c r="H156">
        <f>H137*0.0</f>
        <v>0</v>
      </c>
      <c r="I156">
        <f>I137*0.014350000000000002</f>
        <v>0</v>
      </c>
      <c r="J156">
        <f>J137*-83.9019</f>
        <v>0</v>
      </c>
      <c r="K156">
        <f>K137*62.9264</f>
        <v>0</v>
      </c>
      <c r="L156">
        <f>L137*267.9004</f>
        <v>0</v>
      </c>
      <c r="M156">
        <f>M137*-22.595149999999997</f>
        <v>0</v>
      </c>
      <c r="N156">
        <f>E156+F156+G156+H156+I156+J156+K156+L156</f>
        <v>0</v>
      </c>
      <c r="O156">
        <f>E156+F156+G156+H156+I156+J156+K156+M156</f>
        <v>0</v>
      </c>
    </row>
    <row r="157" spans="3:15">
      <c r="C157">
        <f>17.73</f>
        <v>0</v>
      </c>
      <c r="D157">
        <f>17.73</f>
        <v>0</v>
      </c>
      <c r="E157">
        <f>E137*8.35055</f>
        <v>0</v>
      </c>
      <c r="F157">
        <f>F137*122.45515</f>
        <v>0</v>
      </c>
      <c r="G157">
        <f>G137*17.8736</f>
        <v>0</v>
      </c>
      <c r="H157">
        <f>H137*0.0</f>
        <v>0</v>
      </c>
      <c r="I157">
        <f>I137*0.01975</f>
        <v>0</v>
      </c>
      <c r="J157">
        <f>J137*-105.42675</f>
        <v>0</v>
      </c>
      <c r="K157">
        <f>K137*79.07005000000001</f>
        <v>0</v>
      </c>
      <c r="L157">
        <f>L137*182.14180000000002</f>
        <v>0</v>
      </c>
      <c r="M157">
        <f>M137*-21.7691</f>
        <v>0</v>
      </c>
      <c r="N157">
        <f>E157+F157+G157+H157+I157+J157+K157+L157</f>
        <v>0</v>
      </c>
      <c r="O157">
        <f>E157+F157+G157+H157+I157+J157+K157+M157</f>
        <v>0</v>
      </c>
    </row>
    <row r="158" spans="3:15">
      <c r="C158">
        <f>18.64</f>
        <v>0</v>
      </c>
      <c r="D158">
        <f>18.64</f>
        <v>0</v>
      </c>
      <c r="E158">
        <f>E137*2.8981000000000003</f>
        <v>0</v>
      </c>
      <c r="F158">
        <f>F137*57.9339</f>
        <v>0</v>
      </c>
      <c r="G158">
        <f>G137*8.5833</f>
        <v>0</v>
      </c>
      <c r="H158">
        <f>H137*0.0</f>
        <v>0</v>
      </c>
      <c r="I158">
        <f>I137*0.0178</f>
        <v>0</v>
      </c>
      <c r="J158">
        <f>J137*-101.58494999999999</f>
        <v>0</v>
      </c>
      <c r="K158">
        <f>K137*76.1887</f>
        <v>0</v>
      </c>
      <c r="L158">
        <f>L137*92.7721</f>
        <v>0</v>
      </c>
      <c r="M158">
        <f>M137*-18.3615</f>
        <v>0</v>
      </c>
      <c r="N158">
        <f>E158+F158+G158+H158+I158+J158+K158+L158</f>
        <v>0</v>
      </c>
      <c r="O158">
        <f>E158+F158+G158+H158+I158+J158+K158+M158</f>
        <v>0</v>
      </c>
    </row>
    <row r="159" spans="3:15">
      <c r="C159">
        <f>19.55</f>
        <v>0</v>
      </c>
      <c r="D159">
        <f>19.55</f>
        <v>0</v>
      </c>
      <c r="E159">
        <f>E137*4.3587</f>
        <v>0</v>
      </c>
      <c r="F159">
        <f>F137*21.972700000000003</f>
        <v>0</v>
      </c>
      <c r="G159">
        <f>G137*2.91195</f>
        <v>0</v>
      </c>
      <c r="H159">
        <f>H137*0.0</f>
        <v>0</v>
      </c>
      <c r="I159">
        <f>I137*-0.01255</f>
        <v>0</v>
      </c>
      <c r="J159">
        <f>J137*83.74435</f>
        <v>0</v>
      </c>
      <c r="K159">
        <f>K137*-62.8083</f>
        <v>0</v>
      </c>
      <c r="L159">
        <f>L137*32.545500000000004</f>
        <v>0</v>
      </c>
      <c r="M159">
        <f>M137*-13.8552</f>
        <v>0</v>
      </c>
      <c r="N159">
        <f>E159+F159+G159+H159+I159+J159+K159+L159</f>
        <v>0</v>
      </c>
      <c r="O159">
        <f>E159+F159+G159+H159+I159+J159+K159+M159</f>
        <v>0</v>
      </c>
    </row>
    <row r="160" spans="3:15">
      <c r="C160">
        <f>20.0</f>
        <v>0</v>
      </c>
      <c r="D160">
        <f>20.0</f>
        <v>0</v>
      </c>
      <c r="E160">
        <f>E137*0.525</f>
        <v>0</v>
      </c>
      <c r="F160">
        <f>F137*4.0639</f>
        <v>0</v>
      </c>
      <c r="G160">
        <f>G137*0.5358</f>
        <v>0</v>
      </c>
      <c r="H160">
        <f>H137*0.0</f>
        <v>0</v>
      </c>
      <c r="I160">
        <f>I137*0.0011</f>
        <v>0</v>
      </c>
      <c r="J160">
        <f>J137*22.5076</f>
        <v>0</v>
      </c>
      <c r="K160">
        <f>K137*-16.8807</f>
        <v>0</v>
      </c>
      <c r="L160">
        <f>L137*5.3798</f>
        <v>0</v>
      </c>
      <c r="M160">
        <f>M137*-2.3648</f>
        <v>0</v>
      </c>
      <c r="N160">
        <f>E160+F160+G160+H160+I160+J160+K160+L160</f>
        <v>0</v>
      </c>
      <c r="O160">
        <f>E160+F160+G160+H160+I160+J160+K160+M160</f>
        <v>0</v>
      </c>
    </row>
    <row r="161" spans="3:15">
      <c r="C161">
        <f>20.0</f>
        <v>0</v>
      </c>
      <c r="D161">
        <f>0.0</f>
        <v>0</v>
      </c>
      <c r="E161">
        <f>E137*0.4527</f>
        <v>0</v>
      </c>
      <c r="F161">
        <f>F137*4.5233</f>
        <v>0</v>
      </c>
      <c r="G161">
        <f>G137*0.6062</f>
        <v>0</v>
      </c>
      <c r="H161">
        <f>H137*0.0</f>
        <v>0</v>
      </c>
      <c r="I161">
        <f>I137*-0.0791</f>
        <v>0</v>
      </c>
      <c r="J161">
        <f>J137*23.6499</f>
        <v>0</v>
      </c>
      <c r="K161">
        <f>K137*-17.7374</f>
        <v>0</v>
      </c>
      <c r="L161">
        <f>L137*7.8413</f>
        <v>0</v>
      </c>
      <c r="M161">
        <f>M137*-4.3265</f>
        <v>0</v>
      </c>
      <c r="N161">
        <f>E161+F161+G161+H161+I161+J161+K161+L161</f>
        <v>0</v>
      </c>
      <c r="O161">
        <f>E161+F161+G161+H161+I161+J161+K161+M161</f>
        <v>0</v>
      </c>
    </row>
    <row r="162" spans="3:15">
      <c r="C162">
        <f>20.45</f>
        <v>0</v>
      </c>
      <c r="D162">
        <f>0.45</f>
        <v>0</v>
      </c>
      <c r="E162">
        <f>E137*4.1514</f>
        <v>0</v>
      </c>
      <c r="F162">
        <f>F137*22.5822</f>
        <v>0</v>
      </c>
      <c r="G162">
        <f>G137*3.0105500000000003</f>
        <v>0</v>
      </c>
      <c r="H162">
        <f>H137*0.0</f>
        <v>0</v>
      </c>
      <c r="I162">
        <f>I137*0.05784999999999999</f>
        <v>0</v>
      </c>
      <c r="J162">
        <f>J137*86.4447</f>
        <v>0</v>
      </c>
      <c r="K162">
        <f>K137*-64.8335</f>
        <v>0</v>
      </c>
      <c r="L162">
        <f>L137*28.5617</f>
        <v>0</v>
      </c>
      <c r="M162">
        <f>M137*-7.421200000000001</f>
        <v>0</v>
      </c>
      <c r="N162">
        <f>E162+F162+G162+H162+I162+J162+K162+L162</f>
        <v>0</v>
      </c>
      <c r="O162">
        <f>E162+F162+G162+H162+I162+J162+K162+M162</f>
        <v>0</v>
      </c>
    </row>
    <row r="163" spans="3:15">
      <c r="C163">
        <f>21.36</f>
        <v>0</v>
      </c>
      <c r="D163">
        <f>1.36</f>
        <v>0</v>
      </c>
      <c r="E163">
        <f>E137*2.7623</f>
        <v>0</v>
      </c>
      <c r="F163">
        <f>F137*56.6709</f>
        <v>0</v>
      </c>
      <c r="G163">
        <f>G137*8.398200000000001</f>
        <v>0</v>
      </c>
      <c r="H163">
        <f>H137*0.0</f>
        <v>0</v>
      </c>
      <c r="I163">
        <f>I137*-0.0455</f>
        <v>0</v>
      </c>
      <c r="J163">
        <f>J137*-101.93535</f>
        <v>0</v>
      </c>
      <c r="K163">
        <f>K137*76.4515</f>
        <v>0</v>
      </c>
      <c r="L163">
        <f>L137*92.78135</f>
        <v>0</v>
      </c>
      <c r="M163">
        <f>M137*-10.76425</f>
        <v>0</v>
      </c>
      <c r="N163">
        <f>E163+F163+G163+H163+I163+J163+K163+L163</f>
        <v>0</v>
      </c>
      <c r="O163">
        <f>E163+F163+G163+H163+I163+J163+K163+M163</f>
        <v>0</v>
      </c>
    </row>
    <row r="164" spans="3:15">
      <c r="C164">
        <f>22.27</f>
        <v>0</v>
      </c>
      <c r="D164">
        <f>2.27</f>
        <v>0</v>
      </c>
      <c r="E164">
        <f>E137*8.1129</f>
        <v>0</v>
      </c>
      <c r="F164">
        <f>F137*118.67465</f>
        <v>0</v>
      </c>
      <c r="G164">
        <f>G137*17.32185</f>
        <v>0</v>
      </c>
      <c r="H164">
        <f>H137*0.0</f>
        <v>0</v>
      </c>
      <c r="I164">
        <f>I137*-0.006099999999999994</f>
        <v>0</v>
      </c>
      <c r="J164">
        <f>J137*-107.09700000000001</f>
        <v>0</v>
      </c>
      <c r="K164">
        <f>K137*80.3227</f>
        <v>0</v>
      </c>
      <c r="L164">
        <f>L137*179.54514999999998</f>
        <v>0</v>
      </c>
      <c r="M164">
        <f>M137*-9.82175</f>
        <v>0</v>
      </c>
      <c r="N164">
        <f>E164+F164+G164+H164+I164+J164+K164+L164</f>
        <v>0</v>
      </c>
      <c r="O164">
        <f>E164+F164+G164+H164+I164+J164+K164+M164</f>
        <v>0</v>
      </c>
    </row>
    <row r="165" spans="3:15">
      <c r="C165">
        <f>23.18</f>
        <v>0</v>
      </c>
      <c r="D165">
        <f>3.18</f>
        <v>0</v>
      </c>
      <c r="E165">
        <f>E137*14.42445</f>
        <v>0</v>
      </c>
      <c r="F165">
        <f>F137*179.63555</f>
        <v>0</v>
      </c>
      <c r="G165">
        <f>G137*25.973950000000002</f>
        <v>0</v>
      </c>
      <c r="H165">
        <f>H137*0.0</f>
        <v>0</v>
      </c>
      <c r="I165">
        <f>I137*0.10095000000000001</f>
        <v>0</v>
      </c>
      <c r="J165">
        <f>J137*-85.4425</f>
        <v>0</v>
      </c>
      <c r="K165">
        <f>K137*64.08185</f>
        <v>0</v>
      </c>
      <c r="L165">
        <f>L137*262.5725</f>
        <v>0</v>
      </c>
      <c r="M165">
        <f>M137*-6.4136500000000005</f>
        <v>0</v>
      </c>
      <c r="N165">
        <f>E165+F165+G165+H165+I165+J165+K165+L165</f>
        <v>0</v>
      </c>
      <c r="O165">
        <f>E165+F165+G165+H165+I165+J165+K165+M165</f>
        <v>0</v>
      </c>
    </row>
    <row r="166" spans="3:15">
      <c r="C166">
        <f>24.09</f>
        <v>0</v>
      </c>
      <c r="D166">
        <f>4.09</f>
        <v>0</v>
      </c>
      <c r="E166">
        <f>E137*22.00645</f>
        <v>0</v>
      </c>
      <c r="F166">
        <f>F137*234.6947</f>
        <v>0</v>
      </c>
      <c r="G166">
        <f>G137*33.63605</f>
        <v>0</v>
      </c>
      <c r="H166">
        <f>H137*0.0</f>
        <v>0</v>
      </c>
      <c r="I166">
        <f>I137*0.12304999999999999</f>
        <v>0</v>
      </c>
      <c r="J166">
        <f>J137*-41.7658</f>
        <v>0</v>
      </c>
      <c r="K166">
        <f>K137*31.324350000000003</f>
        <v>0</v>
      </c>
      <c r="L166">
        <f>L137*332.8718</f>
        <v>0</v>
      </c>
      <c r="M166">
        <f>M137*-5.04105</f>
        <v>0</v>
      </c>
      <c r="N166">
        <f>E166+F166+G166+H166+I166+J166+K166+L166</f>
        <v>0</v>
      </c>
      <c r="O166">
        <f>E166+F166+G166+H166+I166+J166+K166+M166</f>
        <v>0</v>
      </c>
    </row>
    <row r="167" spans="3:15">
      <c r="C167">
        <f>25.0</f>
        <v>0</v>
      </c>
      <c r="D167">
        <f>5.0</f>
        <v>0</v>
      </c>
      <c r="E167">
        <f>E137*38.91785</f>
        <v>0</v>
      </c>
      <c r="F167">
        <f>F137*282.3186</f>
        <v>0</v>
      </c>
      <c r="G167">
        <f>G137*39.585049999999995</f>
        <v>0</v>
      </c>
      <c r="H167">
        <f>H137*0.0</f>
        <v>0</v>
      </c>
      <c r="I167">
        <f>I137*0.04025000000000001</f>
        <v>0</v>
      </c>
      <c r="J167">
        <f>J137*117.62505</f>
        <v>0</v>
      </c>
      <c r="K167">
        <f>K137*-88.21879999999999</f>
        <v>0</v>
      </c>
      <c r="L167">
        <f>L137*374.6798</f>
        <v>0</v>
      </c>
      <c r="M167">
        <f>M137*-6.03755</f>
        <v>0</v>
      </c>
      <c r="N167">
        <f>E167+F167+G167+H167+I167+J167+K167+L167</f>
        <v>0</v>
      </c>
      <c r="O167">
        <f>E167+F167+G167+H167+I167+J167+K167+M167</f>
        <v>0</v>
      </c>
    </row>
    <row r="168" spans="3:15">
      <c r="C168">
        <f>26.0</f>
        <v>0</v>
      </c>
      <c r="D168">
        <f>6.0</f>
        <v>0</v>
      </c>
      <c r="E168">
        <f>E137*30.20505</f>
        <v>0</v>
      </c>
      <c r="F168">
        <f>F137*321.4578</f>
        <v>0</v>
      </c>
      <c r="G168">
        <f>G137*46.01405</f>
        <v>0</v>
      </c>
      <c r="H168">
        <f>H137*0.0</f>
        <v>0</v>
      </c>
      <c r="I168">
        <f>I137*0.36585</f>
        <v>0</v>
      </c>
      <c r="J168">
        <f>J137*-32.87105</f>
        <v>0</v>
      </c>
      <c r="K168">
        <f>K137*24.6533</f>
        <v>0</v>
      </c>
      <c r="L168">
        <f>L137*450.75985000000003</f>
        <v>0</v>
      </c>
      <c r="M168">
        <f>M137*-7.3313500000000005</f>
        <v>0</v>
      </c>
      <c r="N168">
        <f>E168+F168+G168+H168+I168+J168+K168+L168</f>
        <v>0</v>
      </c>
      <c r="O168">
        <f>E168+F168+G168+H168+I168+J168+K168+M168</f>
        <v>0</v>
      </c>
    </row>
    <row r="169" spans="3:15">
      <c r="C169">
        <f>27.0</f>
        <v>0</v>
      </c>
      <c r="D169">
        <f>7.0</f>
        <v>0</v>
      </c>
      <c r="E169">
        <f>E137*31.3157</f>
        <v>0</v>
      </c>
      <c r="F169">
        <f>F137*353.1134</f>
        <v>0</v>
      </c>
      <c r="G169">
        <f>G137*50.680350000000004</f>
        <v>0</v>
      </c>
      <c r="H169">
        <f>H137*0.0</f>
        <v>0</v>
      </c>
      <c r="I169">
        <f>I137*0.4094</f>
        <v>0</v>
      </c>
      <c r="J169">
        <f>J137*-51.61785</f>
        <v>0</v>
      </c>
      <c r="K169">
        <f>K137*38.71335</f>
        <v>0</v>
      </c>
      <c r="L169">
        <f>L137*494.15515</f>
        <v>0</v>
      </c>
      <c r="M169">
        <f>M137*-8.6156</f>
        <v>0</v>
      </c>
      <c r="N169">
        <f>E169+F169+G169+H169+I169+J169+K169+L169</f>
        <v>0</v>
      </c>
      <c r="O169">
        <f>E169+F169+G169+H169+I169+J169+K169+M169</f>
        <v>0</v>
      </c>
    </row>
    <row r="170" spans="3:15">
      <c r="C170">
        <f>28.0</f>
        <v>0</v>
      </c>
      <c r="D170">
        <f>8.0</f>
        <v>0</v>
      </c>
      <c r="E170">
        <f>E137*33.47155</f>
        <v>0</v>
      </c>
      <c r="F170">
        <f>F137*375.9111</f>
        <v>0</v>
      </c>
      <c r="G170">
        <f>G137*53.932249999999996</f>
        <v>0</v>
      </c>
      <c r="H170">
        <f>H137*0.0</f>
        <v>0</v>
      </c>
      <c r="I170">
        <f>I137*0.44735</f>
        <v>0</v>
      </c>
      <c r="J170">
        <f>J137*-49.4613</f>
        <v>0</v>
      </c>
      <c r="K170">
        <f>K137*37.096</f>
        <v>0</v>
      </c>
      <c r="L170">
        <f>L137*523.5122</f>
        <v>0</v>
      </c>
      <c r="M170">
        <f>M137*-9.9128</f>
        <v>0</v>
      </c>
      <c r="N170">
        <f>E170+F170+G170+H170+I170+J170+K170+L170</f>
        <v>0</v>
      </c>
      <c r="O170">
        <f>E170+F170+G170+H170+I170+J170+K170+M170</f>
        <v>0</v>
      </c>
    </row>
    <row r="171" spans="3:15">
      <c r="C171">
        <f>29.0</f>
        <v>0</v>
      </c>
      <c r="D171">
        <f>9.0</f>
        <v>0</v>
      </c>
      <c r="E171">
        <f>E137*36.82915</f>
        <v>0</v>
      </c>
      <c r="F171">
        <f>F137*389.30665</f>
        <v>0</v>
      </c>
      <c r="G171">
        <f>G137*55.6831</f>
        <v>0</v>
      </c>
      <c r="H171">
        <f>H137*0.0</f>
        <v>0</v>
      </c>
      <c r="I171">
        <f>I137*0.37129999999999996</f>
        <v>0</v>
      </c>
      <c r="J171">
        <f>J137*-27.459449999999997</f>
        <v>0</v>
      </c>
      <c r="K171">
        <f>K137*20.594549999999998</f>
        <v>0</v>
      </c>
      <c r="L171">
        <f>L137*537.8633500000001</f>
        <v>0</v>
      </c>
      <c r="M171">
        <f>M137*-11.23205</f>
        <v>0</v>
      </c>
      <c r="N171">
        <f>E171+F171+G171+H171+I171+J171+K171+L171</f>
        <v>0</v>
      </c>
      <c r="O171">
        <f>E171+F171+G171+H171+I171+J171+K171+M171</f>
        <v>0</v>
      </c>
    </row>
    <row r="172" spans="3:15">
      <c r="C172">
        <f>30.0</f>
        <v>0</v>
      </c>
      <c r="D172">
        <f>10.0</f>
        <v>0</v>
      </c>
      <c r="E172">
        <f>E137*51.5404</f>
        <v>0</v>
      </c>
      <c r="F172">
        <f>F137*386.07105</f>
        <v>0</v>
      </c>
      <c r="G172">
        <f>G137*54.2757</f>
        <v>0</v>
      </c>
      <c r="H172">
        <f>H137*0.0</f>
        <v>0</v>
      </c>
      <c r="I172">
        <f>I137*0.45975</f>
        <v>0</v>
      </c>
      <c r="J172">
        <f>J137*106.05420000000001</f>
        <v>0</v>
      </c>
      <c r="K172">
        <f>K137*-79.54065</f>
        <v>0</v>
      </c>
      <c r="L172">
        <f>L137*511.12064999999996</f>
        <v>0</v>
      </c>
      <c r="M172">
        <f>M137*-12.29525</f>
        <v>0</v>
      </c>
      <c r="N172">
        <f>E172+F172+G172+H172+I172+J172+K172+L172</f>
        <v>0</v>
      </c>
      <c r="O172">
        <f>E172+F172+G172+H172+I172+J172+K172+M172</f>
        <v>0</v>
      </c>
    </row>
    <row r="173" spans="3:15">
      <c r="C173">
        <f>31.0</f>
        <v>0</v>
      </c>
      <c r="D173">
        <f>11.0</f>
        <v>0</v>
      </c>
      <c r="E173">
        <f>E137*36.818200000000004</f>
        <v>0</v>
      </c>
      <c r="F173">
        <f>F137*389.4597</f>
        <v>0</v>
      </c>
      <c r="G173">
        <f>G137*55.706</f>
        <v>0</v>
      </c>
      <c r="H173">
        <f>H137*0.0</f>
        <v>0</v>
      </c>
      <c r="I173">
        <f>I137*0.38565000000000005</f>
        <v>0</v>
      </c>
      <c r="J173">
        <f>J137*-27.21865</f>
        <v>0</v>
      </c>
      <c r="K173">
        <f>K137*20.414</f>
        <v>0</v>
      </c>
      <c r="L173">
        <f>L137*537.928</f>
        <v>0</v>
      </c>
      <c r="M173">
        <f>M137*-13.982199999999999</f>
        <v>0</v>
      </c>
      <c r="N173">
        <f>E173+F173+G173+H173+I173+J173+K173+L173</f>
        <v>0</v>
      </c>
      <c r="O173">
        <f>E173+F173+G173+H173+I173+J173+K173+M173</f>
        <v>0</v>
      </c>
    </row>
    <row r="174" spans="3:15">
      <c r="C174">
        <f>32.0</f>
        <v>0</v>
      </c>
      <c r="D174">
        <f>12.0</f>
        <v>0</v>
      </c>
      <c r="E174">
        <f>E137*33.453649999999996</f>
        <v>0</v>
      </c>
      <c r="F174">
        <f>F137*376.33169999999996</f>
        <v>0</v>
      </c>
      <c r="G174">
        <f>G137*53.994699999999995</f>
        <v>0</v>
      </c>
      <c r="H174">
        <f>H137*0.0</f>
        <v>0</v>
      </c>
      <c r="I174">
        <f>I137*0.10215000000000002</f>
        <v>0</v>
      </c>
      <c r="J174">
        <f>J137*-48.908699999999996</f>
        <v>0</v>
      </c>
      <c r="K174">
        <f>K137*36.68155</f>
        <v>0</v>
      </c>
      <c r="L174">
        <f>L137*523.713</f>
        <v>0</v>
      </c>
      <c r="M174">
        <f>M137*-15.42235</f>
        <v>0</v>
      </c>
      <c r="N174">
        <f>E174+F174+G174+H174+I174+J174+K174+L174</f>
        <v>0</v>
      </c>
      <c r="O174">
        <f>E174+F174+G174+H174+I174+J174+K174+M174</f>
        <v>0</v>
      </c>
    </row>
    <row r="175" spans="3:15">
      <c r="C175">
        <f>33.0</f>
        <v>0</v>
      </c>
      <c r="D175">
        <f>13.0</f>
        <v>0</v>
      </c>
      <c r="E175">
        <f>E137*31.294849999999997</f>
        <v>0</v>
      </c>
      <c r="F175">
        <f>F137*353.77004999999997</f>
        <v>0</v>
      </c>
      <c r="G175">
        <f>G137*50.7775</f>
        <v>0</v>
      </c>
      <c r="H175">
        <f>H137*0.0</f>
        <v>0</v>
      </c>
      <c r="I175">
        <f>I137*-0.18464999999999998</f>
        <v>0</v>
      </c>
      <c r="J175">
        <f>J137*-50.82005</f>
        <v>0</v>
      </c>
      <c r="K175">
        <f>K137*38.11505</f>
        <v>0</v>
      </c>
      <c r="L175">
        <f>L137*494.47785</f>
        <v>0</v>
      </c>
      <c r="M175">
        <f>M137*-16.83625</f>
        <v>0</v>
      </c>
      <c r="N175">
        <f>E175+F175+G175+H175+I175+J175+K175+L175</f>
        <v>0</v>
      </c>
      <c r="O175">
        <f>E175+F175+G175+H175+I175+J175+K175+M175</f>
        <v>0</v>
      </c>
    </row>
    <row r="176" spans="3:15">
      <c r="C176">
        <f>34.0</f>
        <v>0</v>
      </c>
      <c r="D176">
        <f>14.0</f>
        <v>0</v>
      </c>
      <c r="E176">
        <f>E137*30.18705</f>
        <v>0</v>
      </c>
      <c r="F176">
        <f>F137*322.0815</f>
        <v>0</v>
      </c>
      <c r="G176">
        <f>G137*46.1062</f>
        <v>0</v>
      </c>
      <c r="H176">
        <f>H137*0.0</f>
        <v>0</v>
      </c>
      <c r="I176">
        <f>I137*-0.03065000000000001</f>
        <v>0</v>
      </c>
      <c r="J176">
        <f>J137*-32.1367</f>
        <v>0</v>
      </c>
      <c r="K176">
        <f>K137*24.1025</f>
        <v>0</v>
      </c>
      <c r="L176">
        <f>L137*450.94715</f>
        <v>0</v>
      </c>
      <c r="M176">
        <f>M137*-18.0539</f>
        <v>0</v>
      </c>
      <c r="N176">
        <f>E176+F176+G176+H176+I176+J176+K176+L176</f>
        <v>0</v>
      </c>
      <c r="O176">
        <f>E176+F176+G176+H176+I176+J176+K176+M176</f>
        <v>0</v>
      </c>
    </row>
    <row r="177" spans="3:15">
      <c r="C177">
        <f>35.0</f>
        <v>0</v>
      </c>
      <c r="D177">
        <f>15.0</f>
        <v>0</v>
      </c>
      <c r="E177">
        <f>E137*38.875299999999996</f>
        <v>0</v>
      </c>
      <c r="F177">
        <f>F137*279.63545</f>
        <v>0</v>
      </c>
      <c r="G177">
        <f>G137*39.192750000000004</f>
        <v>0</v>
      </c>
      <c r="H177">
        <f>H137*0.0</f>
        <v>0</v>
      </c>
      <c r="I177">
        <f>I137*5.4707</f>
        <v>0</v>
      </c>
      <c r="J177">
        <f>J137*115.49154999999999</f>
        <v>0</v>
      </c>
      <c r="K177">
        <f>K137*-86.61865</f>
        <v>0</v>
      </c>
      <c r="L177">
        <f>L137*372.60465</f>
        <v>0</v>
      </c>
      <c r="M177">
        <f>M137*-16.8763</f>
        <v>0</v>
      </c>
      <c r="N177">
        <f>E177+F177+G177+H177+I177+J177+K177+L177</f>
        <v>0</v>
      </c>
      <c r="O177">
        <f>E177+F177+G177+H177+I177+J177+K177+M177</f>
        <v>0</v>
      </c>
    </row>
    <row r="178" spans="3:15">
      <c r="C178">
        <f>35.91</f>
        <v>0</v>
      </c>
      <c r="D178">
        <f>15.91</f>
        <v>0</v>
      </c>
      <c r="E178">
        <f>E137*22.012900000000002</f>
        <v>0</v>
      </c>
      <c r="F178">
        <f>F137*235.82229999999998</f>
        <v>0</v>
      </c>
      <c r="G178">
        <f>G137*33.80135</f>
        <v>0</v>
      </c>
      <c r="H178">
        <f>H137*0.0</f>
        <v>0</v>
      </c>
      <c r="I178">
        <f>I137*-1.9842</f>
        <v>0</v>
      </c>
      <c r="J178">
        <f>J137*-40.77205</f>
        <v>0</v>
      </c>
      <c r="K178">
        <f>K137*30.579050000000002</f>
        <v>0</v>
      </c>
      <c r="L178">
        <f>L137*333.1386</f>
        <v>0</v>
      </c>
      <c r="M178">
        <f>M137*-19.9039</f>
        <v>0</v>
      </c>
      <c r="N178">
        <f>E178+F178+G178+H178+I178+J178+K178+L178</f>
        <v>0</v>
      </c>
      <c r="O178">
        <f>E178+F178+G178+H178+I178+J178+K178+M178</f>
        <v>0</v>
      </c>
    </row>
    <row r="179" spans="3:15">
      <c r="C179">
        <f>36.82</f>
        <v>0</v>
      </c>
      <c r="D179">
        <f>16.82</f>
        <v>0</v>
      </c>
      <c r="E179">
        <f>E137*14.487749999999998</f>
        <v>0</v>
      </c>
      <c r="F179">
        <f>F137*181.90485</f>
        <v>0</v>
      </c>
      <c r="G179">
        <f>G137*26.304850000000002</f>
        <v>0</v>
      </c>
      <c r="H179">
        <f>H137*0.0</f>
        <v>0</v>
      </c>
      <c r="I179">
        <f>I137*-6.3522</f>
        <v>0</v>
      </c>
      <c r="J179">
        <f>J137*-83.869</f>
        <v>0</v>
      </c>
      <c r="K179">
        <f>K137*62.90175</f>
        <v>0</v>
      </c>
      <c r="L179">
        <f>L137*263.1044</f>
        <v>0</v>
      </c>
      <c r="M179">
        <f>M137*-20.8539</f>
        <v>0</v>
      </c>
      <c r="N179">
        <f>E179+F179+G179+H179+I179+J179+K179+L179</f>
        <v>0</v>
      </c>
      <c r="O179">
        <f>E179+F179+G179+H179+I179+J179+K179+M179</f>
        <v>0</v>
      </c>
    </row>
    <row r="180" spans="3:15">
      <c r="C180">
        <f>37.73</f>
        <v>0</v>
      </c>
      <c r="D180">
        <f>17.73</f>
        <v>0</v>
      </c>
      <c r="E180">
        <f>E137*8.26695</f>
        <v>0</v>
      </c>
      <c r="F180">
        <f>F137*121.62944999999999</f>
        <v>0</v>
      </c>
      <c r="G180">
        <f>G137*17.7501</f>
        <v>0</v>
      </c>
      <c r="H180">
        <f>H137*0.0</f>
        <v>0</v>
      </c>
      <c r="I180">
        <f>I137*-10.6975</f>
        <v>0</v>
      </c>
      <c r="J180">
        <f>J137*-105.67885</f>
        <v>0</v>
      </c>
      <c r="K180">
        <f>K137*79.25915</f>
        <v>0</v>
      </c>
      <c r="L180">
        <f>L137*179.88670000000002</f>
        <v>0</v>
      </c>
      <c r="M180">
        <f>M137*-19.4787</f>
        <v>0</v>
      </c>
      <c r="N180">
        <f>E180+F180+G180+H180+I180+J180+K180+L180</f>
        <v>0</v>
      </c>
      <c r="O180">
        <f>E180+F180+G180+H180+I180+J180+K180+M180</f>
        <v>0</v>
      </c>
    </row>
    <row r="181" spans="3:15">
      <c r="C181">
        <f>38.64</f>
        <v>0</v>
      </c>
      <c r="D181">
        <f>18.64</f>
        <v>0</v>
      </c>
      <c r="E181">
        <f>E137*3.0473999999999997</f>
        <v>0</v>
      </c>
      <c r="F181">
        <f>F137*59.31055</f>
        <v>0</v>
      </c>
      <c r="G181">
        <f>G137*8.775</f>
        <v>0</v>
      </c>
      <c r="H181">
        <f>H137*0.0</f>
        <v>0</v>
      </c>
      <c r="I181">
        <f>I137*-12.25825</f>
        <v>0</v>
      </c>
      <c r="J181">
        <f>J137*-102.00895</f>
        <v>0</v>
      </c>
      <c r="K181">
        <f>K137*76.5067</f>
        <v>0</v>
      </c>
      <c r="L181">
        <f>L137*92.28065000000001</f>
        <v>0</v>
      </c>
      <c r="M181">
        <f>M137*-15.84775</f>
        <v>0</v>
      </c>
      <c r="N181">
        <f>E181+F181+G181+H181+I181+J181+K181+L181</f>
        <v>0</v>
      </c>
      <c r="O181">
        <f>E181+F181+G181+H181+I181+J181+K181+M181</f>
        <v>0</v>
      </c>
    </row>
    <row r="182" spans="3:15">
      <c r="C182">
        <f>39.55</f>
        <v>0</v>
      </c>
      <c r="D182">
        <f>19.55</f>
        <v>0</v>
      </c>
      <c r="E182">
        <f>E137*3.9945500000000003</f>
        <v>0</v>
      </c>
      <c r="F182">
        <f>F137*18.28615</f>
        <v>0</v>
      </c>
      <c r="G182">
        <f>G137*2.38585</f>
        <v>0</v>
      </c>
      <c r="H182">
        <f>H137*0.0</f>
        <v>0</v>
      </c>
      <c r="I182">
        <f>I137*10.46255</f>
        <v>0</v>
      </c>
      <c r="J182">
        <f>J137*83.84129999999999</f>
        <v>0</v>
      </c>
      <c r="K182">
        <f>K137*-62.88095</f>
        <v>0</v>
      </c>
      <c r="L182">
        <f>L137*26.46745</f>
        <v>0</v>
      </c>
      <c r="M182">
        <f>M137*-9.031749999999999</f>
        <v>0</v>
      </c>
      <c r="N182">
        <f>E182+F182+G182+H182+I182+J182+K182+L182</f>
        <v>0</v>
      </c>
      <c r="O182">
        <f>E182+F182+G182+H182+I182+J182+K182+M182</f>
        <v>0</v>
      </c>
    </row>
    <row r="183" spans="3:15">
      <c r="C183">
        <f>40.0</f>
        <v>0</v>
      </c>
      <c r="D183">
        <f>20.0</f>
        <v>0</v>
      </c>
      <c r="E183">
        <f>E137*0.4107</f>
        <v>0</v>
      </c>
      <c r="F183">
        <f>F137*2.9196</f>
        <v>0</v>
      </c>
      <c r="G183">
        <f>G137*0.3725</f>
        <v>0</v>
      </c>
      <c r="H183">
        <f>H137*0.0</f>
        <v>0</v>
      </c>
      <c r="I183">
        <f>I137*2.7865</f>
        <v>0</v>
      </c>
      <c r="J183">
        <f>J137*22.5432</f>
        <v>0</v>
      </c>
      <c r="K183">
        <f>K137*-16.9074</f>
        <v>0</v>
      </c>
      <c r="L183">
        <f>L137*6.8973</f>
        <v>0</v>
      </c>
      <c r="M183">
        <f>M137*-4.4215</f>
        <v>0</v>
      </c>
      <c r="N183">
        <f>E183+F183+G183+H183+I183+J183+K183+L183</f>
        <v>0</v>
      </c>
      <c r="O183">
        <f>E183+F183+G183+H183+I183+J183+K183+M183</f>
        <v>0</v>
      </c>
    </row>
    <row r="184" spans="3:15">
      <c r="C184">
        <f>40.0</f>
        <v>0</v>
      </c>
      <c r="D184">
        <f>0.0</f>
        <v>0</v>
      </c>
      <c r="E184">
        <f>E137*0.4272</f>
        <v>0</v>
      </c>
      <c r="F184">
        <f>F137*3.7761</f>
        <v>0</v>
      </c>
      <c r="G184">
        <f>G137*0.4986</f>
        <v>0</v>
      </c>
      <c r="H184">
        <f>H137*0.0</f>
        <v>0</v>
      </c>
      <c r="I184">
        <f>I137*0.0897</f>
        <v>0</v>
      </c>
      <c r="J184">
        <f>J137*23.7258</f>
        <v>0</v>
      </c>
      <c r="K184">
        <f>K137*-17.7944</f>
        <v>0</v>
      </c>
      <c r="L184">
        <f>L137*4.6896</f>
        <v>0</v>
      </c>
      <c r="M184">
        <f>M137*-1.7225</f>
        <v>0</v>
      </c>
      <c r="N184">
        <f>E184+F184+G184+H184+I184+J184+K184+L184</f>
        <v>0</v>
      </c>
      <c r="O184">
        <f>E184+F184+G184+H184+I184+J184+K184+M184</f>
        <v>0</v>
      </c>
    </row>
    <row r="185" spans="3:15">
      <c r="C185">
        <f>40.45</f>
        <v>0</v>
      </c>
      <c r="D185">
        <f>0.45</f>
        <v>0</v>
      </c>
      <c r="E185">
        <f>E137*3.1923500000000002</f>
        <v>0</v>
      </c>
      <c r="F185">
        <f>F137*13.934149999999999</f>
        <v>0</v>
      </c>
      <c r="G185">
        <f>G137*1.7876</f>
        <v>0</v>
      </c>
      <c r="H185">
        <f>H137*0.0</f>
        <v>0</v>
      </c>
      <c r="I185">
        <f>I137*20.95785</f>
        <v>0</v>
      </c>
      <c r="J185">
        <f>J137*90.04165</f>
        <v>0</v>
      </c>
      <c r="K185">
        <f>K137*-67.5312</f>
        <v>0</v>
      </c>
      <c r="L185">
        <f>L137*16.92145</f>
        <v>0</v>
      </c>
      <c r="M185">
        <f>M137*-3.7540999999999998</f>
        <v>0</v>
      </c>
      <c r="N185">
        <f>E185+F185+G185+H185+I185+J185+K185+L185</f>
        <v>0</v>
      </c>
      <c r="O185">
        <f>E185+F185+G185+H185+I185+J185+K185+M185</f>
        <v>0</v>
      </c>
    </row>
    <row r="186" spans="3:15">
      <c r="C186">
        <f>41.36</f>
        <v>0</v>
      </c>
      <c r="D186">
        <f>1.36</f>
        <v>0</v>
      </c>
      <c r="E186">
        <f>E137*-0.73775</f>
        <v>0</v>
      </c>
      <c r="F186">
        <f>F137*20.98775</f>
        <v>0</v>
      </c>
      <c r="G186">
        <f>G137*3.32005</f>
        <v>0</v>
      </c>
      <c r="H186">
        <f>H137*0.0</f>
        <v>0</v>
      </c>
      <c r="I186">
        <f>I137*40.10765</f>
        <v>0</v>
      </c>
      <c r="J186">
        <f>J137*-97.4878</f>
        <v>0</v>
      </c>
      <c r="K186">
        <f>K137*73.11585</f>
        <v>0</v>
      </c>
      <c r="L186">
        <f>L137*57.80915</f>
        <v>0</v>
      </c>
      <c r="M186">
        <f>M137*-11.0375</f>
        <v>0</v>
      </c>
      <c r="N186">
        <f>E186+F186+G186+H186+I186+J186+K186+L186</f>
        <v>0</v>
      </c>
      <c r="O186">
        <f>E186+F186+G186+H186+I186+J186+K186+M186</f>
        <v>0</v>
      </c>
    </row>
    <row r="187" spans="3:15">
      <c r="C187">
        <f>42.27</f>
        <v>0</v>
      </c>
      <c r="D187">
        <f>2.27</f>
        <v>0</v>
      </c>
      <c r="E187">
        <f>E137*1.00135</f>
        <v>0</v>
      </c>
      <c r="F187">
        <f>F137*45.1566</f>
        <v>0</v>
      </c>
      <c r="G187">
        <f>G137*6.8483</f>
        <v>0</v>
      </c>
      <c r="H187">
        <f>H137*0.0</f>
        <v>0</v>
      </c>
      <c r="I187">
        <f>I137*83.34385</f>
        <v>0</v>
      </c>
      <c r="J187">
        <f>J137*-103.1918</f>
        <v>0</v>
      </c>
      <c r="K187">
        <f>K137*77.39385</f>
        <v>0</v>
      </c>
      <c r="L187">
        <f>L137*105.5384</f>
        <v>0</v>
      </c>
      <c r="M187">
        <f>M137*-10.6649</f>
        <v>0</v>
      </c>
      <c r="N187">
        <f>E187+F187+G187+H187+I187+J187+K187+L187</f>
        <v>0</v>
      </c>
      <c r="O187">
        <f>E187+F187+G187+H187+I187+J187+K187+M187</f>
        <v>0</v>
      </c>
    </row>
    <row r="188" spans="3:15">
      <c r="C188">
        <f>43.18</f>
        <v>0</v>
      </c>
      <c r="D188">
        <f>3.18</f>
        <v>0</v>
      </c>
      <c r="E188">
        <f>E137*3.5404</f>
        <v>0</v>
      </c>
      <c r="F188">
        <f>F137*66.32910000000001</f>
        <v>0</v>
      </c>
      <c r="G188">
        <f>G137*9.8228</f>
        <v>0</v>
      </c>
      <c r="H188">
        <f>H137*0.0</f>
        <v>0</v>
      </c>
      <c r="I188">
        <f>I137*124.82820000000001</f>
        <v>0</v>
      </c>
      <c r="J188">
        <f>J137*-84.76400000000001</f>
        <v>0</v>
      </c>
      <c r="K188">
        <f>K137*63.57300000000001</f>
        <v>0</v>
      </c>
      <c r="L188">
        <f>L137*143.6512</f>
        <v>0</v>
      </c>
      <c r="M188">
        <f>M137*-7.81745</f>
        <v>0</v>
      </c>
      <c r="N188">
        <f>E188+F188+G188+H188+I188+J188+K188+L188</f>
        <v>0</v>
      </c>
      <c r="O188">
        <f>E188+F188+G188+H188+I188+J188+K188+M188</f>
        <v>0</v>
      </c>
    </row>
    <row r="189" spans="3:15">
      <c r="C189">
        <f>44.09</f>
        <v>0</v>
      </c>
      <c r="D189">
        <f>4.09</f>
        <v>0</v>
      </c>
      <c r="E189">
        <f>E137*7.040649999999999</f>
        <v>0</v>
      </c>
      <c r="F189">
        <f>F137*80.9513</f>
        <v>0</v>
      </c>
      <c r="G189">
        <f>G137*11.72795</f>
        <v>0</v>
      </c>
      <c r="H189">
        <f>H137*0.0</f>
        <v>0</v>
      </c>
      <c r="I189">
        <f>I137*158.9939</f>
        <v>0</v>
      </c>
      <c r="J189">
        <f>J137*-42.9221</f>
        <v>0</v>
      </c>
      <c r="K189">
        <f>K137*32.19155</f>
        <v>0</v>
      </c>
      <c r="L189">
        <f>L137*166.2671</f>
        <v>0</v>
      </c>
      <c r="M189">
        <f>M137*-4.3423</f>
        <v>0</v>
      </c>
      <c r="N189">
        <f>E189+F189+G189+H189+I189+J189+K189+L189</f>
        <v>0</v>
      </c>
      <c r="O189">
        <f>E189+F189+G189+H189+I189+J189+K189+M189</f>
        <v>0</v>
      </c>
    </row>
    <row r="190" spans="3:15">
      <c r="C190">
        <f>45.0</f>
        <v>0</v>
      </c>
      <c r="D190">
        <f>5.0</f>
        <v>0</v>
      </c>
      <c r="E190">
        <f>E137*17.3313</f>
        <v>0</v>
      </c>
      <c r="F190">
        <f>F137*87.78965</f>
        <v>0</v>
      </c>
      <c r="G190">
        <f>G137*12.02035</f>
        <v>0</v>
      </c>
      <c r="H190">
        <f>H137*0.0</f>
        <v>0</v>
      </c>
      <c r="I190">
        <f>I137*214.3791</f>
        <v>0</v>
      </c>
      <c r="J190">
        <f>J137*147.6671</f>
        <v>0</v>
      </c>
      <c r="K190">
        <f>K137*-110.75030000000001</f>
        <v>0</v>
      </c>
      <c r="L190">
        <f>L137*156.48485</f>
        <v>0</v>
      </c>
      <c r="M190">
        <f>M137*-1.5516</f>
        <v>0</v>
      </c>
      <c r="N190">
        <f>E190+F190+G190+H190+I190+J190+K190+L190</f>
        <v>0</v>
      </c>
      <c r="O190">
        <f>E190+F190+G190+H190+I190+J190+K190+M190</f>
        <v>0</v>
      </c>
    </row>
    <row r="191" spans="3:15">
      <c r="C191">
        <f>46.0</f>
        <v>0</v>
      </c>
      <c r="D191">
        <f>6.0</f>
        <v>0</v>
      </c>
      <c r="E191">
        <f>E137*7.333</f>
        <v>0</v>
      </c>
      <c r="F191">
        <f>F137*85.29525000000001</f>
        <v>0</v>
      </c>
      <c r="G191">
        <f>G137*12.336200000000002</f>
        <v>0</v>
      </c>
      <c r="H191">
        <f>H137*0.0</f>
        <v>0</v>
      </c>
      <c r="I191">
        <f>I137*164.39679999999998</f>
        <v>0</v>
      </c>
      <c r="J191">
        <f>J137*-55.10850000000001</f>
        <v>0</v>
      </c>
      <c r="K191">
        <f>K137*41.33135</f>
        <v>0</v>
      </c>
      <c r="L191">
        <f>L137*172.50945000000002</f>
        <v>0</v>
      </c>
      <c r="M191">
        <f>M137*-3.2147</f>
        <v>0</v>
      </c>
      <c r="N191">
        <f>E191+F191+G191+H191+I191+J191+K191+L191</f>
        <v>0</v>
      </c>
      <c r="O191">
        <f>E191+F191+G191+H191+I191+J191+K191+M191</f>
        <v>0</v>
      </c>
    </row>
    <row r="192" spans="3:15">
      <c r="C192">
        <f>47.0</f>
        <v>0</v>
      </c>
      <c r="D192">
        <f>7.0</f>
        <v>0</v>
      </c>
      <c r="E192">
        <f>E137*4.72715</f>
        <v>0</v>
      </c>
      <c r="F192">
        <f>F137*74.24494999999999</f>
        <v>0</v>
      </c>
      <c r="G192">
        <f>G137*10.86105</f>
        <v>0</v>
      </c>
      <c r="H192">
        <f>H137*0.0</f>
        <v>0</v>
      </c>
      <c r="I192">
        <f>I137*135.76995</f>
        <v>0</v>
      </c>
      <c r="J192">
        <f>J137*-107.08619999999999</f>
        <v>0</v>
      </c>
      <c r="K192">
        <f>K137*80.31465</f>
        <v>0</v>
      </c>
      <c r="L192">
        <f>L137*151.5168</f>
        <v>0</v>
      </c>
      <c r="M192">
        <f>M137*-3.9401</f>
        <v>0</v>
      </c>
      <c r="N192">
        <f>E192+F192+G192+H192+I192+J192+K192+L192</f>
        <v>0</v>
      </c>
      <c r="O192">
        <f>E192+F192+G192+H192+I192+J192+K192+M192</f>
        <v>0</v>
      </c>
    </row>
    <row r="193" spans="3:15">
      <c r="C193">
        <f>48.0</f>
        <v>0</v>
      </c>
      <c r="D193">
        <f>8.0</f>
        <v>0</v>
      </c>
      <c r="E193">
        <f>E137*2.7586</f>
        <v>0</v>
      </c>
      <c r="F193">
        <f>F137*54.105</f>
        <v>0</v>
      </c>
      <c r="G193">
        <f>G137*7.934850000000001</f>
        <v>0</v>
      </c>
      <c r="H193">
        <f>H137*0.0</f>
        <v>0</v>
      </c>
      <c r="I193">
        <f>I137*96.8253</f>
        <v>0</v>
      </c>
      <c r="J193">
        <f>J137*-160.91185000000002</f>
        <v>0</v>
      </c>
      <c r="K193">
        <f>K137*120.6839</f>
        <v>0</v>
      </c>
      <c r="L193">
        <f>L137*110.66794999999999</f>
        <v>0</v>
      </c>
      <c r="M193">
        <f>M137*-4.8665</f>
        <v>0</v>
      </c>
      <c r="N193">
        <f>E193+F193+G193+H193+I193+J193+K193+L193</f>
        <v>0</v>
      </c>
      <c r="O193">
        <f>E193+F193+G193+H193+I193+J193+K193+M193</f>
        <v>0</v>
      </c>
    </row>
    <row r="194" spans="3:15">
      <c r="C194">
        <f>49.0</f>
        <v>0</v>
      </c>
      <c r="D194">
        <f>9.0</f>
        <v>0</v>
      </c>
      <c r="E194">
        <f>E137*1.1971</f>
        <v>0</v>
      </c>
      <c r="F194">
        <f>F137*25.6752</f>
        <v>0</v>
      </c>
      <c r="G194">
        <f>G137*3.6988000000000003</f>
        <v>0</v>
      </c>
      <c r="H194">
        <f>H137*0.0</f>
        <v>0</v>
      </c>
      <c r="I194">
        <f>I137*52.0021</f>
        <v>0</v>
      </c>
      <c r="J194">
        <f>J137*-219.05610000000001</f>
        <v>0</v>
      </c>
      <c r="K194">
        <f>K137*164.29205</f>
        <v>0</v>
      </c>
      <c r="L194">
        <f>L137*53.29485</f>
        <v>0</v>
      </c>
      <c r="M194">
        <f>M137*-4.94225</f>
        <v>0</v>
      </c>
      <c r="N194">
        <f>E194+F194+G194+H194+I194+J194+K194+L194</f>
        <v>0</v>
      </c>
      <c r="O194">
        <f>E194+F194+G194+H194+I194+J194+K194+M194</f>
        <v>0</v>
      </c>
    </row>
    <row r="202" spans="3:15">
      <c r="C202" t="s">
        <v>0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6</v>
      </c>
      <c r="J202" t="s">
        <v>7</v>
      </c>
      <c r="K202" t="s">
        <v>8</v>
      </c>
      <c r="L202" t="s">
        <v>9</v>
      </c>
      <c r="M202" t="s">
        <v>10</v>
      </c>
      <c r="N202" t="s">
        <v>11</v>
      </c>
      <c r="O202" t="s">
        <v>12</v>
      </c>
    </row>
    <row r="203" spans="3:15">
      <c r="C203">
        <f>0.0</f>
        <v>0</v>
      </c>
      <c r="D203">
        <f>0.0</f>
        <v>0</v>
      </c>
      <c r="E203">
        <f>E201*-4.1339999999999995</f>
        <v>0</v>
      </c>
      <c r="F203">
        <f>F201*-58.023</f>
        <v>0</v>
      </c>
      <c r="G203">
        <f>G201*-8.177</f>
        <v>0</v>
      </c>
      <c r="H203">
        <f>H201*0.0</f>
        <v>0</v>
      </c>
      <c r="I203">
        <f>I201*-0.027999999999999997</f>
        <v>0</v>
      </c>
      <c r="J203">
        <f>J201*641.16</f>
        <v>0</v>
      </c>
      <c r="K203">
        <f>K201*-480.87</f>
        <v>0</v>
      </c>
      <c r="L203">
        <f>L201*54.056000000000004</f>
        <v>0</v>
      </c>
      <c r="M203">
        <f>M201*-122.74799999999999</f>
        <v>0</v>
      </c>
      <c r="N203">
        <f>E203+F203+G203+H203+I203+J203+K203+L203</f>
        <v>0</v>
      </c>
      <c r="O203">
        <f>E203+F203+G203+H203+I203+J203+K203+M203</f>
        <v>0</v>
      </c>
    </row>
    <row r="204" spans="3:15">
      <c r="C204">
        <f>1.0</f>
        <v>0</v>
      </c>
      <c r="D204">
        <f>1.0</f>
        <v>0</v>
      </c>
      <c r="E204">
        <f>E201*-13.2985</f>
        <v>0</v>
      </c>
      <c r="F204">
        <f>F201*-95.1265</f>
        <v>0</v>
      </c>
      <c r="G204">
        <f>G201*-13.3025</f>
        <v>0</v>
      </c>
      <c r="H204">
        <f>H201*0.0</f>
        <v>0</v>
      </c>
      <c r="I204">
        <f>I201*-0.0195</f>
        <v>0</v>
      </c>
      <c r="J204">
        <f>J201*368.74850000000004</f>
        <v>0</v>
      </c>
      <c r="K204">
        <f>K201*-276.561</f>
        <v>0</v>
      </c>
      <c r="L204">
        <f>L201*20.807</f>
        <v>0</v>
      </c>
      <c r="M204">
        <f>M201*-145.85500000000002</f>
        <v>0</v>
      </c>
      <c r="N204">
        <f>E204+F204+G204+H204+I204+J204+K204+L204</f>
        <v>0</v>
      </c>
      <c r="O204">
        <f>E204+F204+G204+H204+I204+J204+K204+M204</f>
        <v>0</v>
      </c>
    </row>
    <row r="205" spans="3:15">
      <c r="C205">
        <f>2.0</f>
        <v>0</v>
      </c>
      <c r="D205">
        <f>2.0</f>
        <v>0</v>
      </c>
      <c r="E205">
        <f>E201*-18.2765</f>
        <v>0</v>
      </c>
      <c r="F205">
        <f>F201*-97.8055</f>
        <v>0</v>
      </c>
      <c r="G205">
        <f>G201*-13.433</f>
        <v>0</v>
      </c>
      <c r="H205">
        <f>H201*0.0</f>
        <v>0</v>
      </c>
      <c r="I205">
        <f>I201*-0.019</f>
        <v>0</v>
      </c>
      <c r="J205">
        <f>J201*142.491</f>
        <v>0</v>
      </c>
      <c r="K205">
        <f>K201*-106.86849999999998</f>
        <v>0</v>
      </c>
      <c r="L205">
        <f>L201*20.3545</f>
        <v>0</v>
      </c>
      <c r="M205">
        <f>M201*-147.4735</f>
        <v>0</v>
      </c>
      <c r="N205">
        <f>E205+F205+G205+H205+I205+J205+K205+L205</f>
        <v>0</v>
      </c>
      <c r="O205">
        <f>E205+F205+G205+H205+I205+J205+K205+M205</f>
        <v>0</v>
      </c>
    </row>
    <row r="206" spans="3:15">
      <c r="C206">
        <f>3.0</f>
        <v>0</v>
      </c>
      <c r="D206">
        <f>3.0</f>
        <v>0</v>
      </c>
      <c r="E206">
        <f>E201*-21.000999999999998</f>
        <v>0</v>
      </c>
      <c r="F206">
        <f>F201*-90.4025</f>
        <v>0</v>
      </c>
      <c r="G206">
        <f>G201*-12.1205</f>
        <v>0</v>
      </c>
      <c r="H206">
        <f>H201*0.0</f>
        <v>0</v>
      </c>
      <c r="I206">
        <f>I201*-0.018000000000000002</f>
        <v>0</v>
      </c>
      <c r="J206">
        <f>J201*8.142000000000001</f>
        <v>0</v>
      </c>
      <c r="K206">
        <f>K201*-6.1065000000000005</f>
        <v>0</v>
      </c>
      <c r="L206">
        <f>L201*26.2825</f>
        <v>0</v>
      </c>
      <c r="M206">
        <f>M201*-139.4035</f>
        <v>0</v>
      </c>
      <c r="N206">
        <f>E206+F206+G206+H206+I206+J206+K206+L206</f>
        <v>0</v>
      </c>
      <c r="O206">
        <f>E206+F206+G206+H206+I206+J206+K206+M206</f>
        <v>0</v>
      </c>
    </row>
    <row r="207" spans="3:15">
      <c r="C207">
        <f>4.0</f>
        <v>0</v>
      </c>
      <c r="D207">
        <f>4.0</f>
        <v>0</v>
      </c>
      <c r="E207">
        <f>E201*-24.571</f>
        <v>0</v>
      </c>
      <c r="F207">
        <f>F201*-76.29050000000001</f>
        <v>0</v>
      </c>
      <c r="G207">
        <f>G201*-9.7985</f>
        <v>0</v>
      </c>
      <c r="H207">
        <f>H201*0.0</f>
        <v>0</v>
      </c>
      <c r="I207">
        <f>I201*-0.019</f>
        <v>0</v>
      </c>
      <c r="J207">
        <f>J201*-123.05949999999999</f>
        <v>0</v>
      </c>
      <c r="K207">
        <f>K201*92.2945</f>
        <v>0</v>
      </c>
      <c r="L207">
        <f>L201*36.736000000000004</f>
        <v>0</v>
      </c>
      <c r="M207">
        <f>M201*-125.08</f>
        <v>0</v>
      </c>
      <c r="N207">
        <f>E207+F207+G207+H207+I207+J207+K207+L207</f>
        <v>0</v>
      </c>
      <c r="O207">
        <f>E207+F207+G207+H207+I207+J207+K207+M207</f>
        <v>0</v>
      </c>
    </row>
    <row r="208" spans="3:15">
      <c r="C208">
        <f>5.0</f>
        <v>0</v>
      </c>
      <c r="D208">
        <f>5.0</f>
        <v>0</v>
      </c>
      <c r="E208">
        <f>E201*-12.8015</f>
        <v>0</v>
      </c>
      <c r="F208">
        <f>F201*-69.60149999999999</f>
        <v>0</v>
      </c>
      <c r="G208">
        <f>G201*-9.5665</f>
        <v>0</v>
      </c>
      <c r="H208">
        <f>H201*0.0</f>
        <v>0</v>
      </c>
      <c r="I208">
        <f>I201*-0.018500000000000003</f>
        <v>0</v>
      </c>
      <c r="J208">
        <f>J201*19.794499999999985</f>
        <v>0</v>
      </c>
      <c r="K208">
        <f>K201*-14.846000000000004</f>
        <v>0</v>
      </c>
      <c r="L208">
        <f>L201*46.165499999999994</f>
        <v>0</v>
      </c>
      <c r="M208">
        <f>M201*-133.0045</f>
        <v>0</v>
      </c>
      <c r="N208">
        <f>E208+F208+G208+H208+I208+J208+K208+L208</f>
        <v>0</v>
      </c>
      <c r="O208">
        <f>E208+F208+G208+H208+I208+J208+K208+M208</f>
        <v>0</v>
      </c>
    </row>
    <row r="209" spans="3:15">
      <c r="C209">
        <f>6.0</f>
        <v>0</v>
      </c>
      <c r="D209">
        <f>6.0</f>
        <v>0</v>
      </c>
      <c r="E209">
        <f>E201*-1.196</f>
        <v>0</v>
      </c>
      <c r="F209">
        <f>F201*-60.9575</f>
        <v>0</v>
      </c>
      <c r="G209">
        <f>G201*-9.033999999999999</f>
        <v>0</v>
      </c>
      <c r="H209">
        <f>H201*0.0</f>
        <v>0</v>
      </c>
      <c r="I209">
        <f>I201*-0.018500000000000003</f>
        <v>0</v>
      </c>
      <c r="J209">
        <f>J201*169.20749999999998</f>
        <v>0</v>
      </c>
      <c r="K209">
        <f>K201*-126.9055</f>
        <v>0</v>
      </c>
      <c r="L209">
        <f>L201*31.076999999999998</f>
        <v>0</v>
      </c>
      <c r="M209">
        <f>M201*-124.431</f>
        <v>0</v>
      </c>
      <c r="N209">
        <f>E209+F209+G209+H209+I209+J209+K209+L209</f>
        <v>0</v>
      </c>
      <c r="O209">
        <f>E209+F209+G209+H209+I209+J209+K209+M209</f>
        <v>0</v>
      </c>
    </row>
    <row r="210" spans="3:15">
      <c r="C210">
        <f>7.0</f>
        <v>0</v>
      </c>
      <c r="D210">
        <f>7.0</f>
        <v>0</v>
      </c>
      <c r="E210">
        <f>E201*-5.271</f>
        <v>0</v>
      </c>
      <c r="F210">
        <f>F201*-40.6295</f>
        <v>0</v>
      </c>
      <c r="G210">
        <f>G201*-5.759</f>
        <v>0</v>
      </c>
      <c r="H210">
        <f>H201*0.0</f>
        <v>0</v>
      </c>
      <c r="I210">
        <f>I201*-0.0195</f>
        <v>0</v>
      </c>
      <c r="J210">
        <f>J201*62.203</f>
        <v>0</v>
      </c>
      <c r="K210">
        <f>K201*-46.652499999999996</f>
        <v>0</v>
      </c>
      <c r="L210">
        <f>L201*29.5355</f>
        <v>0</v>
      </c>
      <c r="M210">
        <f>M201*-93.21449999999999</f>
        <v>0</v>
      </c>
      <c r="N210">
        <f>E210+F210+G210+H210+I210+J210+K210+L210</f>
        <v>0</v>
      </c>
      <c r="O210">
        <f>E210+F210+G210+H210+I210+J210+K210+M210</f>
        <v>0</v>
      </c>
    </row>
    <row r="211" spans="3:15">
      <c r="C211">
        <f>8.0</f>
        <v>0</v>
      </c>
      <c r="D211">
        <f>8.0</f>
        <v>0</v>
      </c>
      <c r="E211">
        <f>E201*-8.801</f>
        <v>0</v>
      </c>
      <c r="F211">
        <f>F201*-20.643500000000003</f>
        <v>0</v>
      </c>
      <c r="G211">
        <f>G201*-2.5215</f>
        <v>0</v>
      </c>
      <c r="H211">
        <f>H201*0.0</f>
        <v>0</v>
      </c>
      <c r="I211">
        <f>I201*-0.02</f>
        <v>0</v>
      </c>
      <c r="J211">
        <f>J201*-12.776499999999999</f>
        <v>0</v>
      </c>
      <c r="K211">
        <f>K201*9.5825</f>
        <v>0</v>
      </c>
      <c r="L211">
        <f>L201*36.698499999999996</f>
        <v>0</v>
      </c>
      <c r="M211">
        <f>M201*-70.8895</f>
        <v>0</v>
      </c>
      <c r="N211">
        <f>E211+F211+G211+H211+I211+J211+K211+L211</f>
        <v>0</v>
      </c>
      <c r="O211">
        <f>E211+F211+G211+H211+I211+J211+K211+M211</f>
        <v>0</v>
      </c>
    </row>
    <row r="212" spans="3:15">
      <c r="C212">
        <f>9.0</f>
        <v>0</v>
      </c>
      <c r="D212">
        <f>9.0</f>
        <v>0</v>
      </c>
      <c r="E212">
        <f>E201*-14.464500000000001</f>
        <v>0</v>
      </c>
      <c r="F212">
        <f>F201*0.56</f>
        <v>0</v>
      </c>
      <c r="G212">
        <f>G201*0.9909999999999999</f>
        <v>0</v>
      </c>
      <c r="H212">
        <f>H201*0.0</f>
        <v>0</v>
      </c>
      <c r="I212">
        <f>I201*-0.021</f>
        <v>0</v>
      </c>
      <c r="J212">
        <f>J201*-99.993</f>
        <v>0</v>
      </c>
      <c r="K212">
        <f>K201*74.995</f>
        <v>0</v>
      </c>
      <c r="L212">
        <f>L201*61.959500000000006</f>
        <v>0</v>
      </c>
      <c r="M212">
        <f>M201*-56.771</f>
        <v>0</v>
      </c>
      <c r="N212">
        <f>E212+F212+G212+H212+I212+J212+K212+L212</f>
        <v>0</v>
      </c>
      <c r="O212">
        <f>E212+F212+G212+H212+I212+J212+K212+M212</f>
        <v>0</v>
      </c>
    </row>
    <row r="213" spans="3:15">
      <c r="C213">
        <f>10.0</f>
        <v>0</v>
      </c>
      <c r="D213">
        <f>10.0</f>
        <v>0</v>
      </c>
      <c r="E213">
        <f>E201*-0.07700000000000173</f>
        <v>0</v>
      </c>
      <c r="F213">
        <f>F201*9.462500000000002</f>
        <v>0</v>
      </c>
      <c r="G213">
        <f>G201*1.371</f>
        <v>0</v>
      </c>
      <c r="H213">
        <f>H201*0.0</f>
        <v>0</v>
      </c>
      <c r="I213">
        <f>I201*-0.0205</f>
        <v>0</v>
      </c>
      <c r="J213">
        <f>J201*8.596999999999994</f>
        <v>0</v>
      </c>
      <c r="K213">
        <f>K201*-6.447500000000005</f>
        <v>0</v>
      </c>
      <c r="L213">
        <f>L201*88.99350000000001</f>
        <v>0</v>
      </c>
      <c r="M213">
        <f>M201*-80.2915</f>
        <v>0</v>
      </c>
      <c r="N213">
        <f>E213+F213+G213+H213+I213+J213+K213+L213</f>
        <v>0</v>
      </c>
      <c r="O213">
        <f>E213+F213+G213+H213+I213+J213+K213+M213</f>
        <v>0</v>
      </c>
    </row>
    <row r="214" spans="3:15">
      <c r="C214">
        <f>11.0</f>
        <v>0</v>
      </c>
      <c r="D214">
        <f>11.0</f>
        <v>0</v>
      </c>
      <c r="E214">
        <f>E201*14.0805</f>
        <v>0</v>
      </c>
      <c r="F214">
        <f>F201*17.9305</f>
        <v>0</v>
      </c>
      <c r="G214">
        <f>G201*1.7060000000000002</f>
        <v>0</v>
      </c>
      <c r="H214">
        <f>H201*0.0</f>
        <v>0</v>
      </c>
      <c r="I214">
        <f>I201*-0.021500000000000002</f>
        <v>0</v>
      </c>
      <c r="J214">
        <f>J201*119.685</f>
        <v>0</v>
      </c>
      <c r="K214">
        <f>K201*-89.7635</f>
        <v>0</v>
      </c>
      <c r="L214">
        <f>L201*75.387</f>
        <v>0</v>
      </c>
      <c r="M214">
        <f>M201*-60.8095</f>
        <v>0</v>
      </c>
      <c r="N214">
        <f>E214+F214+G214+H214+I214+J214+K214+L214</f>
        <v>0</v>
      </c>
      <c r="O214">
        <f>E214+F214+G214+H214+I214+J214+K214+M214</f>
        <v>0</v>
      </c>
    </row>
    <row r="215" spans="3:15">
      <c r="C215">
        <f>12.0</f>
        <v>0</v>
      </c>
      <c r="D215">
        <f>12.0</f>
        <v>0</v>
      </c>
      <c r="E215">
        <f>E201*7.689</f>
        <v>0</v>
      </c>
      <c r="F215">
        <f>F201*37.649</f>
        <v>0</v>
      </c>
      <c r="G215">
        <f>G201*5.0585</f>
        <v>0</v>
      </c>
      <c r="H215">
        <f>H201*0.0</f>
        <v>0</v>
      </c>
      <c r="I215">
        <f>I201*-0.021</f>
        <v>0</v>
      </c>
      <c r="J215">
        <f>J201*40.264</f>
        <v>0</v>
      </c>
      <c r="K215">
        <f>K201*-30.197499999999998</f>
        <v>0</v>
      </c>
      <c r="L215">
        <f>L201*73.05199999999999</f>
        <v>0</v>
      </c>
      <c r="M215">
        <f>M201*-31.3055</f>
        <v>0</v>
      </c>
      <c r="N215">
        <f>E215+F215+G215+H215+I215+J215+K215+L215</f>
        <v>0</v>
      </c>
      <c r="O215">
        <f>E215+F215+G215+H215+I215+J215+K215+M215</f>
        <v>0</v>
      </c>
    </row>
    <row r="216" spans="3:15">
      <c r="C216">
        <f>13.0</f>
        <v>0</v>
      </c>
      <c r="D216">
        <f>13.0</f>
        <v>0</v>
      </c>
      <c r="E216">
        <f>E201*2.8169999999999997</f>
        <v>0</v>
      </c>
      <c r="F216">
        <f>F201*54.53450000000001</f>
        <v>0</v>
      </c>
      <c r="G216">
        <f>G201*7.9515</f>
        <v>0</v>
      </c>
      <c r="H216">
        <f>H201*0.0</f>
        <v>0</v>
      </c>
      <c r="I216">
        <f>I201*-0.0195</f>
        <v>0</v>
      </c>
      <c r="J216">
        <f>J201*-20.592</f>
        <v>0</v>
      </c>
      <c r="K216">
        <f>K201*15.443999999999999</f>
        <v>0</v>
      </c>
      <c r="L216">
        <f>L201*88.2025</f>
        <v>0</v>
      </c>
      <c r="M216">
        <f>M201*-22.8585</f>
        <v>0</v>
      </c>
      <c r="N216">
        <f>E216+F216+G216+H216+I216+J216+K216+L216</f>
        <v>0</v>
      </c>
      <c r="O216">
        <f>E216+F216+G216+H216+I216+J216+K216+M216</f>
        <v>0</v>
      </c>
    </row>
    <row r="217" spans="3:15">
      <c r="C217">
        <f>14.0</f>
        <v>0</v>
      </c>
      <c r="D217">
        <f>14.0</f>
        <v>0</v>
      </c>
      <c r="E217">
        <f>E201*-3.3810000000000002</f>
        <v>0</v>
      </c>
      <c r="F217">
        <f>F201*69.2385</f>
        <v>0</v>
      </c>
      <c r="G217">
        <f>G201*10.578</f>
        <v>0</v>
      </c>
      <c r="H217">
        <f>H201*0.0</f>
        <v>0</v>
      </c>
      <c r="I217">
        <f>I201*-0.0155</f>
        <v>0</v>
      </c>
      <c r="J217">
        <f>J201*-105.688</f>
        <v>0</v>
      </c>
      <c r="K217">
        <f>K201*79.266</f>
        <v>0</v>
      </c>
      <c r="L217">
        <f>L201*117.4405</f>
        <v>0</v>
      </c>
      <c r="M217">
        <f>M201*-23.130000000000003</f>
        <v>0</v>
      </c>
      <c r="N217">
        <f>E217+F217+G217+H217+I217+J217+K217+L217</f>
        <v>0</v>
      </c>
      <c r="O217">
        <f>E217+F217+G217+H217+I217+J217+K217+M217</f>
        <v>0</v>
      </c>
    </row>
    <row r="218" spans="3:15">
      <c r="C218">
        <f>15.0</f>
        <v>0</v>
      </c>
      <c r="D218">
        <f>15.0</f>
        <v>0</v>
      </c>
      <c r="E218">
        <f>E201*9.75</f>
        <v>0</v>
      </c>
      <c r="F218">
        <f>F201*83.9325</f>
        <v>0</v>
      </c>
      <c r="G218">
        <f>G201*11.843</f>
        <v>0</v>
      </c>
      <c r="H218">
        <f>H201*0.0</f>
        <v>0</v>
      </c>
      <c r="I218">
        <f>I201*-0.02129</f>
        <v>0</v>
      </c>
      <c r="J218">
        <f>J201*21.474500000000006</f>
        <v>0</v>
      </c>
      <c r="K218">
        <f>K201*-16.105999999999995</f>
        <v>0</v>
      </c>
      <c r="L218">
        <f>L201*133.66649999999998</f>
        <v>0</v>
      </c>
      <c r="M218">
        <f>M201*-36.2105</f>
        <v>0</v>
      </c>
      <c r="N218">
        <f>E218+F218+G218+H218+I218+J218+K218+L218</f>
        <v>0</v>
      </c>
      <c r="O218">
        <f>E218+F218+G218+H218+I218+J218+K218+M218</f>
        <v>0</v>
      </c>
    </row>
    <row r="219" spans="3:15">
      <c r="C219">
        <f>15.91</f>
        <v>0</v>
      </c>
      <c r="D219">
        <f>15.91</f>
        <v>0</v>
      </c>
      <c r="E219">
        <f>E201*23.1</f>
        <v>0</v>
      </c>
      <c r="F219">
        <f>F201*93.753</f>
        <v>0</v>
      </c>
      <c r="G219">
        <f>G201*12.3845</f>
        <v>0</v>
      </c>
      <c r="H219">
        <f>H201*0.0</f>
        <v>0</v>
      </c>
      <c r="I219">
        <f>I201*-0.027</f>
        <v>0</v>
      </c>
      <c r="J219">
        <f>J201*148.4315</f>
        <v>0</v>
      </c>
      <c r="K219">
        <f>K201*-111.3235</f>
        <v>0</v>
      </c>
      <c r="L219">
        <f>L201*121.18350000000001</f>
        <v>0</v>
      </c>
      <c r="M219">
        <f>M201*-20.1245</f>
        <v>0</v>
      </c>
      <c r="N219">
        <f>E219+F219+G219+H219+I219+J219+K219+L219</f>
        <v>0</v>
      </c>
      <c r="O219">
        <f>E219+F219+G219+H219+I219+J219+K219+M219</f>
        <v>0</v>
      </c>
    </row>
    <row r="220" spans="3:15">
      <c r="C220">
        <f>16.82</f>
        <v>0</v>
      </c>
      <c r="D220">
        <f>16.82</f>
        <v>0</v>
      </c>
      <c r="E220">
        <f>E201*16.497999999999998</f>
        <v>0</v>
      </c>
      <c r="F220">
        <f>F201*94.33049999999999</f>
        <v>0</v>
      </c>
      <c r="G220">
        <f>G201*12.974499999999999</f>
        <v>0</v>
      </c>
      <c r="H220">
        <f>H201*0.0</f>
        <v>0</v>
      </c>
      <c r="I220">
        <f>I201*-0.019000000000000003</f>
        <v>0</v>
      </c>
      <c r="J220">
        <f>J201*43.794</f>
        <v>0</v>
      </c>
      <c r="K220">
        <f>K201*-32.8455</f>
        <v>0</v>
      </c>
      <c r="L220">
        <f>L201*123.4405</f>
        <v>0</v>
      </c>
      <c r="M220">
        <f>M201*-8.843</f>
        <v>0</v>
      </c>
      <c r="N220">
        <f>E220+F220+G220+H220+I220+J220+K220+L220</f>
        <v>0</v>
      </c>
      <c r="O220">
        <f>E220+F220+G220+H220+I220+J220+K220+M220</f>
        <v>0</v>
      </c>
    </row>
    <row r="221" spans="3:15">
      <c r="C221">
        <f>17.73</f>
        <v>0</v>
      </c>
      <c r="D221">
        <f>17.73</f>
        <v>0</v>
      </c>
      <c r="E221">
        <f>E201*10.467500000000001</f>
        <v>0</v>
      </c>
      <c r="F221">
        <f>F201*83.8555</f>
        <v>0</v>
      </c>
      <c r="G221">
        <f>G201*11.9635</f>
        <v>0</v>
      </c>
      <c r="H221">
        <f>H201*0.0</f>
        <v>0</v>
      </c>
      <c r="I221">
        <f>I201*-0.007851</f>
        <v>0</v>
      </c>
      <c r="J221">
        <f>J201*-60.833999999999996</f>
        <v>0</v>
      </c>
      <c r="K221">
        <f>K201*45.626000000000005</f>
        <v>0</v>
      </c>
      <c r="L221">
        <f>L201*120.114</f>
        <v>0</v>
      </c>
      <c r="M221">
        <f>M201*-14.650500000000001</f>
        <v>0</v>
      </c>
      <c r="N221">
        <f>E221+F221+G221+H221+I221+J221+K221+L221</f>
        <v>0</v>
      </c>
      <c r="O221">
        <f>E221+F221+G221+H221+I221+J221+K221+M221</f>
        <v>0</v>
      </c>
    </row>
    <row r="222" spans="3:15">
      <c r="C222">
        <f>18.64</f>
        <v>0</v>
      </c>
      <c r="D222">
        <f>18.64</f>
        <v>0</v>
      </c>
      <c r="E222">
        <f>E201*1.9729999999999999</f>
        <v>0</v>
      </c>
      <c r="F222">
        <f>F201*54.094</f>
        <v>0</v>
      </c>
      <c r="G222">
        <f>G201*8.272</f>
        <v>0</v>
      </c>
      <c r="H222">
        <f>H201*0.0</f>
        <v>0</v>
      </c>
      <c r="I222">
        <f>I201*0.018053</f>
        <v>0</v>
      </c>
      <c r="J222">
        <f>J201*-218.391</f>
        <v>0</v>
      </c>
      <c r="K222">
        <f>K201*163.7935</f>
        <v>0</v>
      </c>
      <c r="L222">
        <f>L201*104.12700000000001</f>
        <v>0</v>
      </c>
      <c r="M222">
        <f>M201*-30.243</f>
        <v>0</v>
      </c>
      <c r="N222">
        <f>E222+F222+G222+H222+I222+J222+K222+L222</f>
        <v>0</v>
      </c>
      <c r="O222">
        <f>E222+F222+G222+H222+I222+J222+K222+M222</f>
        <v>0</v>
      </c>
    </row>
    <row r="223" spans="3:15">
      <c r="C223">
        <f>19.55</f>
        <v>0</v>
      </c>
      <c r="D223">
        <f>19.55</f>
        <v>0</v>
      </c>
      <c r="E223">
        <f>E201*-0.6279999999999997</f>
        <v>0</v>
      </c>
      <c r="F223">
        <f>F201*25.7835</f>
        <v>0</v>
      </c>
      <c r="G223">
        <f>G201*4.118</f>
        <v>0</v>
      </c>
      <c r="H223">
        <f>H201*0.0</f>
        <v>0</v>
      </c>
      <c r="I223">
        <f>I201*0.0175</f>
        <v>0</v>
      </c>
      <c r="J223">
        <f>J201*-155.59</f>
        <v>0</v>
      </c>
      <c r="K223">
        <f>K201*116.69200000000001</f>
        <v>0</v>
      </c>
      <c r="L223">
        <f>L201*71.912</f>
        <v>0</v>
      </c>
      <c r="M223">
        <f>M201*-32.948</f>
        <v>0</v>
      </c>
      <c r="N223">
        <f>E223+F223+G223+H223+I223+J223+K223+L223</f>
        <v>0</v>
      </c>
      <c r="O223">
        <f>E223+F223+G223+H223+I223+J223+K223+M223</f>
        <v>0</v>
      </c>
    </row>
    <row r="224" spans="3:15">
      <c r="C224">
        <f>20.0</f>
        <v>0</v>
      </c>
      <c r="D224">
        <f>20.0</f>
        <v>0</v>
      </c>
      <c r="E224">
        <f>E201*6.237</f>
        <v>0</v>
      </c>
      <c r="F224">
        <f>F201*36.425</f>
        <v>0</v>
      </c>
      <c r="G224">
        <f>G201*5.001</f>
        <v>0</v>
      </c>
      <c r="H224">
        <f>H201*0.0</f>
        <v>0</v>
      </c>
      <c r="I224">
        <f>I201*-0.017</f>
        <v>0</v>
      </c>
      <c r="J224">
        <f>J201*82.794</f>
        <v>0</v>
      </c>
      <c r="K224">
        <f>K201*-62.096000000000004</f>
        <v>0</v>
      </c>
      <c r="L224">
        <f>L201*46.897</f>
        <v>0</v>
      </c>
      <c r="M224">
        <f>M201*-13.389000000000001</f>
        <v>0</v>
      </c>
      <c r="N224">
        <f>E224+F224+G224+H224+I224+J224+K224+L224</f>
        <v>0</v>
      </c>
      <c r="O224">
        <f>E224+F224+G224+H224+I224+J224+K224+M224</f>
        <v>0</v>
      </c>
    </row>
    <row r="225" spans="3:15">
      <c r="C225">
        <f>20.0</f>
        <v>0</v>
      </c>
      <c r="D225">
        <f>0.0</f>
        <v>0</v>
      </c>
      <c r="E225">
        <f>E201*-6.097</f>
        <v>0</v>
      </c>
      <c r="F225">
        <f>F201*-35.099000000000004</f>
        <v>0</v>
      </c>
      <c r="G225">
        <f>G201*-4.816</f>
        <v>0</v>
      </c>
      <c r="H225">
        <f>H201*0.0</f>
        <v>0</v>
      </c>
      <c r="I225">
        <f>I201*0.09</f>
        <v>0</v>
      </c>
      <c r="J225">
        <f>J201*-83.406</f>
        <v>0</v>
      </c>
      <c r="K225">
        <f>K201*62.553999999999995</f>
        <v>0</v>
      </c>
      <c r="L225">
        <f>L201*5.645</f>
        <v>0</v>
      </c>
      <c r="M225">
        <f>M201*-43.303000000000004</f>
        <v>0</v>
      </c>
      <c r="N225">
        <f>E225+F225+G225+H225+I225+J225+K225+L225</f>
        <v>0</v>
      </c>
      <c r="O225">
        <f>E225+F225+G225+H225+I225+J225+K225+M225</f>
        <v>0</v>
      </c>
    </row>
    <row r="226" spans="3:15">
      <c r="C226">
        <f>20.45</f>
        <v>0</v>
      </c>
      <c r="D226">
        <f>0.45</f>
        <v>0</v>
      </c>
      <c r="E226">
        <f>E201*0.48299999999999965</f>
        <v>0</v>
      </c>
      <c r="F226">
        <f>F201*-22.8215</f>
        <v>0</v>
      </c>
      <c r="G226">
        <f>G201*-3.6775</f>
        <v>0</v>
      </c>
      <c r="H226">
        <f>H201*0.0</f>
        <v>0</v>
      </c>
      <c r="I226">
        <f>I201*0.27199999999999996</f>
        <v>0</v>
      </c>
      <c r="J226">
        <f>J201*159.80049999999997</f>
        <v>0</v>
      </c>
      <c r="K226">
        <f>K201*-119.8505</f>
        <v>0</v>
      </c>
      <c r="L226">
        <f>L201*25.928000000000004</f>
        <v>0</v>
      </c>
      <c r="M226">
        <f>M201*-55.217</f>
        <v>0</v>
      </c>
      <c r="N226">
        <f>E226+F226+G226+H226+I226+J226+K226+L226</f>
        <v>0</v>
      </c>
      <c r="O226">
        <f>E226+F226+G226+H226+I226+J226+K226+M226</f>
        <v>0</v>
      </c>
    </row>
    <row r="227" spans="3:15">
      <c r="C227">
        <f>21.36</f>
        <v>0</v>
      </c>
      <c r="D227">
        <f>1.36</f>
        <v>0</v>
      </c>
      <c r="E227">
        <f>E201*-2.2030000000000003</f>
        <v>0</v>
      </c>
      <c r="F227">
        <f>F201*-47.8435</f>
        <v>0</v>
      </c>
      <c r="G227">
        <f>G201*-7.35</f>
        <v>0</v>
      </c>
      <c r="H227">
        <f>H201*0.0</f>
        <v>0</v>
      </c>
      <c r="I227">
        <f>I201*0.49150000000000005</f>
        <v>0</v>
      </c>
      <c r="J227">
        <f>J201*226.07350000000002</f>
        <v>0</v>
      </c>
      <c r="K227">
        <f>K201*-169.555</f>
        <v>0</v>
      </c>
      <c r="L227">
        <f>L201*26.959</f>
        <v>0</v>
      </c>
      <c r="M227">
        <f>M201*-93.566</f>
        <v>0</v>
      </c>
      <c r="N227">
        <f>E227+F227+G227+H227+I227+J227+K227+L227</f>
        <v>0</v>
      </c>
      <c r="O227">
        <f>E227+F227+G227+H227+I227+J227+K227+M227</f>
        <v>0</v>
      </c>
    </row>
    <row r="228" spans="3:15">
      <c r="C228">
        <f>22.27</f>
        <v>0</v>
      </c>
      <c r="D228">
        <f>2.27</f>
        <v>0</v>
      </c>
      <c r="E228">
        <f>E201*-10.5035</f>
        <v>0</v>
      </c>
      <c r="F228">
        <f>F201*-76.422</f>
        <v>0</v>
      </c>
      <c r="G228">
        <f>G201*-10.883499999999998</f>
        <v>0</v>
      </c>
      <c r="H228">
        <f>H201*0.0</f>
        <v>0</v>
      </c>
      <c r="I228">
        <f>I201*0.629</f>
        <v>0</v>
      </c>
      <c r="J228">
        <f>J201*66.94200000000001</f>
        <v>0</v>
      </c>
      <c r="K228">
        <f>K201*-50.206500000000005</f>
        <v>0</v>
      </c>
      <c r="L228">
        <f>L201*12.950500000000002</f>
        <v>0</v>
      </c>
      <c r="M228">
        <f>M201*-115.82</f>
        <v>0</v>
      </c>
      <c r="N228">
        <f>E228+F228+G228+H228+I228+J228+K228+L228</f>
        <v>0</v>
      </c>
      <c r="O228">
        <f>E228+F228+G228+H228+I228+J228+K228+M228</f>
        <v>0</v>
      </c>
    </row>
    <row r="229" spans="3:15">
      <c r="C229">
        <f>23.18</f>
        <v>0</v>
      </c>
      <c r="D229">
        <f>3.18</f>
        <v>0</v>
      </c>
      <c r="E229">
        <f>E201*-16.3885</f>
        <v>0</v>
      </c>
      <c r="F229">
        <f>F201*-86.536</f>
        <v>0</v>
      </c>
      <c r="G229">
        <f>G201*-11.8525</f>
        <v>0</v>
      </c>
      <c r="H229">
        <f>H201*0.0</f>
        <v>0</v>
      </c>
      <c r="I229">
        <f>I201*0.9155000000000001</f>
        <v>0</v>
      </c>
      <c r="J229">
        <f>J201*-39.236</f>
        <v>0</v>
      </c>
      <c r="K229">
        <f>K201*29.4265</f>
        <v>0</v>
      </c>
      <c r="L229">
        <f>L201*9.9875</f>
        <v>0</v>
      </c>
      <c r="M229">
        <f>M201*-118.12</f>
        <v>0</v>
      </c>
      <c r="N229">
        <f>E229+F229+G229+H229+I229+J229+K229+L229</f>
        <v>0</v>
      </c>
      <c r="O229">
        <f>E229+F229+G229+H229+I229+J229+K229+M229</f>
        <v>0</v>
      </c>
    </row>
    <row r="230" spans="3:15">
      <c r="C230">
        <f>24.09</f>
        <v>0</v>
      </c>
      <c r="D230">
        <f>4.09</f>
        <v>0</v>
      </c>
      <c r="E230">
        <f>E201*-22.841500000000003</f>
        <v>0</v>
      </c>
      <c r="F230">
        <f>F201*-86.094</f>
        <v>0</v>
      </c>
      <c r="G230">
        <f>G201*-11.2925</f>
        <v>0</v>
      </c>
      <c r="H230">
        <f>H201*0.0</f>
        <v>0</v>
      </c>
      <c r="I230">
        <f>I201*1.2890000000000001</f>
        <v>0</v>
      </c>
      <c r="J230">
        <f>J201*-145.7595</f>
        <v>0</v>
      </c>
      <c r="K230">
        <f>K201*109.3195</f>
        <v>0</v>
      </c>
      <c r="L230">
        <f>L201*21.758499999999998</f>
        <v>0</v>
      </c>
      <c r="M230">
        <f>M201*-112.209</f>
        <v>0</v>
      </c>
      <c r="N230">
        <f>E230+F230+G230+H230+I230+J230+K230+L230</f>
        <v>0</v>
      </c>
      <c r="O230">
        <f>E230+F230+G230+H230+I230+J230+K230+M230</f>
        <v>0</v>
      </c>
    </row>
    <row r="231" spans="3:15">
      <c r="C231">
        <f>25.0</f>
        <v>0</v>
      </c>
      <c r="D231">
        <f>5.0</f>
        <v>0</v>
      </c>
      <c r="E231">
        <f>E201*-9.6205</f>
        <v>0</v>
      </c>
      <c r="F231">
        <f>F201*-75.3745</f>
        <v>0</v>
      </c>
      <c r="G231">
        <f>G201*-10.6155</f>
        <v>0</v>
      </c>
      <c r="H231">
        <f>H201*0.0</f>
        <v>0</v>
      </c>
      <c r="I231">
        <f>I201*1.351</f>
        <v>0</v>
      </c>
      <c r="J231">
        <f>J201*-16.763000000000005</f>
        <v>0</v>
      </c>
      <c r="K231">
        <f>K201*12.572500000000005</f>
        <v>0</v>
      </c>
      <c r="L231">
        <f>L201*34.3605</f>
        <v>0</v>
      </c>
      <c r="M231">
        <f>M201*-127.8325</f>
        <v>0</v>
      </c>
      <c r="N231">
        <f>E231+F231+G231+H231+I231+J231+K231+L231</f>
        <v>0</v>
      </c>
      <c r="O231">
        <f>E231+F231+G231+H231+I231+J231+K231+M231</f>
        <v>0</v>
      </c>
    </row>
    <row r="232" spans="3:15">
      <c r="C232">
        <f>26.0</f>
        <v>0</v>
      </c>
      <c r="D232">
        <f>6.0</f>
        <v>0</v>
      </c>
      <c r="E232">
        <f>E201*3.3534999999999995</f>
        <v>0</v>
      </c>
      <c r="F232">
        <f>F201*-59.8955</f>
        <v>0</v>
      </c>
      <c r="G232">
        <f>G201*-9.229</f>
        <v>0</v>
      </c>
      <c r="H232">
        <f>H201*0.0</f>
        <v>0</v>
      </c>
      <c r="I232">
        <f>I201*1.4705</f>
        <v>0</v>
      </c>
      <c r="J232">
        <f>J201*112.73949999999999</f>
        <v>0</v>
      </c>
      <c r="K232">
        <f>K201*-84.5545</f>
        <v>0</v>
      </c>
      <c r="L232">
        <f>L201*19.186999999999998</f>
        <v>0</v>
      </c>
      <c r="M232">
        <f>M201*-110.0495</f>
        <v>0</v>
      </c>
      <c r="N232">
        <f>E232+F232+G232+H232+I232+J232+K232+L232</f>
        <v>0</v>
      </c>
      <c r="O232">
        <f>E232+F232+G232+H232+I232+J232+K232+M232</f>
        <v>0</v>
      </c>
    </row>
    <row r="233" spans="3:15">
      <c r="C233">
        <f>27.0</f>
        <v>0</v>
      </c>
      <c r="D233">
        <f>7.0</f>
        <v>0</v>
      </c>
      <c r="E233">
        <f>E201*-2.8179999999999996</f>
        <v>0</v>
      </c>
      <c r="F233">
        <f>F201*-45.593999999999994</f>
        <v>0</v>
      </c>
      <c r="G233">
        <f>G201*-6.662999999999999</f>
        <v>0</v>
      </c>
      <c r="H233">
        <f>H201*0.0</f>
        <v>0</v>
      </c>
      <c r="I233">
        <f>I201*2.0055</f>
        <v>0</v>
      </c>
      <c r="J233">
        <f>J201*27.162499999999994</f>
        <v>0</v>
      </c>
      <c r="K233">
        <f>K201*-20.372</f>
        <v>0</v>
      </c>
      <c r="L233">
        <f>L201*13.8285</f>
        <v>0</v>
      </c>
      <c r="M233">
        <f>M201*-79.85650000000001</f>
        <v>0</v>
      </c>
      <c r="N233">
        <f>E233+F233+G233+H233+I233+J233+K233+L233</f>
        <v>0</v>
      </c>
      <c r="O233">
        <f>E233+F233+G233+H233+I233+J233+K233+M233</f>
        <v>0</v>
      </c>
    </row>
    <row r="234" spans="3:15">
      <c r="C234">
        <f>28.0</f>
        <v>0</v>
      </c>
      <c r="D234">
        <f>8.0</f>
        <v>0</v>
      </c>
      <c r="E234">
        <f>E201*-7.822000000000001</f>
        <v>0</v>
      </c>
      <c r="F234">
        <f>F201*-28.893</f>
        <v>0</v>
      </c>
      <c r="G234">
        <f>G201*-3.7880000000000003</f>
        <v>0</v>
      </c>
      <c r="H234">
        <f>H201*0.0</f>
        <v>0</v>
      </c>
      <c r="I234">
        <f>I201*2.545</f>
        <v>0</v>
      </c>
      <c r="J234">
        <f>J201*-32.010999999999996</f>
        <v>0</v>
      </c>
      <c r="K234">
        <f>K201*24.0085</f>
        <v>0</v>
      </c>
      <c r="L234">
        <f>L201*18.055</f>
        <v>0</v>
      </c>
      <c r="M234">
        <f>M201*-53.706</f>
        <v>0</v>
      </c>
      <c r="N234">
        <f>E234+F234+G234+H234+I234+J234+K234+L234</f>
        <v>0</v>
      </c>
      <c r="O234">
        <f>E234+F234+G234+H234+I234+J234+K234+M234</f>
        <v>0</v>
      </c>
    </row>
    <row r="235" spans="3:15">
      <c r="C235">
        <f>29.0</f>
        <v>0</v>
      </c>
      <c r="D235">
        <f>9.0</f>
        <v>0</v>
      </c>
      <c r="E235">
        <f>E201*-14.561499999999999</f>
        <v>0</v>
      </c>
      <c r="F235">
        <f>F201*-9.214</f>
        <v>0</v>
      </c>
      <c r="G235">
        <f>G201*-0.4164999999999999</f>
        <v>0</v>
      </c>
      <c r="H235">
        <f>H201*0.0</f>
        <v>0</v>
      </c>
      <c r="I235">
        <f>I201*3.093</f>
        <v>0</v>
      </c>
      <c r="J235">
        <f>J201*-106.86850000000001</f>
        <v>0</v>
      </c>
      <c r="K235">
        <f>K201*80.1515</f>
        <v>0</v>
      </c>
      <c r="L235">
        <f>L201*49.852000000000004</f>
        <v>0</v>
      </c>
      <c r="M235">
        <f>M201*-45.8925</f>
        <v>0</v>
      </c>
      <c r="N235">
        <f>E235+F235+G235+H235+I235+J235+K235+L235</f>
        <v>0</v>
      </c>
      <c r="O235">
        <f>E235+F235+G235+H235+I235+J235+K235+M235</f>
        <v>0</v>
      </c>
    </row>
    <row r="236" spans="3:15">
      <c r="C236">
        <f>30.0</f>
        <v>0</v>
      </c>
      <c r="D236">
        <f>10.0</f>
        <v>0</v>
      </c>
      <c r="E236">
        <f>E201*-0.27200000000000024</f>
        <v>0</v>
      </c>
      <c r="F236">
        <f>F201*-0.47750000000000004</f>
        <v>0</v>
      </c>
      <c r="G236">
        <f>G201*-0.05950000000000011</f>
        <v>0</v>
      </c>
      <c r="H236">
        <f>H201*0.0</f>
        <v>0</v>
      </c>
      <c r="I236">
        <f>I201*3.683</f>
        <v>0</v>
      </c>
      <c r="J236">
        <f>J201*2.0415000000000134</f>
        <v>0</v>
      </c>
      <c r="K236">
        <f>K201*-1.531000000000006</f>
        <v>0</v>
      </c>
      <c r="L236">
        <f>L201*69.193</f>
        <v>0</v>
      </c>
      <c r="M236">
        <f>M201*-69.99000000000001</f>
        <v>0</v>
      </c>
      <c r="N236">
        <f>E236+F236+G236+H236+I236+J236+K236+L236</f>
        <v>0</v>
      </c>
      <c r="O236">
        <f>E236+F236+G236+H236+I236+J236+K236+M236</f>
        <v>0</v>
      </c>
    </row>
    <row r="237" spans="3:15">
      <c r="C237">
        <f>31.0</f>
        <v>0</v>
      </c>
      <c r="D237">
        <f>11.0</f>
        <v>0</v>
      </c>
      <c r="E237">
        <f>E201*14.0105</f>
        <v>0</v>
      </c>
      <c r="F237">
        <f>F201*8.5065</f>
        <v>0</v>
      </c>
      <c r="G237">
        <f>G201*0.3345000000000001</f>
        <v>0</v>
      </c>
      <c r="H237">
        <f>H201*0.0</f>
        <v>0</v>
      </c>
      <c r="I237">
        <f>I201*4.003</f>
        <v>0</v>
      </c>
      <c r="J237">
        <f>J201*111.2495</f>
        <v>0</v>
      </c>
      <c r="K237">
        <f>K201*-83.4375</f>
        <v>0</v>
      </c>
      <c r="L237">
        <f>L201*45.344500000000004</f>
        <v>0</v>
      </c>
      <c r="M237">
        <f>M201*-50.7305</f>
        <v>0</v>
      </c>
      <c r="N237">
        <f>E237+F237+G237+H237+I237+J237+K237+L237</f>
        <v>0</v>
      </c>
      <c r="O237">
        <f>E237+F237+G237+H237+I237+J237+K237+M237</f>
        <v>0</v>
      </c>
    </row>
    <row r="238" spans="3:15">
      <c r="C238">
        <f>32.0</f>
        <v>0</v>
      </c>
      <c r="D238">
        <f>12.0</f>
        <v>0</v>
      </c>
      <c r="E238">
        <f>E201*7.2515</f>
        <v>0</v>
      </c>
      <c r="F238">
        <f>F201*28.977999999999998</f>
        <v>0</v>
      </c>
      <c r="G238">
        <f>G201*3.8235</f>
        <v>0</v>
      </c>
      <c r="H238">
        <f>H201*0.0</f>
        <v>0</v>
      </c>
      <c r="I238">
        <f>I201*3.689</f>
        <v>0</v>
      </c>
      <c r="J238">
        <f>J201*37.312</f>
        <v>0</v>
      </c>
      <c r="K238">
        <f>K201*-27.983999999999998</f>
        <v>0</v>
      </c>
      <c r="L238">
        <f>L201*53.2705</f>
        <v>0</v>
      </c>
      <c r="M238">
        <f>M201*-20.7795</f>
        <v>0</v>
      </c>
      <c r="N238">
        <f>E238+F238+G238+H238+I238+J238+K238+L238</f>
        <v>0</v>
      </c>
      <c r="O238">
        <f>E238+F238+G238+H238+I238+J238+K238+M238</f>
        <v>0</v>
      </c>
    </row>
    <row r="239" spans="3:15">
      <c r="C239">
        <f>33.0</f>
        <v>0</v>
      </c>
      <c r="D239">
        <f>13.0</f>
        <v>0</v>
      </c>
      <c r="E239">
        <f>E201*2.222</f>
        <v>0</v>
      </c>
      <c r="F239">
        <f>F201*47.178</f>
        <v>0</v>
      </c>
      <c r="G239">
        <f>G201*6.9185</f>
        <v>0</v>
      </c>
      <c r="H239">
        <f>H201*0.0</f>
        <v>0</v>
      </c>
      <c r="I239">
        <f>I201*2.373</f>
        <v>0</v>
      </c>
      <c r="J239">
        <f>J201*-20.2335</f>
        <v>0</v>
      </c>
      <c r="K239">
        <f>K201*15.175500000000001</f>
        <v>0</v>
      </c>
      <c r="L239">
        <f>L201*80.5195</f>
        <v>0</v>
      </c>
      <c r="M239">
        <f>M201*-16.4795</f>
        <v>0</v>
      </c>
      <c r="N239">
        <f>E239+F239+G239+H239+I239+J239+K239+L239</f>
        <v>0</v>
      </c>
      <c r="O239">
        <f>E239+F239+G239+H239+I239+J239+K239+M239</f>
        <v>0</v>
      </c>
    </row>
    <row r="240" spans="3:15">
      <c r="C240">
        <f>34.0</f>
        <v>0</v>
      </c>
      <c r="D240">
        <f>14.0</f>
        <v>0</v>
      </c>
      <c r="E240">
        <f>E201*-3.9665</f>
        <v>0</v>
      </c>
      <c r="F240">
        <f>F201*63.9415</f>
        <v>0</v>
      </c>
      <c r="G240">
        <f>G201*9.847000000000001</f>
        <v>0</v>
      </c>
      <c r="H240">
        <f>H201*0.0</f>
        <v>0</v>
      </c>
      <c r="I240">
        <f>I201*-0.7795000000000001</f>
        <v>0</v>
      </c>
      <c r="J240">
        <f>J201*-103.35900000000001</f>
        <v>0</v>
      </c>
      <c r="K240">
        <f>K201*77.5195</f>
        <v>0</v>
      </c>
      <c r="L240">
        <f>L201*112.268</f>
        <v>0</v>
      </c>
      <c r="M240">
        <f>M201*-21.6695</f>
        <v>0</v>
      </c>
      <c r="N240">
        <f>E240+F240+G240+H240+I240+J240+K240+L240</f>
        <v>0</v>
      </c>
      <c r="O240">
        <f>E240+F240+G240+H240+I240+J240+K240+M240</f>
        <v>0</v>
      </c>
    </row>
    <row r="241" spans="3:15">
      <c r="C241">
        <f>35.0</f>
        <v>0</v>
      </c>
      <c r="D241">
        <f>15.0</f>
        <v>0</v>
      </c>
      <c r="E241">
        <f>E201*8.955</f>
        <v>0</v>
      </c>
      <c r="F241">
        <f>F201*76.75</f>
        <v>0</v>
      </c>
      <c r="G241">
        <f>G201*10.843</f>
        <v>0</v>
      </c>
      <c r="H241">
        <f>H201*0.0</f>
        <v>0</v>
      </c>
      <c r="I241">
        <f>I201*4.308</f>
        <v>0</v>
      </c>
      <c r="J241">
        <f>J201*24.14</f>
        <v>0</v>
      </c>
      <c r="K241">
        <f>K201*-18.1045</f>
        <v>0</v>
      </c>
      <c r="L241">
        <f>L201*123.58</f>
        <v>0</v>
      </c>
      <c r="M241">
        <f>M201*-35.760000000000005</f>
        <v>0</v>
      </c>
      <c r="N241">
        <f>E241+F241+G241+H241+I241+J241+K241+L241</f>
        <v>0</v>
      </c>
      <c r="O241">
        <f>E241+F241+G241+H241+I241+J241+K241+M241</f>
        <v>0</v>
      </c>
    </row>
    <row r="242" spans="3:15">
      <c r="C242">
        <f>35.91</f>
        <v>0</v>
      </c>
      <c r="D242">
        <f>15.91</f>
        <v>0</v>
      </c>
      <c r="E242">
        <f>E201*22.173499999999997</f>
        <v>0</v>
      </c>
      <c r="F242">
        <f>F201*84.9855</f>
        <v>0</v>
      </c>
      <c r="G242">
        <f>G201*11.1565</f>
        <v>0</v>
      </c>
      <c r="H242">
        <f>H201*0.0</f>
        <v>0</v>
      </c>
      <c r="I242">
        <f>I201*8.6975</f>
        <v>0</v>
      </c>
      <c r="J242">
        <f>J201*150.84</f>
        <v>0</v>
      </c>
      <c r="K242">
        <f>K201*-113.13</f>
        <v>0</v>
      </c>
      <c r="L242">
        <f>L201*110.0265</f>
        <v>0</v>
      </c>
      <c r="M242">
        <f>M201*-19.11</f>
        <v>0</v>
      </c>
      <c r="N242">
        <f>E242+F242+G242+H242+I242+J242+K242+L242</f>
        <v>0</v>
      </c>
      <c r="O242">
        <f>E242+F242+G242+H242+I242+J242+K242+M242</f>
        <v>0</v>
      </c>
    </row>
    <row r="243" spans="3:15">
      <c r="C243">
        <f>36.82</f>
        <v>0</v>
      </c>
      <c r="D243">
        <f>16.82</f>
        <v>0</v>
      </c>
      <c r="E243">
        <f>E201*15.8675</f>
        <v>0</v>
      </c>
      <c r="F243">
        <f>F201*89.035</f>
        <v>0</v>
      </c>
      <c r="G243">
        <f>G201*12.2395</f>
        <v>0</v>
      </c>
      <c r="H243">
        <f>H201*0.0</f>
        <v>0</v>
      </c>
      <c r="I243">
        <f>I201*2.2185</f>
        <v>0</v>
      </c>
      <c r="J243">
        <f>J201*46.3335</f>
        <v>0</v>
      </c>
      <c r="K243">
        <f>K201*-34.7505</f>
        <v>0</v>
      </c>
      <c r="L243">
        <f>L201*118.0895</f>
        <v>0</v>
      </c>
      <c r="M243">
        <f>M201*-8.174</f>
        <v>0</v>
      </c>
      <c r="N243">
        <f>E243+F243+G243+H243+I243+J243+K243+L243</f>
        <v>0</v>
      </c>
      <c r="O243">
        <f>E243+F243+G243+H243+I243+J243+K243+M243</f>
        <v>0</v>
      </c>
    </row>
    <row r="244" spans="3:15">
      <c r="C244">
        <f>37.73</f>
        <v>0</v>
      </c>
      <c r="D244">
        <f>17.73</f>
        <v>0</v>
      </c>
      <c r="E244">
        <f>E201*10.2685</f>
        <v>0</v>
      </c>
      <c r="F244">
        <f>F201*83.03800000000001</f>
        <v>0</v>
      </c>
      <c r="G244">
        <f>G201*11.864</f>
        <v>0</v>
      </c>
      <c r="H244">
        <f>H201*0.0</f>
        <v>0</v>
      </c>
      <c r="I244">
        <f>I201*-7.1065</f>
        <v>0</v>
      </c>
      <c r="J244">
        <f>J201*-58.628</f>
        <v>0</v>
      </c>
      <c r="K244">
        <f>K201*43.971000000000004</f>
        <v>0</v>
      </c>
      <c r="L244">
        <f>L201*117.02000000000001</f>
        <v>0</v>
      </c>
      <c r="M244">
        <f>M201*-12.4885</f>
        <v>0</v>
      </c>
      <c r="N244">
        <f>E244+F244+G244+H244+I244+J244+K244+L244</f>
        <v>0</v>
      </c>
      <c r="O244">
        <f>E244+F244+G244+H244+I244+J244+K244+M244</f>
        <v>0</v>
      </c>
    </row>
    <row r="245" spans="3:15">
      <c r="C245">
        <f>38.64</f>
        <v>0</v>
      </c>
      <c r="D245">
        <f>18.64</f>
        <v>0</v>
      </c>
      <c r="E245">
        <f>E201*2.4775</f>
        <v>0</v>
      </c>
      <c r="F245">
        <f>F201*60.083</f>
        <v>0</v>
      </c>
      <c r="G245">
        <f>G201*9.136</f>
        <v>0</v>
      </c>
      <c r="H245">
        <f>H201*0.0</f>
        <v>0</v>
      </c>
      <c r="I245">
        <f>I201*-25.609499999999997</f>
        <v>0</v>
      </c>
      <c r="J245">
        <f>J201*-217.125</f>
        <v>0</v>
      </c>
      <c r="K245">
        <f>K201*162.844</f>
        <v>0</v>
      </c>
      <c r="L245">
        <f>L201*96.054</f>
        <v>0</v>
      </c>
      <c r="M245">
        <f>M201*-20.0165</f>
        <v>0</v>
      </c>
      <c r="N245">
        <f>E245+F245+G245+H245+I245+J245+K245+L245</f>
        <v>0</v>
      </c>
      <c r="O245">
        <f>E245+F245+G245+H245+I245+J245+K245+M245</f>
        <v>0</v>
      </c>
    </row>
    <row r="246" spans="3:15">
      <c r="C246">
        <f>39.55</f>
        <v>0</v>
      </c>
      <c r="D246">
        <f>19.55</f>
        <v>0</v>
      </c>
      <c r="E246">
        <f>E201*-0.19600000000000017</f>
        <v>0</v>
      </c>
      <c r="F246">
        <f>F201*30.494</f>
        <v>0</v>
      </c>
      <c r="G246">
        <f>G201*4.793</f>
        <v>0</v>
      </c>
      <c r="H246">
        <f>H201*0.0</f>
        <v>0</v>
      </c>
      <c r="I246">
        <f>I201*-18.136499999999998</f>
        <v>0</v>
      </c>
      <c r="J246">
        <f>J201*-155.2305</f>
        <v>0</v>
      </c>
      <c r="K246">
        <f>K201*116.42299999999999</f>
        <v>0</v>
      </c>
      <c r="L246">
        <f>L201*56.8005</f>
        <v>0</v>
      </c>
      <c r="M246">
        <f>M201*-21.091</f>
        <v>0</v>
      </c>
      <c r="N246">
        <f>E246+F246+G246+H246+I246+J246+K246+L246</f>
        <v>0</v>
      </c>
      <c r="O246">
        <f>E246+F246+G246+H246+I246+J246+K246+M246</f>
        <v>0</v>
      </c>
    </row>
    <row r="247" spans="3:15">
      <c r="C247">
        <f>40.0</f>
        <v>0</v>
      </c>
      <c r="D247">
        <f>20.0</f>
        <v>0</v>
      </c>
      <c r="E247">
        <f>E201*5.82</f>
        <v>0</v>
      </c>
      <c r="F247">
        <f>F201*32.562</f>
        <v>0</v>
      </c>
      <c r="G247">
        <f>G201*4.454</f>
        <v>0</v>
      </c>
      <c r="H247">
        <f>H201*0.0</f>
        <v>0</v>
      </c>
      <c r="I247">
        <f>I201*12.45</f>
        <v>0</v>
      </c>
      <c r="J247">
        <f>J201*83.48899999999999</f>
        <v>0</v>
      </c>
      <c r="K247">
        <f>K201*-62.617</f>
        <v>0</v>
      </c>
      <c r="L247">
        <f>L201*43.255</f>
        <v>0</v>
      </c>
      <c r="M247">
        <f>M201*-8.597000000000001</f>
        <v>0</v>
      </c>
      <c r="N247">
        <f>E247+F247+G247+H247+I247+J247+K247+L247</f>
        <v>0</v>
      </c>
      <c r="O247">
        <f>E247+F247+G247+H247+I247+J247+K247+M247</f>
        <v>0</v>
      </c>
    </row>
    <row r="248" spans="3:15">
      <c r="C248">
        <f>40.0</f>
        <v>0</v>
      </c>
      <c r="D248">
        <f>0.0</f>
        <v>0</v>
      </c>
      <c r="E248">
        <f>E201*-4.591</f>
        <v>0</v>
      </c>
      <c r="F248">
        <f>F201*-16.854</f>
        <v>0</v>
      </c>
      <c r="G248">
        <f>G201*-2.19</f>
        <v>0</v>
      </c>
      <c r="H248">
        <f>H201*0.0</f>
        <v>0</v>
      </c>
      <c r="I248">
        <f>I201*-39.012</f>
        <v>0</v>
      </c>
      <c r="J248">
        <f>J201*-78.501</f>
        <v>0</v>
      </c>
      <c r="K248">
        <f>K201*58.876000000000005</f>
        <v>0</v>
      </c>
      <c r="L248">
        <f>L201*6.41</f>
        <v>0</v>
      </c>
      <c r="M248">
        <f>M201*-24.833000000000002</f>
        <v>0</v>
      </c>
      <c r="N248">
        <f>E248+F248+G248+H248+I248+J248+K248+L248</f>
        <v>0</v>
      </c>
      <c r="O248">
        <f>E248+F248+G248+H248+I248+J248+K248+M248</f>
        <v>0</v>
      </c>
    </row>
    <row r="249" spans="3:15">
      <c r="C249">
        <f>40.45</f>
        <v>0</v>
      </c>
      <c r="D249">
        <f>0.45</f>
        <v>0</v>
      </c>
      <c r="E249">
        <f>E201*2.0180000000000002</f>
        <v>0</v>
      </c>
      <c r="F249">
        <f>F201*-0.3285</f>
        <v>0</v>
      </c>
      <c r="G249">
        <f>G201*-0.4155</f>
        <v>0</v>
      </c>
      <c r="H249">
        <f>H201*0.0</f>
        <v>0</v>
      </c>
      <c r="I249">
        <f>I201*-25.855</f>
        <v>0</v>
      </c>
      <c r="J249">
        <f>J201*173.26999999999998</f>
        <v>0</v>
      </c>
      <c r="K249">
        <f>K201*-129.9525</f>
        <v>0</v>
      </c>
      <c r="L249">
        <f>L201*25.123000000000005</f>
        <v>0</v>
      </c>
      <c r="M249">
        <f>M201*-31.478</f>
        <v>0</v>
      </c>
      <c r="N249">
        <f>E249+F249+G249+H249+I249+J249+K249+L249</f>
        <v>0</v>
      </c>
      <c r="O249">
        <f>E249+F249+G249+H249+I249+J249+K249+M249</f>
        <v>0</v>
      </c>
    </row>
    <row r="250" spans="3:15">
      <c r="C250">
        <f>41.36</f>
        <v>0</v>
      </c>
      <c r="D250">
        <f>1.36</f>
        <v>0</v>
      </c>
      <c r="E250">
        <f>E201*0.969</f>
        <v>0</v>
      </c>
      <c r="F250">
        <f>F201*-2.3040000000000003</f>
        <v>0</v>
      </c>
      <c r="G250">
        <f>G201*-0.7385</f>
        <v>0</v>
      </c>
      <c r="H250">
        <f>H201*0.0</f>
        <v>0</v>
      </c>
      <c r="I250">
        <f>I201*-56.362</f>
        <v>0</v>
      </c>
      <c r="J250">
        <f>J201*259.217</f>
        <v>0</v>
      </c>
      <c r="K250">
        <f>K201*-194.41299999999998</f>
        <v>0</v>
      </c>
      <c r="L250">
        <f>L201*25.799500000000002</f>
        <v>0</v>
      </c>
      <c r="M250">
        <f>M201*-43.6195</f>
        <v>0</v>
      </c>
      <c r="N250">
        <f>E250+F250+G250+H250+I250+J250+K250+L250</f>
        <v>0</v>
      </c>
      <c r="O250">
        <f>E250+F250+G250+H250+I250+J250+K250+M250</f>
        <v>0</v>
      </c>
    </row>
    <row r="251" spans="3:15">
      <c r="C251">
        <f>42.27</f>
        <v>0</v>
      </c>
      <c r="D251">
        <f>2.27</f>
        <v>0</v>
      </c>
      <c r="E251">
        <f>E201*-5.480499999999999</f>
        <v>0</v>
      </c>
      <c r="F251">
        <f>F201*-15.421499999999998</f>
        <v>0</v>
      </c>
      <c r="G251">
        <f>G201*-2.0695</f>
        <v>0</v>
      </c>
      <c r="H251">
        <f>H201*0.0</f>
        <v>0</v>
      </c>
      <c r="I251">
        <f>I201*-84.01050000000001</f>
        <v>0</v>
      </c>
      <c r="J251">
        <f>J201*106.0195</f>
        <v>0</v>
      </c>
      <c r="K251">
        <f>K201*-79.5145</f>
        <v>0</v>
      </c>
      <c r="L251">
        <f>L201*13.1905</f>
        <v>0</v>
      </c>
      <c r="M251">
        <f>M201*-43.884</f>
        <v>0</v>
      </c>
      <c r="N251">
        <f>E251+F251+G251+H251+I251+J251+K251+L251</f>
        <v>0</v>
      </c>
      <c r="O251">
        <f>E251+F251+G251+H251+I251+J251+K251+M251</f>
        <v>0</v>
      </c>
    </row>
    <row r="252" spans="3:15">
      <c r="C252">
        <f>43.18</f>
        <v>0</v>
      </c>
      <c r="D252">
        <f>3.18</f>
        <v>0</v>
      </c>
      <c r="E252">
        <f>E201*-9.496</f>
        <v>0</v>
      </c>
      <c r="F252">
        <f>F201*-18.200499999999998</f>
        <v>0</v>
      </c>
      <c r="G252">
        <f>G201*-2.049</f>
        <v>0</v>
      </c>
      <c r="H252">
        <f>H201*0.0</f>
        <v>0</v>
      </c>
      <c r="I252">
        <f>I201*-90.06150000000001</f>
        <v>0</v>
      </c>
      <c r="J252">
        <f>J201*-5.973000000000001</f>
        <v>0</v>
      </c>
      <c r="K252">
        <f>K201*4.48</f>
        <v>0</v>
      </c>
      <c r="L252">
        <f>L201*18.877499999999998</f>
        <v>0</v>
      </c>
      <c r="M252">
        <f>M201*-39.2755</f>
        <v>0</v>
      </c>
      <c r="N252">
        <f>E252+F252+G252+H252+I252+J252+K252+L252</f>
        <v>0</v>
      </c>
      <c r="O252">
        <f>E252+F252+G252+H252+I252+J252+K252+M252</f>
        <v>0</v>
      </c>
    </row>
    <row r="253" spans="3:15">
      <c r="C253">
        <f>44.09</f>
        <v>0</v>
      </c>
      <c r="D253">
        <f>4.09</f>
        <v>0</v>
      </c>
      <c r="E253">
        <f>E201*-13.567</f>
        <v>0</v>
      </c>
      <c r="F253">
        <f>F201*-14.486999999999998</f>
        <v>0</v>
      </c>
      <c r="G253">
        <f>G201*-1.1355</f>
        <v>0</v>
      </c>
      <c r="H253">
        <f>H201*0.0</f>
        <v>0</v>
      </c>
      <c r="I253">
        <f>I201*-91.238</f>
        <v>0</v>
      </c>
      <c r="J253">
        <f>J201*-131.4005</f>
        <v>0</v>
      </c>
      <c r="K253">
        <f>K201*98.5505</f>
        <v>0</v>
      </c>
      <c r="L253">
        <f>L201*39.489</f>
        <v>0</v>
      </c>
      <c r="M253">
        <f>M201*-37.969500000000004</f>
        <v>0</v>
      </c>
      <c r="N253">
        <f>E253+F253+G253+H253+I253+J253+K253+L253</f>
        <v>0</v>
      </c>
      <c r="O253">
        <f>E253+F253+G253+H253+I253+J253+K253+M253</f>
        <v>0</v>
      </c>
    </row>
    <row r="254" spans="3:15">
      <c r="C254">
        <f>45.0</f>
        <v>0</v>
      </c>
      <c r="D254">
        <f>5.0</f>
        <v>0</v>
      </c>
      <c r="E254">
        <f>E201*-2.284</f>
        <v>0</v>
      </c>
      <c r="F254">
        <f>F201*-5.864999999999999</f>
        <v>0</v>
      </c>
      <c r="G254">
        <f>G201*-0.6445</f>
        <v>0</v>
      </c>
      <c r="H254">
        <f>H201*0.0</f>
        <v>0</v>
      </c>
      <c r="I254">
        <f>I201*-18.130499999999998</f>
        <v>0</v>
      </c>
      <c r="J254">
        <f>J201*31.63849999999998</f>
        <v>0</v>
      </c>
      <c r="K254">
        <f>K201*-23.729</f>
        <v>0</v>
      </c>
      <c r="L254">
        <f>L201*47.87649999999999</f>
        <v>0</v>
      </c>
      <c r="M254">
        <f>M201*-51.2525</f>
        <v>0</v>
      </c>
      <c r="N254">
        <f>E254+F254+G254+H254+I254+J254+K254+L254</f>
        <v>0</v>
      </c>
      <c r="O254">
        <f>E254+F254+G254+H254+I254+J254+K254+M254</f>
        <v>0</v>
      </c>
    </row>
    <row r="255" spans="3:15">
      <c r="C255">
        <f>46.0</f>
        <v>0</v>
      </c>
      <c r="D255">
        <f>6.0</f>
        <v>0</v>
      </c>
      <c r="E255">
        <f>E201*9.238</f>
        <v>0</v>
      </c>
      <c r="F255">
        <f>F201*4.948</f>
        <v>0</v>
      </c>
      <c r="G255">
        <f>G201*0.1425</f>
        <v>0</v>
      </c>
      <c r="H255">
        <f>H201*0.0</f>
        <v>0</v>
      </c>
      <c r="I255">
        <f>I201*57.594500000000004</f>
        <v>0</v>
      </c>
      <c r="J255">
        <f>J201*184.323</f>
        <v>0</v>
      </c>
      <c r="K255">
        <f>K201*-138.2425</f>
        <v>0</v>
      </c>
      <c r="L255">
        <f>L201*27.7165</f>
        <v>0</v>
      </c>
      <c r="M255">
        <f>M201*-33.379</f>
        <v>0</v>
      </c>
      <c r="N255">
        <f>E255+F255+G255+H255+I255+J255+K255+L255</f>
        <v>0</v>
      </c>
      <c r="O255">
        <f>E255+F255+G255+H255+I255+J255+K255+M255</f>
        <v>0</v>
      </c>
    </row>
    <row r="256" spans="3:15">
      <c r="C256">
        <f>47.0</f>
        <v>0</v>
      </c>
      <c r="D256">
        <f>7.0</f>
        <v>0</v>
      </c>
      <c r="E256">
        <f>E201*6.5520000000000005</f>
        <v>0</v>
      </c>
      <c r="F256">
        <f>F201*14.436499999999999</f>
        <v>0</v>
      </c>
      <c r="G256">
        <f>G201*1.7830000000000001</f>
        <v>0</v>
      </c>
      <c r="H256">
        <f>H201*0.0</f>
        <v>0</v>
      </c>
      <c r="I256">
        <f>I201*64.9395</f>
        <v>0</v>
      </c>
      <c r="J256">
        <f>J201*46.695499999999996</f>
        <v>0</v>
      </c>
      <c r="K256">
        <f>K201*-35.0215</f>
        <v>0</v>
      </c>
      <c r="L256">
        <f>L201*34.7115</f>
        <v>0</v>
      </c>
      <c r="M256">
        <f>M201*-13.6295</f>
        <v>0</v>
      </c>
      <c r="N256">
        <f>E256+F256+G256+H256+I256+J256+K256+L256</f>
        <v>0</v>
      </c>
      <c r="O256">
        <f>E256+F256+G256+H256+I256+J256+K256+M256</f>
        <v>0</v>
      </c>
    </row>
    <row r="257" spans="3:15">
      <c r="C257">
        <f>48.0</f>
        <v>0</v>
      </c>
      <c r="D257">
        <f>8.0</f>
        <v>0</v>
      </c>
      <c r="E257">
        <f>E201*5.196</f>
        <v>0</v>
      </c>
      <c r="F257">
        <f>F201*22.78</f>
        <v>0</v>
      </c>
      <c r="G257">
        <f>G201*3.1765</f>
        <v>0</v>
      </c>
      <c r="H257">
        <f>H201*0.0</f>
        <v>0</v>
      </c>
      <c r="I257">
        <f>I201*73.488</f>
        <v>0</v>
      </c>
      <c r="J257">
        <f>J201*-92.7145</f>
        <v>0</v>
      </c>
      <c r="K257">
        <f>K201*69.536</f>
        <v>0</v>
      </c>
      <c r="L257">
        <f>L201*49.2905</f>
        <v>0</v>
      </c>
      <c r="M257">
        <f>M201*-7.977</f>
        <v>0</v>
      </c>
      <c r="N257">
        <f>E257+F257+G257+H257+I257+J257+K257+L257</f>
        <v>0</v>
      </c>
      <c r="O257">
        <f>E257+F257+G257+H257+I257+J257+K257+M257</f>
        <v>0</v>
      </c>
    </row>
    <row r="258" spans="3:15">
      <c r="C258">
        <f>49.0</f>
        <v>0</v>
      </c>
      <c r="D258">
        <f>9.0</f>
        <v>0</v>
      </c>
      <c r="E258">
        <f>E201*2.652</f>
        <v>0</v>
      </c>
      <c r="F258">
        <f>F201*29.5985</f>
        <v>0</v>
      </c>
      <c r="G258">
        <f>G201*4.304</f>
        <v>0</v>
      </c>
      <c r="H258">
        <f>H201*0.0</f>
        <v>0</v>
      </c>
      <c r="I258">
        <f>I201*68.6315</f>
        <v>0</v>
      </c>
      <c r="J258">
        <f>J201*-326.56399999999996</f>
        <v>0</v>
      </c>
      <c r="K258">
        <f>K201*244.9235</f>
        <v>0</v>
      </c>
      <c r="L258">
        <f>L201*62.5605</f>
        <v>0</v>
      </c>
      <c r="M258">
        <f>M201*-6.561</f>
        <v>0</v>
      </c>
      <c r="N258">
        <f>E258+F258+G258+H258+I258+J258+K258+L258</f>
        <v>0</v>
      </c>
      <c r="O258">
        <f>E258+F258+G258+H258+I258+J258+K258+M258</f>
        <v>0</v>
      </c>
    </row>
    <row r="266" spans="3:15">
      <c r="C266" t="s">
        <v>0</v>
      </c>
      <c r="D266" t="s">
        <v>1</v>
      </c>
      <c r="E266" t="s">
        <v>2</v>
      </c>
      <c r="F266" t="s">
        <v>3</v>
      </c>
      <c r="G266" t="s">
        <v>4</v>
      </c>
      <c r="H266" t="s">
        <v>5</v>
      </c>
      <c r="I266" t="s">
        <v>6</v>
      </c>
      <c r="J266" t="s">
        <v>7</v>
      </c>
      <c r="K266" t="s">
        <v>8</v>
      </c>
      <c r="L266" t="s">
        <v>9</v>
      </c>
      <c r="M266" t="s">
        <v>10</v>
      </c>
      <c r="N266" t="s">
        <v>11</v>
      </c>
      <c r="O266" t="s">
        <v>12</v>
      </c>
    </row>
    <row r="267" spans="3:15">
      <c r="C267">
        <f>0.0</f>
        <v>0</v>
      </c>
      <c r="D267">
        <f>0.0</f>
        <v>0</v>
      </c>
      <c r="E267">
        <f>E265*-30.428</f>
        <v>0</v>
      </c>
      <c r="F267">
        <f>F265*-22.05</f>
        <v>0</v>
      </c>
      <c r="G267">
        <f>G265*-1.178</f>
        <v>0</v>
      </c>
      <c r="H267">
        <f>H265*0.0</f>
        <v>0</v>
      </c>
      <c r="I267">
        <f>I265*-0.182</f>
        <v>0</v>
      </c>
      <c r="J267">
        <f>J265*517.158</f>
        <v>0</v>
      </c>
      <c r="K267">
        <f>K265*-387.869</f>
        <v>0</v>
      </c>
      <c r="L267">
        <f>L265*446.542</f>
        <v>0</v>
      </c>
      <c r="M267">
        <f>M265*-446.04699999999997</f>
        <v>0</v>
      </c>
      <c r="N267">
        <f>E267+F267+G267+H267+I267+J267+K267+L267</f>
        <v>0</v>
      </c>
      <c r="O267">
        <f>E267+F267+G267+H267+I267+J267+K267+M267</f>
        <v>0</v>
      </c>
    </row>
    <row r="268" spans="3:15">
      <c r="C268">
        <f>1.0</f>
        <v>0</v>
      </c>
      <c r="D268">
        <f>1.0</f>
        <v>0</v>
      </c>
      <c r="E268">
        <f>E265*-29.4885</f>
        <v>0</v>
      </c>
      <c r="F268">
        <f>F265*-29.8435</f>
        <v>0</v>
      </c>
      <c r="G268">
        <f>G265*-2.4415</f>
        <v>0</v>
      </c>
      <c r="H268">
        <f>H265*0.0</f>
        <v>0</v>
      </c>
      <c r="I268">
        <f>I265*-0.17149999999999999</f>
        <v>0</v>
      </c>
      <c r="J268">
        <f>J265*390.5955</f>
        <v>0</v>
      </c>
      <c r="K268">
        <f>K265*-292.9465</f>
        <v>0</v>
      </c>
      <c r="L268">
        <f>L265*418.5895</f>
        <v>0</v>
      </c>
      <c r="M268">
        <f>M265*-431.3115</f>
        <v>0</v>
      </c>
      <c r="N268">
        <f>E268+F268+G268+H268+I268+J268+K268+L268</f>
        <v>0</v>
      </c>
      <c r="O268">
        <f>E268+F268+G268+H268+I268+J268+K268+M268</f>
        <v>0</v>
      </c>
    </row>
    <row r="269" spans="3:15">
      <c r="C269">
        <f>2.0</f>
        <v>0</v>
      </c>
      <c r="D269">
        <f>2.0</f>
        <v>0</v>
      </c>
      <c r="E269">
        <f>E265*-27.149499999999996</f>
        <v>0</v>
      </c>
      <c r="F269">
        <f>F265*-42.0135</f>
        <v>0</v>
      </c>
      <c r="G269">
        <f>G265*-4.4605</f>
        <v>0</v>
      </c>
      <c r="H269">
        <f>H265*0.0</f>
        <v>0</v>
      </c>
      <c r="I269">
        <f>I265*-0.1585</f>
        <v>0</v>
      </c>
      <c r="J269">
        <f>J265*211.574</f>
        <v>0</v>
      </c>
      <c r="K269">
        <f>K265*-158.6805</f>
        <v>0</v>
      </c>
      <c r="L269">
        <f>L265*381.34450000000004</f>
        <v>0</v>
      </c>
      <c r="M269">
        <f>M265*-417.498</f>
        <v>0</v>
      </c>
      <c r="N269">
        <f>E269+F269+G269+H269+I269+J269+K269+L269</f>
        <v>0</v>
      </c>
      <c r="O269">
        <f>E269+F269+G269+H269+I269+J269+K269+M269</f>
        <v>0</v>
      </c>
    </row>
    <row r="270" spans="3:15">
      <c r="C270">
        <f>3.0</f>
        <v>0</v>
      </c>
      <c r="D270">
        <f>3.0</f>
        <v>0</v>
      </c>
      <c r="E270">
        <f>E265*-22.833</f>
        <v>0</v>
      </c>
      <c r="F270">
        <f>F265*-56.557500000000005</f>
        <v>0</v>
      </c>
      <c r="G270">
        <f>G265*-6.9205</f>
        <v>0</v>
      </c>
      <c r="H270">
        <f>H265*0.0</f>
        <v>0</v>
      </c>
      <c r="I270">
        <f>I265*-0.148</f>
        <v>0</v>
      </c>
      <c r="J270">
        <f>J265*139.954</f>
        <v>0</v>
      </c>
      <c r="K270">
        <f>K265*-104.96549999999999</f>
        <v>0</v>
      </c>
      <c r="L270">
        <f>L265*354.704</f>
        <v>0</v>
      </c>
      <c r="M270">
        <f>M265*-417.063</f>
        <v>0</v>
      </c>
      <c r="N270">
        <f>E270+F270+G270+H270+I270+J270+K270+L270</f>
        <v>0</v>
      </c>
      <c r="O270">
        <f>E270+F270+G270+H270+I270+J270+K270+M270</f>
        <v>0</v>
      </c>
    </row>
    <row r="271" spans="3:15">
      <c r="C271">
        <f>4.0</f>
        <v>0</v>
      </c>
      <c r="D271">
        <f>4.0</f>
        <v>0</v>
      </c>
      <c r="E271">
        <f>E265*-16.997</f>
        <v>0</v>
      </c>
      <c r="F271">
        <f>F265*-76.0915</f>
        <v>0</v>
      </c>
      <c r="G271">
        <f>G265*-10.1815</f>
        <v>0</v>
      </c>
      <c r="H271">
        <f>H265*0.0</f>
        <v>0</v>
      </c>
      <c r="I271">
        <f>I265*-0.137</f>
        <v>0</v>
      </c>
      <c r="J271">
        <f>J265*150.761</f>
        <v>0</v>
      </c>
      <c r="K271">
        <f>K265*-113.07050000000001</f>
        <v>0</v>
      </c>
      <c r="L271">
        <f>L265*334.35749999999996</f>
        <v>0</v>
      </c>
      <c r="M271">
        <f>M265*-427.27750000000003</f>
        <v>0</v>
      </c>
      <c r="N271">
        <f>E271+F271+G271+H271+I271+J271+K271+L271</f>
        <v>0</v>
      </c>
      <c r="O271">
        <f>E271+F271+G271+H271+I271+J271+K271+M271</f>
        <v>0</v>
      </c>
    </row>
    <row r="272" spans="3:15">
      <c r="C272">
        <f>5.0</f>
        <v>0</v>
      </c>
      <c r="D272">
        <f>5.0</f>
        <v>0</v>
      </c>
      <c r="E272">
        <f>E265*-12.0825</f>
        <v>0</v>
      </c>
      <c r="F272">
        <f>F265*-85.044</f>
        <v>0</v>
      </c>
      <c r="G272">
        <f>G265*-11.8095</f>
        <v>0</v>
      </c>
      <c r="H272">
        <f>H265*0.0</f>
        <v>0</v>
      </c>
      <c r="I272">
        <f>I265*-0.1275</f>
        <v>0</v>
      </c>
      <c r="J272">
        <f>J265*160.6905</f>
        <v>0</v>
      </c>
      <c r="K272">
        <f>K265*-120.5175</f>
        <v>0</v>
      </c>
      <c r="L272">
        <f>L265*319.796</f>
        <v>0</v>
      </c>
      <c r="M272">
        <f>M265*-428.5715</f>
        <v>0</v>
      </c>
      <c r="N272">
        <f>E272+F272+G272+H272+I272+J272+K272+L272</f>
        <v>0</v>
      </c>
      <c r="O272">
        <f>E272+F272+G272+H272+I272+J272+K272+M272</f>
        <v>0</v>
      </c>
    </row>
    <row r="273" spans="3:15">
      <c r="C273">
        <f>6.0</f>
        <v>0</v>
      </c>
      <c r="D273">
        <f>6.0</f>
        <v>0</v>
      </c>
      <c r="E273">
        <f>E265*-10.6095</f>
        <v>0</v>
      </c>
      <c r="F273">
        <f>F265*-83.9255</f>
        <v>0</v>
      </c>
      <c r="G273">
        <f>G265*-11.735499999999998</f>
        <v>0</v>
      </c>
      <c r="H273">
        <f>H265*0.0</f>
        <v>0</v>
      </c>
      <c r="I273">
        <f>I265*-0.118</f>
        <v>0</v>
      </c>
      <c r="J273">
        <f>J265*119.7255</f>
        <v>0</v>
      </c>
      <c r="K273">
        <f>K265*-89.79400000000001</f>
        <v>0</v>
      </c>
      <c r="L273">
        <f>L265*305.76</f>
        <v>0</v>
      </c>
      <c r="M273">
        <f>M265*-414.20400000000006</f>
        <v>0</v>
      </c>
      <c r="N273">
        <f>E273+F273+G273+H273+I273+J273+K273+L273</f>
        <v>0</v>
      </c>
      <c r="O273">
        <f>E273+F273+G273+H273+I273+J273+K273+M273</f>
        <v>0</v>
      </c>
    </row>
    <row r="274" spans="3:15">
      <c r="C274">
        <f>7.0</f>
        <v>0</v>
      </c>
      <c r="D274">
        <f>7.0</f>
        <v>0</v>
      </c>
      <c r="E274">
        <f>E265*-11.195</f>
        <v>0</v>
      </c>
      <c r="F274">
        <f>F265*-87.313</f>
        <v>0</v>
      </c>
      <c r="G274">
        <f>G265*-12.206</f>
        <v>0</v>
      </c>
      <c r="H274">
        <f>H265*0.0</f>
        <v>0</v>
      </c>
      <c r="I274">
        <f>I265*-0.1085</f>
        <v>0</v>
      </c>
      <c r="J274">
        <f>J265*61.5655</f>
        <v>0</v>
      </c>
      <c r="K274">
        <f>K265*-46.174499999999995</f>
        <v>0</v>
      </c>
      <c r="L274">
        <f>L265*289.846</f>
        <v>0</v>
      </c>
      <c r="M274">
        <f>M265*-400.16700000000003</f>
        <v>0</v>
      </c>
      <c r="N274">
        <f>E274+F274+G274+H274+I274+J274+K274+L274</f>
        <v>0</v>
      </c>
      <c r="O274">
        <f>E274+F274+G274+H274+I274+J274+K274+M274</f>
        <v>0</v>
      </c>
    </row>
    <row r="275" spans="3:15">
      <c r="C275">
        <f>8.0</f>
        <v>0</v>
      </c>
      <c r="D275">
        <f>8.0</f>
        <v>0</v>
      </c>
      <c r="E275">
        <f>E265*-9.055</f>
        <v>0</v>
      </c>
      <c r="F275">
        <f>F265*-91.931</f>
        <v>0</v>
      </c>
      <c r="G275">
        <f>G265*-13.012</f>
        <v>0</v>
      </c>
      <c r="H275">
        <f>H265*0.0</f>
        <v>0</v>
      </c>
      <c r="I275">
        <f>I265*-0.09949999999999999</f>
        <v>0</v>
      </c>
      <c r="J275">
        <f>J265*44.763999999999996</f>
        <v>0</v>
      </c>
      <c r="K275">
        <f>K265*-33.573499999999996</f>
        <v>0</v>
      </c>
      <c r="L275">
        <f>L265*273.1585</f>
        <v>0</v>
      </c>
      <c r="M275">
        <f>M265*-389.46450000000004</f>
        <v>0</v>
      </c>
      <c r="N275">
        <f>E275+F275+G275+H275+I275+J275+K275+L275</f>
        <v>0</v>
      </c>
      <c r="O275">
        <f>E275+F275+G275+H275+I275+J275+K275+M275</f>
        <v>0</v>
      </c>
    </row>
    <row r="276" spans="3:15">
      <c r="C276">
        <f>9.0</f>
        <v>0</v>
      </c>
      <c r="D276">
        <f>9.0</f>
        <v>0</v>
      </c>
      <c r="E276">
        <f>E265*-3.7560000000000002</f>
        <v>0</v>
      </c>
      <c r="F276">
        <f>F265*-97.161</f>
        <v>0</v>
      </c>
      <c r="G276">
        <f>G265*-14.0885</f>
        <v>0</v>
      </c>
      <c r="H276">
        <f>H265*0.0</f>
        <v>0</v>
      </c>
      <c r="I276">
        <f>I265*-0.088</f>
        <v>0</v>
      </c>
      <c r="J276">
        <f>J265*65.207</f>
        <v>0</v>
      </c>
      <c r="K276">
        <f>K265*-48.9055</f>
        <v>0</v>
      </c>
      <c r="L276">
        <f>L265*254.038</f>
        <v>0</v>
      </c>
      <c r="M276">
        <f>M265*-382.6215</f>
        <v>0</v>
      </c>
      <c r="N276">
        <f>E276+F276+G276+H276+I276+J276+K276+L276</f>
        <v>0</v>
      </c>
      <c r="O276">
        <f>E276+F276+G276+H276+I276+J276+K276+M276</f>
        <v>0</v>
      </c>
    </row>
    <row r="277" spans="3:15">
      <c r="C277">
        <f>10.0</f>
        <v>0</v>
      </c>
      <c r="D277">
        <f>10.0</f>
        <v>0</v>
      </c>
      <c r="E277">
        <f>E265*-0.7615000000000001</f>
        <v>0</v>
      </c>
      <c r="F277">
        <f>F265*-102.332</f>
        <v>0</v>
      </c>
      <c r="G277">
        <f>G265*-15.017499999999998</f>
        <v>0</v>
      </c>
      <c r="H277">
        <f>H265*0.0</f>
        <v>0</v>
      </c>
      <c r="I277">
        <f>I265*-0.077</f>
        <v>0</v>
      </c>
      <c r="J277">
        <f>J265*77.151</f>
        <v>0</v>
      </c>
      <c r="K277">
        <f>K265*-57.863</f>
        <v>0</v>
      </c>
      <c r="L277">
        <f>L265*234.80599999999998</f>
        <v>0</v>
      </c>
      <c r="M277">
        <f>M265*-371.6845</f>
        <v>0</v>
      </c>
      <c r="N277">
        <f>E277+F277+G277+H277+I277+J277+K277+L277</f>
        <v>0</v>
      </c>
      <c r="O277">
        <f>E277+F277+G277+H277+I277+J277+K277+M277</f>
        <v>0</v>
      </c>
    </row>
    <row r="278" spans="3:15">
      <c r="C278">
        <f>11.0</f>
        <v>0</v>
      </c>
      <c r="D278">
        <f>11.0</f>
        <v>0</v>
      </c>
      <c r="E278">
        <f>E265*-2.9825</f>
        <v>0</v>
      </c>
      <c r="F278">
        <f>F265*-103.208</f>
        <v>0</v>
      </c>
      <c r="G278">
        <f>G265*-14.987</f>
        <v>0</v>
      </c>
      <c r="H278">
        <f>H265*0.0</f>
        <v>0</v>
      </c>
      <c r="I278">
        <f>I265*-0.065</f>
        <v>0</v>
      </c>
      <c r="J278">
        <f>J265*52.707499999999996</f>
        <v>0</v>
      </c>
      <c r="K278">
        <f>K265*-39.531</f>
        <v>0</v>
      </c>
      <c r="L278">
        <f>L265*211.7895</f>
        <v>0</v>
      </c>
      <c r="M278">
        <f>M265*-344.51599999999996</f>
        <v>0</v>
      </c>
      <c r="N278">
        <f>E278+F278+G278+H278+I278+J278+K278+L278</f>
        <v>0</v>
      </c>
      <c r="O278">
        <f>E278+F278+G278+H278+I278+J278+K278+M278</f>
        <v>0</v>
      </c>
    </row>
    <row r="279" spans="3:15">
      <c r="C279">
        <f>12.0</f>
        <v>0</v>
      </c>
      <c r="D279">
        <f>12.0</f>
        <v>0</v>
      </c>
      <c r="E279">
        <f>E265*-7.2844999999999995</f>
        <v>0</v>
      </c>
      <c r="F279">
        <f>F265*-104.5965</f>
        <v>0</v>
      </c>
      <c r="G279">
        <f>G265*-14.9145</f>
        <v>0</v>
      </c>
      <c r="H279">
        <f>H265*0.0</f>
        <v>0</v>
      </c>
      <c r="I279">
        <f>I265*-0.052500000000000005</f>
        <v>0</v>
      </c>
      <c r="J279">
        <f>J265*16.2905</f>
        <v>0</v>
      </c>
      <c r="K279">
        <f>K265*-12.217500000000001</f>
        <v>0</v>
      </c>
      <c r="L279">
        <f>L265*184.458</f>
        <v>0</v>
      </c>
      <c r="M279">
        <f>M265*-314.9205</f>
        <v>0</v>
      </c>
      <c r="N279">
        <f>E279+F279+G279+H279+I279+J279+K279+L279</f>
        <v>0</v>
      </c>
      <c r="O279">
        <f>E279+F279+G279+H279+I279+J279+K279+M279</f>
        <v>0</v>
      </c>
    </row>
    <row r="280" spans="3:15">
      <c r="C280">
        <f>13.0</f>
        <v>0</v>
      </c>
      <c r="D280">
        <f>13.0</f>
        <v>0</v>
      </c>
      <c r="E280">
        <f>E265*-7.743499999999999</f>
        <v>0</v>
      </c>
      <c r="F280">
        <f>F265*-104.174</f>
        <v>0</v>
      </c>
      <c r="G280">
        <f>G265*-14.811</f>
        <v>0</v>
      </c>
      <c r="H280">
        <f>H265*0.0</f>
        <v>0</v>
      </c>
      <c r="I280">
        <f>I265*-0.042499999999999996</f>
        <v>0</v>
      </c>
      <c r="J280">
        <f>J265*10.918000000000001</f>
        <v>0</v>
      </c>
      <c r="K280">
        <f>K265*-8.1885</f>
        <v>0</v>
      </c>
      <c r="L280">
        <f>L265*159.905</f>
        <v>0</v>
      </c>
      <c r="M280">
        <f>M265*-289.9475</f>
        <v>0</v>
      </c>
      <c r="N280">
        <f>E280+F280+G280+H280+I280+J280+K280+L280</f>
        <v>0</v>
      </c>
      <c r="O280">
        <f>E280+F280+G280+H280+I280+J280+K280+M280</f>
        <v>0</v>
      </c>
    </row>
    <row r="281" spans="3:15">
      <c r="C281">
        <f>14.0</f>
        <v>0</v>
      </c>
      <c r="D281">
        <f>14.0</f>
        <v>0</v>
      </c>
      <c r="E281">
        <f>E265*-4.534</f>
        <v>0</v>
      </c>
      <c r="F281">
        <f>F265*-102.46350000000001</f>
        <v>0</v>
      </c>
      <c r="G281">
        <f>G265*-14.751000000000001</f>
        <v>0</v>
      </c>
      <c r="H281">
        <f>H265*0.0</f>
        <v>0</v>
      </c>
      <c r="I281">
        <f>I265*-0.032</f>
        <v>0</v>
      </c>
      <c r="J281">
        <f>J265*37.86450000000001</f>
        <v>0</v>
      </c>
      <c r="K281">
        <f>K265*-28.399</f>
        <v>0</v>
      </c>
      <c r="L281">
        <f>L265*139.643</f>
        <v>0</v>
      </c>
      <c r="M281">
        <f>M265*-271.15999999999997</f>
        <v>0</v>
      </c>
      <c r="N281">
        <f>E281+F281+G281+H281+I281+J281+K281+L281</f>
        <v>0</v>
      </c>
      <c r="O281">
        <f>E281+F281+G281+H281+I281+J281+K281+M281</f>
        <v>0</v>
      </c>
    </row>
    <row r="282" spans="3:15">
      <c r="C282">
        <f>15.0</f>
        <v>0</v>
      </c>
      <c r="D282">
        <f>15.0</f>
        <v>0</v>
      </c>
      <c r="E282">
        <f>E265*-3.3745000000000003</f>
        <v>0</v>
      </c>
      <c r="F282">
        <f>F265*-107.237</f>
        <v>0</v>
      </c>
      <c r="G282">
        <f>G265*-15.5215</f>
        <v>0</v>
      </c>
      <c r="H282">
        <f>H265*0.0</f>
        <v>0</v>
      </c>
      <c r="I282">
        <f>I265*-0.021</f>
        <v>0</v>
      </c>
      <c r="J282">
        <f>J265*50.210499999999996</f>
        <v>0</v>
      </c>
      <c r="K282">
        <f>K265*-37.658</f>
        <v>0</v>
      </c>
      <c r="L282">
        <f>L265*117.2535</f>
        <v>0</v>
      </c>
      <c r="M282">
        <f>M265*-254.937</f>
        <v>0</v>
      </c>
      <c r="N282">
        <f>E282+F282+G282+H282+I282+J282+K282+L282</f>
        <v>0</v>
      </c>
      <c r="O282">
        <f>E282+F282+G282+H282+I282+J282+K282+M282</f>
        <v>0</v>
      </c>
    </row>
    <row r="283" spans="3:15">
      <c r="C283">
        <f>15.91</f>
        <v>0</v>
      </c>
      <c r="D283">
        <f>15.91</f>
        <v>0</v>
      </c>
      <c r="E283">
        <f>E265*-5.5969999999999995</f>
        <v>0</v>
      </c>
      <c r="F283">
        <f>F265*-102.85499999999999</f>
        <v>0</v>
      </c>
      <c r="G283">
        <f>G265*-14.709499999999998</f>
        <v>0</v>
      </c>
      <c r="H283">
        <f>H265*0.0</f>
        <v>0</v>
      </c>
      <c r="I283">
        <f>I265*-0.0104465</f>
        <v>0</v>
      </c>
      <c r="J283">
        <f>J265*25.429000000000002</f>
        <v>0</v>
      </c>
      <c r="K283">
        <f>K265*-19.072</f>
        <v>0</v>
      </c>
      <c r="L283">
        <f>L265*93.08000000000001</f>
        <v>0</v>
      </c>
      <c r="M283">
        <f>M265*-218.148</f>
        <v>0</v>
      </c>
      <c r="N283">
        <f>E283+F283+G283+H283+I283+J283+K283+L283</f>
        <v>0</v>
      </c>
      <c r="O283">
        <f>E283+F283+G283+H283+I283+J283+K283+M283</f>
        <v>0</v>
      </c>
    </row>
    <row r="284" spans="3:15">
      <c r="C284">
        <f>16.82</f>
        <v>0</v>
      </c>
      <c r="D284">
        <f>16.82</f>
        <v>0</v>
      </c>
      <c r="E284">
        <f>E265*-9.068999999999999</f>
        <v>0</v>
      </c>
      <c r="F284">
        <f>F265*-90.32</f>
        <v>0</v>
      </c>
      <c r="G284">
        <f>G265*-12.622</f>
        <v>0</v>
      </c>
      <c r="H284">
        <f>H265*0.0</f>
        <v>0</v>
      </c>
      <c r="I284">
        <f>I265*-0.00016699999999999994</f>
        <v>0</v>
      </c>
      <c r="J284">
        <f>J265*-6.0995</f>
        <v>0</v>
      </c>
      <c r="K284">
        <f>K265*4.5745000000000005</f>
        <v>0</v>
      </c>
      <c r="L284">
        <f>L265*67.075</f>
        <v>0</v>
      </c>
      <c r="M284">
        <f>M265*-167.86900000000003</f>
        <v>0</v>
      </c>
      <c r="N284">
        <f>E284+F284+G284+H284+I284+J284+K284+L284</f>
        <v>0</v>
      </c>
      <c r="O284">
        <f>E284+F284+G284+H284+I284+J284+K284+M284</f>
        <v>0</v>
      </c>
    </row>
    <row r="285" spans="3:15">
      <c r="C285">
        <f>17.73</f>
        <v>0</v>
      </c>
      <c r="D285">
        <f>17.73</f>
        <v>0</v>
      </c>
      <c r="E285">
        <f>E265*-10.2375</f>
        <v>0</v>
      </c>
      <c r="F285">
        <f>F265*-78.19399999999999</f>
        <v>0</v>
      </c>
      <c r="G285">
        <f>G265*-10.786</f>
        <v>0</v>
      </c>
      <c r="H285">
        <f>H265*0.0</f>
        <v>0</v>
      </c>
      <c r="I285">
        <f>I265*0.0043635</f>
        <v>0</v>
      </c>
      <c r="J285">
        <f>J265*9.898500000000002</f>
        <v>0</v>
      </c>
      <c r="K285">
        <f>K265*-7.424</f>
        <v>0</v>
      </c>
      <c r="L285">
        <f>L265*40.4355</f>
        <v>0</v>
      </c>
      <c r="M285">
        <f>M265*-125.86699999999999</f>
        <v>0</v>
      </c>
      <c r="N285">
        <f>E285+F285+G285+H285+I285+J285+K285+L285</f>
        <v>0</v>
      </c>
      <c r="O285">
        <f>E285+F285+G285+H285+I285+J285+K285+M285</f>
        <v>0</v>
      </c>
    </row>
    <row r="286" spans="3:15">
      <c r="C286">
        <f>18.64</f>
        <v>0</v>
      </c>
      <c r="D286">
        <f>18.64</f>
        <v>0</v>
      </c>
      <c r="E286">
        <f>E265*-6.8085</f>
        <v>0</v>
      </c>
      <c r="F286">
        <f>F265*-46.1695</f>
        <v>0</v>
      </c>
      <c r="G286">
        <f>G265*-6.3294999999999995</f>
        <v>0</v>
      </c>
      <c r="H286">
        <f>H265*0.0</f>
        <v>0</v>
      </c>
      <c r="I286">
        <f>I265*0.004312</f>
        <v>0</v>
      </c>
      <c r="J286">
        <f>J265*84.06649999999999</f>
        <v>0</v>
      </c>
      <c r="K286">
        <f>K265*-63.05</f>
        <v>0</v>
      </c>
      <c r="L286">
        <f>L265*19.042</f>
        <v>0</v>
      </c>
      <c r="M286">
        <f>M265*-72.0265</f>
        <v>0</v>
      </c>
      <c r="N286">
        <f>E286+F286+G286+H286+I286+J286+K286+L286</f>
        <v>0</v>
      </c>
      <c r="O286">
        <f>E286+F286+G286+H286+I286+J286+K286+M286</f>
        <v>0</v>
      </c>
    </row>
    <row r="287" spans="3:15">
      <c r="C287">
        <f>19.55</f>
        <v>0</v>
      </c>
      <c r="D287">
        <f>19.55</f>
        <v>0</v>
      </c>
      <c r="E287">
        <f>E265*-2.782</f>
        <v>0</v>
      </c>
      <c r="F287">
        <f>F265*-19.1605</f>
        <v>0</v>
      </c>
      <c r="G287">
        <f>G265*-2.657</f>
        <v>0</v>
      </c>
      <c r="H287">
        <f>H265*0.0</f>
        <v>0</v>
      </c>
      <c r="I287">
        <f>I265*0.0008554999999999997</f>
        <v>0</v>
      </c>
      <c r="J287">
        <f>J265*159.9355</f>
        <v>0</v>
      </c>
      <c r="K287">
        <f>K265*-119.95150000000001</f>
        <v>0</v>
      </c>
      <c r="L287">
        <f>L265*8.6985</f>
        <v>0</v>
      </c>
      <c r="M287">
        <f>M265*-29.0655</f>
        <v>0</v>
      </c>
      <c r="N287">
        <f>E287+F287+G287+H287+I287+J287+K287+L287</f>
        <v>0</v>
      </c>
      <c r="O287">
        <f>E287+F287+G287+H287+I287+J287+K287+M287</f>
        <v>0</v>
      </c>
    </row>
    <row r="288" spans="3:15">
      <c r="C288">
        <f>20.0</f>
        <v>0</v>
      </c>
      <c r="D288">
        <f>20.0</f>
        <v>0</v>
      </c>
      <c r="E288">
        <f>E265*-2.167</f>
        <v>0</v>
      </c>
      <c r="F288">
        <f>F265*-18.113</f>
        <v>0</v>
      </c>
      <c r="G288">
        <f>G265*-2.562</f>
        <v>0</v>
      </c>
      <c r="H288">
        <f>H265*0.0</f>
        <v>0</v>
      </c>
      <c r="I288">
        <f>I265*-0.0026850000000000003</f>
        <v>0</v>
      </c>
      <c r="J288">
        <f>J265*175.106</f>
        <v>0</v>
      </c>
      <c r="K288">
        <f>K265*-131.329</f>
        <v>0</v>
      </c>
      <c r="L288">
        <f>L265*5.457000000000001</f>
        <v>0</v>
      </c>
      <c r="M288">
        <f>M265*-25.322</f>
        <v>0</v>
      </c>
      <c r="N288">
        <f>E288+F288+G288+H288+I288+J288+K288+L288</f>
        <v>0</v>
      </c>
      <c r="O288">
        <f>E288+F288+G288+H288+I288+J288+K288+M288</f>
        <v>0</v>
      </c>
    </row>
    <row r="289" spans="3:15">
      <c r="C289">
        <f>20.0</f>
        <v>0</v>
      </c>
      <c r="D289">
        <f>0.0</f>
        <v>0</v>
      </c>
      <c r="E289">
        <f>E265*-1.851</f>
        <v>0</v>
      </c>
      <c r="F289">
        <f>F265*-19.743</f>
        <v>0</v>
      </c>
      <c r="G289">
        <f>G265*-2.8139999999999996</f>
        <v>0</v>
      </c>
      <c r="H289">
        <f>H265*0.0</f>
        <v>0</v>
      </c>
      <c r="I289">
        <f>I265*0.522</f>
        <v>0</v>
      </c>
      <c r="J289">
        <f>J265*170.608</f>
        <v>0</v>
      </c>
      <c r="K289">
        <f>K265*-127.956</f>
        <v>0</v>
      </c>
      <c r="L289">
        <f>L265*1.966</f>
        <v>0</v>
      </c>
      <c r="M289">
        <f>M265*-29.201999999999998</f>
        <v>0</v>
      </c>
      <c r="N289">
        <f>E289+F289+G289+H289+I289+J289+K289+L289</f>
        <v>0</v>
      </c>
      <c r="O289">
        <f>E289+F289+G289+H289+I289+J289+K289+M289</f>
        <v>0</v>
      </c>
    </row>
    <row r="290" spans="3:15">
      <c r="C290">
        <f>20.45</f>
        <v>0</v>
      </c>
      <c r="D290">
        <f>0.45</f>
        <v>0</v>
      </c>
      <c r="E290">
        <f>E265*-3.736</f>
        <v>0</v>
      </c>
      <c r="F290">
        <f>F265*-10.95</f>
        <v>0</v>
      </c>
      <c r="G290">
        <f>G265*-1.4139999999999997</f>
        <v>0</v>
      </c>
      <c r="H290">
        <f>H265*0.0</f>
        <v>0</v>
      </c>
      <c r="I290">
        <f>I265*-1.572</f>
        <v>0</v>
      </c>
      <c r="J290">
        <f>J265*176.306</f>
        <v>0</v>
      </c>
      <c r="K290">
        <f>K265*-132.2295</f>
        <v>0</v>
      </c>
      <c r="L290">
        <f>L265*27.5285</f>
        <v>0</v>
      </c>
      <c r="M290">
        <f>M265*-40.714</f>
        <v>0</v>
      </c>
      <c r="N290">
        <f>E290+F290+G290+H290+I290+J290+K290+L290</f>
        <v>0</v>
      </c>
      <c r="O290">
        <f>E290+F290+G290+H290+I290+J290+K290+M290</f>
        <v>0</v>
      </c>
    </row>
    <row r="291" spans="3:15">
      <c r="C291">
        <f>21.36</f>
        <v>0</v>
      </c>
      <c r="D291">
        <f>1.36</f>
        <v>0</v>
      </c>
      <c r="E291">
        <f>E265*-8.8275</f>
        <v>0</v>
      </c>
      <c r="F291">
        <f>F265*-29.067</f>
        <v>0</v>
      </c>
      <c r="G291">
        <f>G265*-3.7359999999999998</f>
        <v>0</v>
      </c>
      <c r="H291">
        <f>H265*0.0</f>
        <v>0</v>
      </c>
      <c r="I291">
        <f>I265*-3.6529999999999996</f>
        <v>0</v>
      </c>
      <c r="J291">
        <f>J265*118.6275</f>
        <v>0</v>
      </c>
      <c r="K291">
        <f>K265*-88.9705</f>
        <v>0</v>
      </c>
      <c r="L291">
        <f>L265*38.8265</f>
        <v>0</v>
      </c>
      <c r="M291">
        <f>M265*-74.7745</f>
        <v>0</v>
      </c>
      <c r="N291">
        <f>E291+F291+G291+H291+I291+J291+K291+L291</f>
        <v>0</v>
      </c>
      <c r="O291">
        <f>E291+F291+G291+H291+I291+J291+K291+M291</f>
        <v>0</v>
      </c>
    </row>
    <row r="292" spans="3:15">
      <c r="C292">
        <f>22.27</f>
        <v>0</v>
      </c>
      <c r="D292">
        <f>2.27</f>
        <v>0</v>
      </c>
      <c r="E292">
        <f>E265*-12.0075</f>
        <v>0</v>
      </c>
      <c r="F292">
        <f>F265*-62.66449999999999</f>
        <v>0</v>
      </c>
      <c r="G292">
        <f>G265*-8.426</f>
        <v>0</v>
      </c>
      <c r="H292">
        <f>H265*0.0</f>
        <v>0</v>
      </c>
      <c r="I292">
        <f>I265*-3.8725</f>
        <v>0</v>
      </c>
      <c r="J292">
        <f>J265*41.04</f>
        <v>0</v>
      </c>
      <c r="K292">
        <f>K265*-30.78</f>
        <v>0</v>
      </c>
      <c r="L292">
        <f>L265*31.52</f>
        <v>0</v>
      </c>
      <c r="M292">
        <f>M265*-112.99600000000001</f>
        <v>0</v>
      </c>
      <c r="N292">
        <f>E292+F292+G292+H292+I292+J292+K292+L292</f>
        <v>0</v>
      </c>
      <c r="O292">
        <f>E292+F292+G292+H292+I292+J292+K292+M292</f>
        <v>0</v>
      </c>
    </row>
    <row r="293" spans="3:15">
      <c r="C293">
        <f>23.18</f>
        <v>0</v>
      </c>
      <c r="D293">
        <f>3.18</f>
        <v>0</v>
      </c>
      <c r="E293">
        <f>E265*-10.683</f>
        <v>0</v>
      </c>
      <c r="F293">
        <f>F265*-76.85849999999999</f>
        <v>0</v>
      </c>
      <c r="G293">
        <f>G265*-10.562999999999999</f>
        <v>0</v>
      </c>
      <c r="H293">
        <f>H265*0.0</f>
        <v>0</v>
      </c>
      <c r="I293">
        <f>I265*-4.3870000000000005</f>
        <v>0</v>
      </c>
      <c r="J293">
        <f>J265*22.3615</f>
        <v>0</v>
      </c>
      <c r="K293">
        <f>K265*-16.771</f>
        <v>0</v>
      </c>
      <c r="L293">
        <f>L265*39.099</f>
        <v>0</v>
      </c>
      <c r="M293">
        <f>M265*-140.132</f>
        <v>0</v>
      </c>
      <c r="N293">
        <f>E293+F293+G293+H293+I293+J293+K293+L293</f>
        <v>0</v>
      </c>
      <c r="O293">
        <f>E293+F293+G293+H293+I293+J293+K293+M293</f>
        <v>0</v>
      </c>
    </row>
    <row r="294" spans="3:15">
      <c r="C294">
        <f>24.09</f>
        <v>0</v>
      </c>
      <c r="D294">
        <f>4.09</f>
        <v>0</v>
      </c>
      <c r="E294">
        <f>E265*-7.0855</f>
        <v>0</v>
      </c>
      <c r="F294">
        <f>F265*-91.23</f>
        <v>0</v>
      </c>
      <c r="G294">
        <f>G265*-12.913499999999999</f>
        <v>0</v>
      </c>
      <c r="H294">
        <f>H265*0.0</f>
        <v>0</v>
      </c>
      <c r="I294">
        <f>I265*-5.026999999999999</f>
        <v>0</v>
      </c>
      <c r="J294">
        <f>J265*51.8985</f>
        <v>0</v>
      </c>
      <c r="K294">
        <f>K265*-38.924</f>
        <v>0</v>
      </c>
      <c r="L294">
        <f>L265*48.772999999999996</f>
        <v>0</v>
      </c>
      <c r="M294">
        <f>M265*-172.3085</f>
        <v>0</v>
      </c>
      <c r="N294">
        <f>E294+F294+G294+H294+I294+J294+K294+L294</f>
        <v>0</v>
      </c>
      <c r="O294">
        <f>E294+F294+G294+H294+I294+J294+K294+M294</f>
        <v>0</v>
      </c>
    </row>
    <row r="295" spans="3:15">
      <c r="C295">
        <f>25.0</f>
        <v>0</v>
      </c>
      <c r="D295">
        <f>5.0</f>
        <v>0</v>
      </c>
      <c r="E295">
        <f>E265*-4.736000000000001</f>
        <v>0</v>
      </c>
      <c r="F295">
        <f>F265*-97.93100000000001</f>
        <v>0</v>
      </c>
      <c r="G295">
        <f>G265*-14.057500000000001</f>
        <v>0</v>
      </c>
      <c r="H295">
        <f>H265*0.0</f>
        <v>0</v>
      </c>
      <c r="I295">
        <f>I265*-5.8185</f>
        <v>0</v>
      </c>
      <c r="J295">
        <f>J265*74.354</f>
        <v>0</v>
      </c>
      <c r="K295">
        <f>K265*-55.765499999999996</f>
        <v>0</v>
      </c>
      <c r="L295">
        <f>L265*56.51049999999999</f>
        <v>0</v>
      </c>
      <c r="M295">
        <f>M265*-191.54199999999997</f>
        <v>0</v>
      </c>
      <c r="N295">
        <f>E295+F295+G295+H295+I295+J295+K295+L295</f>
        <v>0</v>
      </c>
      <c r="O295">
        <f>E295+F295+G295+H295+I295+J295+K295+M295</f>
        <v>0</v>
      </c>
    </row>
    <row r="296" spans="3:15">
      <c r="C296">
        <f>26.0</f>
        <v>0</v>
      </c>
      <c r="D296">
        <f>6.0</f>
        <v>0</v>
      </c>
      <c r="E296">
        <f>E265*-5.719</f>
        <v>0</v>
      </c>
      <c r="F296">
        <f>F265*-96.467</f>
        <v>0</v>
      </c>
      <c r="G296">
        <f>G265*-13.7645</f>
        <v>0</v>
      </c>
      <c r="H296">
        <f>H265*0.0</f>
        <v>0</v>
      </c>
      <c r="I296">
        <f>I265*-6.759</f>
        <v>0</v>
      </c>
      <c r="J296">
        <f>J265*58.384</f>
        <v>0</v>
      </c>
      <c r="K296">
        <f>K265*-43.788</f>
        <v>0</v>
      </c>
      <c r="L296">
        <f>L265*57.815</f>
        <v>0</v>
      </c>
      <c r="M296">
        <f>M265*-189.559</f>
        <v>0</v>
      </c>
      <c r="N296">
        <f>E296+F296+G296+H296+I296+J296+K296+L296</f>
        <v>0</v>
      </c>
      <c r="O296">
        <f>E296+F296+G296+H296+I296+J296+K296+M296</f>
        <v>0</v>
      </c>
    </row>
    <row r="297" spans="3:15">
      <c r="C297">
        <f>27.0</f>
        <v>0</v>
      </c>
      <c r="D297">
        <f>7.0</f>
        <v>0</v>
      </c>
      <c r="E297">
        <f>E265*-8.6495</f>
        <v>0</v>
      </c>
      <c r="F297">
        <f>F265*-101.2145</f>
        <v>0</v>
      </c>
      <c r="G297">
        <f>G265*-14.267499999999998</f>
        <v>0</v>
      </c>
      <c r="H297">
        <f>H265*0.0</f>
        <v>0</v>
      </c>
      <c r="I297">
        <f>I265*-7.832</f>
        <v>0</v>
      </c>
      <c r="J297">
        <f>J265*26.898</f>
        <v>0</v>
      </c>
      <c r="K297">
        <f>K265*-20.174</f>
        <v>0</v>
      </c>
      <c r="L297">
        <f>L265*55.223</f>
        <v>0</v>
      </c>
      <c r="M297">
        <f>M265*-189.18599999999998</f>
        <v>0</v>
      </c>
      <c r="N297">
        <f>E297+F297+G297+H297+I297+J297+K297+L297</f>
        <v>0</v>
      </c>
      <c r="O297">
        <f>E297+F297+G297+H297+I297+J297+K297+M297</f>
        <v>0</v>
      </c>
    </row>
    <row r="298" spans="3:15">
      <c r="C298">
        <f>28.0</f>
        <v>0</v>
      </c>
      <c r="D298">
        <f>8.0</f>
        <v>0</v>
      </c>
      <c r="E298">
        <f>E265*-7.866999999999999</f>
        <v>0</v>
      </c>
      <c r="F298">
        <f>F265*-104.631</f>
        <v>0</v>
      </c>
      <c r="G298">
        <f>G265*-14.811</f>
        <v>0</v>
      </c>
      <c r="H298">
        <f>H265*0.0</f>
        <v>0</v>
      </c>
      <c r="I298">
        <f>I265*-9.246500000000001</f>
        <v>0</v>
      </c>
      <c r="J298">
        <f>J265*27.101999999999997</f>
        <v>0</v>
      </c>
      <c r="K298">
        <f>K265*-20.326500000000003</f>
        <v>0</v>
      </c>
      <c r="L298">
        <f>L265*57.1335</f>
        <v>0</v>
      </c>
      <c r="M298">
        <f>M265*-193.1045</f>
        <v>0</v>
      </c>
      <c r="N298">
        <f>E298+F298+G298+H298+I298+J298+K298+L298</f>
        <v>0</v>
      </c>
      <c r="O298">
        <f>E298+F298+G298+H298+I298+J298+K298+M298</f>
        <v>0</v>
      </c>
    </row>
    <row r="299" spans="3:15">
      <c r="C299">
        <f>29.0</f>
        <v>0</v>
      </c>
      <c r="D299">
        <f>9.0</f>
        <v>0</v>
      </c>
      <c r="E299">
        <f>E265*-3.1335</f>
        <v>0</v>
      </c>
      <c r="F299">
        <f>F265*-106.622</f>
        <v>0</v>
      </c>
      <c r="G299">
        <f>G265*-15.3875</f>
        <v>0</v>
      </c>
      <c r="H299">
        <f>H265*0.0</f>
        <v>0</v>
      </c>
      <c r="I299">
        <f>I265*-10.949</f>
        <v>0</v>
      </c>
      <c r="J299">
        <f>J265*56.499</f>
        <v>0</v>
      </c>
      <c r="K299">
        <f>K265*-42.373999999999995</f>
        <v>0</v>
      </c>
      <c r="L299">
        <f>L265*62.499</f>
        <v>0</v>
      </c>
      <c r="M299">
        <f>M265*-202.8995</f>
        <v>0</v>
      </c>
      <c r="N299">
        <f>E299+F299+G299+H299+I299+J299+K299+L299</f>
        <v>0</v>
      </c>
      <c r="O299">
        <f>E299+F299+G299+H299+I299+J299+K299+M299</f>
        <v>0</v>
      </c>
    </row>
    <row r="300" spans="3:15">
      <c r="C300">
        <f>30.0</f>
        <v>0</v>
      </c>
      <c r="D300">
        <f>10.0</f>
        <v>0</v>
      </c>
      <c r="E300">
        <f>E265*-0.3925</f>
        <v>0</v>
      </c>
      <c r="F300">
        <f>F265*-108.5985</f>
        <v>0</v>
      </c>
      <c r="G300">
        <f>G265*-15.8475</f>
        <v>0</v>
      </c>
      <c r="H300">
        <f>H265*0.0</f>
        <v>0</v>
      </c>
      <c r="I300">
        <f>I265*-12.878499999999999</f>
        <v>0</v>
      </c>
      <c r="J300">
        <f>J265*73.55199999999999</f>
        <v>0</v>
      </c>
      <c r="K300">
        <f>K265*-55.164</f>
        <v>0</v>
      </c>
      <c r="L300">
        <f>L265*65.227</f>
        <v>0</v>
      </c>
      <c r="M300">
        <f>M265*-210.8685</f>
        <v>0</v>
      </c>
      <c r="N300">
        <f>E300+F300+G300+H300+I300+J300+K300+L300</f>
        <v>0</v>
      </c>
      <c r="O300">
        <f>E300+F300+G300+H300+I300+J300+K300+M300</f>
        <v>0</v>
      </c>
    </row>
    <row r="301" spans="3:15">
      <c r="C301">
        <f>31.0</f>
        <v>0</v>
      </c>
      <c r="D301">
        <f>11.0</f>
        <v>0</v>
      </c>
      <c r="E301">
        <f>E265*-2.809</f>
        <v>0</v>
      </c>
      <c r="F301">
        <f>F265*-106.3165</f>
        <v>0</v>
      </c>
      <c r="G301">
        <f>G265*-15.3555</f>
        <v>0</v>
      </c>
      <c r="H301">
        <f>H265*0.0</f>
        <v>0</v>
      </c>
      <c r="I301">
        <f>I265*-15.02</f>
        <v>0</v>
      </c>
      <c r="J301">
        <f>J265*53.811499999999995</f>
        <v>0</v>
      </c>
      <c r="K301">
        <f>K265*-40.358999999999995</f>
        <v>0</v>
      </c>
      <c r="L301">
        <f>L265*60.666</f>
        <v>0</v>
      </c>
      <c r="M301">
        <f>M265*-200.00549999999998</f>
        <v>0</v>
      </c>
      <c r="N301">
        <f>E301+F301+G301+H301+I301+J301+K301+L301</f>
        <v>0</v>
      </c>
      <c r="O301">
        <f>E301+F301+G301+H301+I301+J301+K301+M301</f>
        <v>0</v>
      </c>
    </row>
    <row r="302" spans="3:15">
      <c r="C302">
        <f>32.0</f>
        <v>0</v>
      </c>
      <c r="D302">
        <f>12.0</f>
        <v>0</v>
      </c>
      <c r="E302">
        <f>E265*-7.1975</f>
        <v>0</v>
      </c>
      <c r="F302">
        <f>F265*-104.315</f>
        <v>0</v>
      </c>
      <c r="G302">
        <f>G265*-14.790500000000002</f>
        <v>0</v>
      </c>
      <c r="H302">
        <f>H265*0.0</f>
        <v>0</v>
      </c>
      <c r="I302">
        <f>I265*-17.198500000000003</f>
        <v>0</v>
      </c>
      <c r="J302">
        <f>J265*21.271500000000003</f>
        <v>0</v>
      </c>
      <c r="K302">
        <f>K265*-15.9535</f>
        <v>0</v>
      </c>
      <c r="L302">
        <f>L265*52.664</f>
        <v>0</v>
      </c>
      <c r="M302">
        <f>M265*-185.59</f>
        <v>0</v>
      </c>
      <c r="N302">
        <f>E302+F302+G302+H302+I302+J302+K302+L302</f>
        <v>0</v>
      </c>
      <c r="O302">
        <f>E302+F302+G302+H302+I302+J302+K302+M302</f>
        <v>0</v>
      </c>
    </row>
    <row r="303" spans="3:15">
      <c r="C303">
        <f>33.0</f>
        <v>0</v>
      </c>
      <c r="D303">
        <f>13.0</f>
        <v>0</v>
      </c>
      <c r="E303">
        <f>E265*-7.637</f>
        <v>0</v>
      </c>
      <c r="F303">
        <f>F265*-101.6185</f>
        <v>0</v>
      </c>
      <c r="G303">
        <f>G265*-14.366999999999999</f>
        <v>0</v>
      </c>
      <c r="H303">
        <f>H265*0.0</f>
        <v>0</v>
      </c>
      <c r="I303">
        <f>I265*-18.7265</f>
        <v>0</v>
      </c>
      <c r="J303">
        <f>J265*17.259</f>
        <v>0</v>
      </c>
      <c r="K303">
        <f>K265*-12.9445</f>
        <v>0</v>
      </c>
      <c r="L303">
        <f>L265*48.6125</f>
        <v>0</v>
      </c>
      <c r="M303">
        <f>M265*-180.452</f>
        <v>0</v>
      </c>
      <c r="N303">
        <f>E303+F303+G303+H303+I303+J303+K303+L303</f>
        <v>0</v>
      </c>
      <c r="O303">
        <f>E303+F303+G303+H303+I303+J303+K303+M303</f>
        <v>0</v>
      </c>
    </row>
    <row r="304" spans="3:15">
      <c r="C304">
        <f>34.0</f>
        <v>0</v>
      </c>
      <c r="D304">
        <f>14.0</f>
        <v>0</v>
      </c>
      <c r="E304">
        <f>E265*-4.359</f>
        <v>0</v>
      </c>
      <c r="F304">
        <f>F265*-98.6395</f>
        <v>0</v>
      </c>
      <c r="G304">
        <f>G265*-14.137</f>
        <v>0</v>
      </c>
      <c r="H304">
        <f>H265*0.0</f>
        <v>0</v>
      </c>
      <c r="I304">
        <f>I265*-19.064999999999998</f>
        <v>0</v>
      </c>
      <c r="J304">
        <f>J265*43.9255</f>
        <v>0</v>
      </c>
      <c r="K304">
        <f>K265*-32.944</f>
        <v>0</v>
      </c>
      <c r="L304">
        <f>L265*50.586999999999996</f>
        <v>0</v>
      </c>
      <c r="M304">
        <f>M265*-182.95</f>
        <v>0</v>
      </c>
      <c r="N304">
        <f>E304+F304+G304+H304+I304+J304+K304+L304</f>
        <v>0</v>
      </c>
      <c r="O304">
        <f>E304+F304+G304+H304+I304+J304+K304+M304</f>
        <v>0</v>
      </c>
    </row>
    <row r="305" spans="3:15">
      <c r="C305">
        <f>35.0</f>
        <v>0</v>
      </c>
      <c r="D305">
        <f>15.0</f>
        <v>0</v>
      </c>
      <c r="E305">
        <f>E265*-2.999</f>
        <v>0</v>
      </c>
      <c r="F305">
        <f>F265*-101.56</f>
        <v>0</v>
      </c>
      <c r="G305">
        <f>G265*-14.658</f>
        <v>0</v>
      </c>
      <c r="H305">
        <f>H265*0.0</f>
        <v>0</v>
      </c>
      <c r="I305">
        <f>I265*-20.2</f>
        <v>0</v>
      </c>
      <c r="J305">
        <f>J265*55.081</f>
        <v>0</v>
      </c>
      <c r="K305">
        <f>K265*-41.311</f>
        <v>0</v>
      </c>
      <c r="L305">
        <f>L265*48.836</f>
        <v>0</v>
      </c>
      <c r="M305">
        <f>M265*-185.96</f>
        <v>0</v>
      </c>
      <c r="N305">
        <f>E305+F305+G305+H305+I305+J305+K305+L305</f>
        <v>0</v>
      </c>
      <c r="O305">
        <f>E305+F305+G305+H305+I305+J305+K305+M305</f>
        <v>0</v>
      </c>
    </row>
    <row r="306" spans="3:15">
      <c r="C306">
        <f>35.91</f>
        <v>0</v>
      </c>
      <c r="D306">
        <f>15.91</f>
        <v>0</v>
      </c>
      <c r="E306">
        <f>E265*-4.9995</f>
        <v>0</v>
      </c>
      <c r="F306">
        <f>F265*-95.234</f>
        <v>0</v>
      </c>
      <c r="G306">
        <f>G265*-13.583</f>
        <v>0</v>
      </c>
      <c r="H306">
        <f>H265*0.0</f>
        <v>0</v>
      </c>
      <c r="I306">
        <f>I265*-22.458999999999996</f>
        <v>0</v>
      </c>
      <c r="J306">
        <f>J265*29.063499999999998</f>
        <v>0</v>
      </c>
      <c r="K306">
        <f>K265*-21.7975</f>
        <v>0</v>
      </c>
      <c r="L306">
        <f>L265*40.162</f>
        <v>0</v>
      </c>
      <c r="M306">
        <f>M265*-165.03449999999998</f>
        <v>0</v>
      </c>
      <c r="N306">
        <f>E306+F306+G306+H306+I306+J306+K306+L306</f>
        <v>0</v>
      </c>
      <c r="O306">
        <f>E306+F306+G306+H306+I306+J306+K306+M306</f>
        <v>0</v>
      </c>
    </row>
    <row r="307" spans="3:15">
      <c r="C307">
        <f>36.82</f>
        <v>0</v>
      </c>
      <c r="D307">
        <f>16.82</f>
        <v>0</v>
      </c>
      <c r="E307">
        <f>E265*-8.3085</f>
        <v>0</v>
      </c>
      <c r="F307">
        <f>F265*-81.339</f>
        <v>0</v>
      </c>
      <c r="G307">
        <f>G265*-11.314</f>
        <v>0</v>
      </c>
      <c r="H307">
        <f>H265*0.0</f>
        <v>0</v>
      </c>
      <c r="I307">
        <f>I265*-23.6115</f>
        <v>0</v>
      </c>
      <c r="J307">
        <f>J265*-3.578</f>
        <v>0</v>
      </c>
      <c r="K307">
        <f>K265*2.6835000000000004</f>
        <v>0</v>
      </c>
      <c r="L307">
        <f>L265*28.39</f>
        <v>0</v>
      </c>
      <c r="M307">
        <f>M265*-128.8175</f>
        <v>0</v>
      </c>
      <c r="N307">
        <f>E307+F307+G307+H307+I307+J307+K307+L307</f>
        <v>0</v>
      </c>
      <c r="O307">
        <f>E307+F307+G307+H307+I307+J307+K307+M307</f>
        <v>0</v>
      </c>
    </row>
    <row r="308" spans="3:15">
      <c r="C308">
        <f>37.73</f>
        <v>0</v>
      </c>
      <c r="D308">
        <f>17.73</f>
        <v>0</v>
      </c>
      <c r="E308">
        <f>E265*-9.4755</f>
        <v>0</v>
      </c>
      <c r="F308">
        <f>F265*-69.6795</f>
        <v>0</v>
      </c>
      <c r="G308">
        <f>G265*-9.556000000000001</f>
        <v>0</v>
      </c>
      <c r="H308">
        <f>H265*0.0</f>
        <v>0</v>
      </c>
      <c r="I308">
        <f>I265*-20.4035</f>
        <v>0</v>
      </c>
      <c r="J308">
        <f>J265*11.282</f>
        <v>0</v>
      </c>
      <c r="K308">
        <f>K265*-8.462</f>
        <v>0</v>
      </c>
      <c r="L308">
        <f>L265*17.579</f>
        <v>0</v>
      </c>
      <c r="M308">
        <f>M265*-103.00450000000001</f>
        <v>0</v>
      </c>
      <c r="N308">
        <f>E308+F308+G308+H308+I308+J308+K308+L308</f>
        <v>0</v>
      </c>
      <c r="O308">
        <f>E308+F308+G308+H308+I308+J308+K308+M308</f>
        <v>0</v>
      </c>
    </row>
    <row r="309" spans="3:15">
      <c r="C309">
        <f>38.64</f>
        <v>0</v>
      </c>
      <c r="D309">
        <f>18.64</f>
        <v>0</v>
      </c>
      <c r="E309">
        <f>E265*-6.3405000000000005</f>
        <v>0</v>
      </c>
      <c r="F309">
        <f>F265*-41.079</f>
        <v>0</v>
      </c>
      <c r="G309">
        <f>G265*-5.597</f>
        <v>0</v>
      </c>
      <c r="H309">
        <f>H265*0.0</f>
        <v>0</v>
      </c>
      <c r="I309">
        <f>I265*-11.610499999999998</f>
        <v>0</v>
      </c>
      <c r="J309">
        <f>J265*84.6245</f>
        <v>0</v>
      </c>
      <c r="K309">
        <f>K265*-63.468</f>
        <v>0</v>
      </c>
      <c r="L309">
        <f>L265*10.3595</f>
        <v>0</v>
      </c>
      <c r="M309">
        <f>M265*-61.1685</f>
        <v>0</v>
      </c>
      <c r="N309">
        <f>E309+F309+G309+H309+I309+J309+K309+L309</f>
        <v>0</v>
      </c>
      <c r="O309">
        <f>E309+F309+G309+H309+I309+J309+K309+M309</f>
        <v>0</v>
      </c>
    </row>
    <row r="310" spans="3:15">
      <c r="C310">
        <f>39.55</f>
        <v>0</v>
      </c>
      <c r="D310">
        <f>19.55</f>
        <v>0</v>
      </c>
      <c r="E310">
        <f>E265*-2.623</f>
        <v>0</v>
      </c>
      <c r="F310">
        <f>F265*-17.5265</f>
        <v>0</v>
      </c>
      <c r="G310">
        <f>G265*-2.423</f>
        <v>0</v>
      </c>
      <c r="H310">
        <f>H265*0.0</f>
        <v>0</v>
      </c>
      <c r="I310">
        <f>I265*-3.065</f>
        <v>0</v>
      </c>
      <c r="J310">
        <f>J265*159.96800000000002</f>
        <v>0</v>
      </c>
      <c r="K310">
        <f>K265*-119.9755</f>
        <v>0</v>
      </c>
      <c r="L310">
        <f>L265*6.875</f>
        <v>0</v>
      </c>
      <c r="M310">
        <f>M265*-27.073999999999998</f>
        <v>0</v>
      </c>
      <c r="N310">
        <f>E310+F310+G310+H310+I310+J310+K310+L310</f>
        <v>0</v>
      </c>
      <c r="O310">
        <f>E310+F310+G310+H310+I310+J310+K310+M310</f>
        <v>0</v>
      </c>
    </row>
    <row r="311" spans="3:15">
      <c r="C311">
        <f>40.0</f>
        <v>0</v>
      </c>
      <c r="D311">
        <f>20.0</f>
        <v>0</v>
      </c>
      <c r="E311">
        <f>E265*-2.049</f>
        <v>0</v>
      </c>
      <c r="F311">
        <f>F265*-17.004</f>
        <v>0</v>
      </c>
      <c r="G311">
        <f>G265*-2.404</f>
        <v>0</v>
      </c>
      <c r="H311">
        <f>H265*0.0</f>
        <v>0</v>
      </c>
      <c r="I311">
        <f>I265*-1.761</f>
        <v>0</v>
      </c>
      <c r="J311">
        <f>J265*174.982</f>
        <v>0</v>
      </c>
      <c r="K311">
        <f>K265*-131.236</f>
        <v>0</v>
      </c>
      <c r="L311">
        <f>L265*5.539</f>
        <v>0</v>
      </c>
      <c r="M311">
        <f>M265*-25.116</f>
        <v>0</v>
      </c>
      <c r="N311">
        <f>E311+F311+G311+H311+I311+J311+K311+L311</f>
        <v>0</v>
      </c>
      <c r="O311">
        <f>E311+F311+G311+H311+I311+J311+K311+M311</f>
        <v>0</v>
      </c>
    </row>
    <row r="312" spans="3:15">
      <c r="C312">
        <f>40.0</f>
        <v>0</v>
      </c>
      <c r="D312">
        <f>0.0</f>
        <v>0</v>
      </c>
      <c r="E312">
        <f>E265*-1.459</f>
        <v>0</v>
      </c>
      <c r="F312">
        <f>F265*-11.367</f>
        <v>0</v>
      </c>
      <c r="G312">
        <f>G265*-1.5959999999999999</f>
        <v>0</v>
      </c>
      <c r="H312">
        <f>H265*0.0</f>
        <v>0</v>
      </c>
      <c r="I312">
        <f>I265*-17.96</f>
        <v>0</v>
      </c>
      <c r="J312">
        <f>J265*165.96099999999998</f>
        <v>0</v>
      </c>
      <c r="K312">
        <f>K265*-124.471</f>
        <v>0</v>
      </c>
      <c r="L312">
        <f>L265*1.053</f>
        <v>0</v>
      </c>
      <c r="M312">
        <f>M265*-20.899</f>
        <v>0</v>
      </c>
      <c r="N312">
        <f>E312+F312+G312+H312+I312+J312+K312+L312</f>
        <v>0</v>
      </c>
      <c r="O312">
        <f>E312+F312+G312+H312+I312+J312+K312+M312</f>
        <v>0</v>
      </c>
    </row>
    <row r="313" spans="3:15">
      <c r="C313">
        <f>40.45</f>
        <v>0</v>
      </c>
      <c r="D313">
        <f>0.45</f>
        <v>0</v>
      </c>
      <c r="E313">
        <f>E265*-2.5229999999999997</f>
        <v>0</v>
      </c>
      <c r="F313">
        <f>F265*-4.6705000000000005</f>
        <v>0</v>
      </c>
      <c r="G313">
        <f>G265*-0.5694999999999999</f>
        <v>0</v>
      </c>
      <c r="H313">
        <f>H265*0.0</f>
        <v>0</v>
      </c>
      <c r="I313">
        <f>I265*-40.442</f>
        <v>0</v>
      </c>
      <c r="J313">
        <f>J265*153.7925</f>
        <v>0</v>
      </c>
      <c r="K313">
        <f>K265*-115.3445</f>
        <v>0</v>
      </c>
      <c r="L313">
        <f>L265*16.761999999999997</f>
        <v>0</v>
      </c>
      <c r="M313">
        <f>M265*-26.2985</f>
        <v>0</v>
      </c>
      <c r="N313">
        <f>E313+F313+G313+H313+I313+J313+K313+L313</f>
        <v>0</v>
      </c>
      <c r="O313">
        <f>E313+F313+G313+H313+I313+J313+K313+M313</f>
        <v>0</v>
      </c>
    </row>
    <row r="314" spans="3:15">
      <c r="C314">
        <f>41.36</f>
        <v>0</v>
      </c>
      <c r="D314">
        <f>1.36</f>
        <v>0</v>
      </c>
      <c r="E314">
        <f>E265*-5.4215</f>
        <v>0</v>
      </c>
      <c r="F314">
        <f>F265*-13.949</f>
        <v>0</v>
      </c>
      <c r="G314">
        <f>G265*-1.7385</f>
        <v>0</v>
      </c>
      <c r="H314">
        <f>H265*0.0</f>
        <v>0</v>
      </c>
      <c r="I314">
        <f>I265*-80.637</f>
        <v>0</v>
      </c>
      <c r="J314">
        <f>J265*69.0005</f>
        <v>0</v>
      </c>
      <c r="K314">
        <f>K265*-51.7505</f>
        <v>0</v>
      </c>
      <c r="L314">
        <f>L265*21.8475</f>
        <v>0</v>
      </c>
      <c r="M314">
        <f>M265*-47.283500000000004</f>
        <v>0</v>
      </c>
      <c r="N314">
        <f>E314+F314+G314+H314+I314+J314+K314+L314</f>
        <v>0</v>
      </c>
      <c r="O314">
        <f>E314+F314+G314+H314+I314+J314+K314+M314</f>
        <v>0</v>
      </c>
    </row>
    <row r="315" spans="3:15">
      <c r="C315">
        <f>42.27</f>
        <v>0</v>
      </c>
      <c r="D315">
        <f>2.27</f>
        <v>0</v>
      </c>
      <c r="E315">
        <f>E265*-6.894</f>
        <v>0</v>
      </c>
      <c r="F315">
        <f>F265*-34.6425</f>
        <v>0</v>
      </c>
      <c r="G315">
        <f>G265*-4.647</f>
        <v>0</v>
      </c>
      <c r="H315">
        <f>H265*0.0</f>
        <v>0</v>
      </c>
      <c r="I315">
        <f>I265*-100.7215</f>
        <v>0</v>
      </c>
      <c r="J315">
        <f>J265*-23.262500000000003</f>
        <v>0</v>
      </c>
      <c r="K315">
        <f>K265*17.4465</f>
        <v>0</v>
      </c>
      <c r="L315">
        <f>L265*14.787</f>
        <v>0</v>
      </c>
      <c r="M315">
        <f>M265*-75.2735</f>
        <v>0</v>
      </c>
      <c r="N315">
        <f>E315+F315+G315+H315+I315+J315+K315+L315</f>
        <v>0</v>
      </c>
      <c r="O315">
        <f>E315+F315+G315+H315+I315+J315+K315+M315</f>
        <v>0</v>
      </c>
    </row>
    <row r="316" spans="3:15">
      <c r="C316">
        <f>43.18</f>
        <v>0</v>
      </c>
      <c r="D316">
        <f>3.18</f>
        <v>0</v>
      </c>
      <c r="E316">
        <f>E265*-5.13</f>
        <v>0</v>
      </c>
      <c r="F316">
        <f>F265*-45.0475</f>
        <v>0</v>
      </c>
      <c r="G316">
        <f>G265*-6.2844999999999995</f>
        <v>0</v>
      </c>
      <c r="H316">
        <f>H265*0.0</f>
        <v>0</v>
      </c>
      <c r="I316">
        <f>I265*-98.78</f>
        <v>0</v>
      </c>
      <c r="J316">
        <f>J265*-55.189499999999995</f>
        <v>0</v>
      </c>
      <c r="K316">
        <f>K265*41.392</f>
        <v>0</v>
      </c>
      <c r="L316">
        <f>L265*17.973</f>
        <v>0</v>
      </c>
      <c r="M316">
        <f>M265*-97.248</f>
        <v>0</v>
      </c>
      <c r="N316">
        <f>E316+F316+G316+H316+I316+J316+K316+L316</f>
        <v>0</v>
      </c>
      <c r="O316">
        <f>E316+F316+G316+H316+I316+J316+K316+M316</f>
        <v>0</v>
      </c>
    </row>
    <row r="317" spans="3:15">
      <c r="C317">
        <f>44.09</f>
        <v>0</v>
      </c>
      <c r="D317">
        <f>4.09</f>
        <v>0</v>
      </c>
      <c r="E317">
        <f>E265*-1.363</f>
        <v>0</v>
      </c>
      <c r="F317">
        <f>F265*-50.1905</f>
        <v>0</v>
      </c>
      <c r="G317">
        <f>G265*-7.318</f>
        <v>0</v>
      </c>
      <c r="H317">
        <f>H265*0.0</f>
        <v>0</v>
      </c>
      <c r="I317">
        <f>I265*-85.94900000000001</f>
        <v>0</v>
      </c>
      <c r="J317">
        <f>J265*-36.135</f>
        <v>0</v>
      </c>
      <c r="K317">
        <f>K265*27.101000000000003</f>
        <v>0</v>
      </c>
      <c r="L317">
        <f>L265*24.728499999999997</f>
        <v>0</v>
      </c>
      <c r="M317">
        <f>M265*-117.4785</f>
        <v>0</v>
      </c>
      <c r="N317">
        <f>E317+F317+G317+H317+I317+J317+K317+L317</f>
        <v>0</v>
      </c>
      <c r="O317">
        <f>E317+F317+G317+H317+I317+J317+K317+M317</f>
        <v>0</v>
      </c>
    </row>
    <row r="318" spans="3:15">
      <c r="C318">
        <f>45.0</f>
        <v>0</v>
      </c>
      <c r="D318">
        <f>5.0</f>
        <v>0</v>
      </c>
      <c r="E318">
        <f>E265*1.054</f>
        <v>0</v>
      </c>
      <c r="F318">
        <f>F265*-50.540499999999994</f>
        <v>0</v>
      </c>
      <c r="G318">
        <f>G265*-7.5714999999999995</f>
        <v>0</v>
      </c>
      <c r="H318">
        <f>H265*0.0</f>
        <v>0</v>
      </c>
      <c r="I318">
        <f>I265*-75.642</f>
        <v>0</v>
      </c>
      <c r="J318">
        <f>J265*-32.677</f>
        <v>0</v>
      </c>
      <c r="K318">
        <f>K265*24.508</f>
        <v>0</v>
      </c>
      <c r="L318">
        <f>L265*28.182499999999997</f>
        <v>0</v>
      </c>
      <c r="M318">
        <f>M265*-125.3425</f>
        <v>0</v>
      </c>
      <c r="N318">
        <f>E318+F318+G318+H318+I318+J318+K318+L318</f>
        <v>0</v>
      </c>
      <c r="O318">
        <f>E318+F318+G318+H318+I318+J318+K318+M318</f>
        <v>0</v>
      </c>
    </row>
    <row r="319" spans="3:15">
      <c r="C319">
        <f>46.0</f>
        <v>0</v>
      </c>
      <c r="D319">
        <f>6.0</f>
        <v>0</v>
      </c>
      <c r="E319">
        <f>E265*0.0020000000000000018</f>
        <v>0</v>
      </c>
      <c r="F319">
        <f>F265*-47.706500000000005</f>
        <v>0</v>
      </c>
      <c r="G319">
        <f>G265*-7.1225</f>
        <v>0</v>
      </c>
      <c r="H319">
        <f>H265*0.0</f>
        <v>0</v>
      </c>
      <c r="I319">
        <f>I265*-79.3905</f>
        <v>0</v>
      </c>
      <c r="J319">
        <f>J265*-76.8695</f>
        <v>0</v>
      </c>
      <c r="K319">
        <f>K265*57.652</f>
        <v>0</v>
      </c>
      <c r="L319">
        <f>L265*24.965</f>
        <v>0</v>
      </c>
      <c r="M319">
        <f>M265*-117.2685</f>
        <v>0</v>
      </c>
      <c r="N319">
        <f>E319+F319+G319+H319+I319+J319+K319+L319</f>
        <v>0</v>
      </c>
      <c r="O319">
        <f>E319+F319+G319+H319+I319+J319+K319+M319</f>
        <v>0</v>
      </c>
    </row>
    <row r="320" spans="3:15">
      <c r="C320">
        <f>47.0</f>
        <v>0</v>
      </c>
      <c r="D320">
        <f>7.0</f>
        <v>0</v>
      </c>
      <c r="E320">
        <f>E265*-2.8594999999999997</f>
        <v>0</v>
      </c>
      <c r="F320">
        <f>F265*-41.795500000000004</f>
        <v>0</v>
      </c>
      <c r="G320">
        <f>G265*-6.0920000000000005</f>
        <v>0</v>
      </c>
      <c r="H320">
        <f>H265*0.0</f>
        <v>0</v>
      </c>
      <c r="I320">
        <f>I265*-87.5995</f>
        <v>0</v>
      </c>
      <c r="J320">
        <f>J265*-122.2485</f>
        <v>0</v>
      </c>
      <c r="K320">
        <f>K265*91.6865</f>
        <v>0</v>
      </c>
      <c r="L320">
        <f>L265*17.711</f>
        <v>0</v>
      </c>
      <c r="M320">
        <f>M265*-97.5805</f>
        <v>0</v>
      </c>
      <c r="N320">
        <f>E320+F320+G320+H320+I320+J320+K320+L320</f>
        <v>0</v>
      </c>
      <c r="O320">
        <f>E320+F320+G320+H320+I320+J320+K320+M320</f>
        <v>0</v>
      </c>
    </row>
    <row r="321" spans="3:15">
      <c r="C321">
        <f>48.0</f>
        <v>0</v>
      </c>
      <c r="D321">
        <f>8.0</f>
        <v>0</v>
      </c>
      <c r="E321">
        <f>E265*-4.083</f>
        <v>0</v>
      </c>
      <c r="F321">
        <f>F265*-31.8295</f>
        <v>0</v>
      </c>
      <c r="G321">
        <f>G265*-4.55</f>
        <v>0</v>
      </c>
      <c r="H321">
        <f>H265*0.0</f>
        <v>0</v>
      </c>
      <c r="I321">
        <f>I265*-80.9135</f>
        <v>0</v>
      </c>
      <c r="J321">
        <f>J265*-85.104</f>
        <v>0</v>
      </c>
      <c r="K321">
        <f>K265*63.828</f>
        <v>0</v>
      </c>
      <c r="L321">
        <f>L265*10.8055</f>
        <v>0</v>
      </c>
      <c r="M321">
        <f>M265*-73.0245</f>
        <v>0</v>
      </c>
      <c r="N321">
        <f>E321+F321+G321+H321+I321+J321+K321+L321</f>
        <v>0</v>
      </c>
      <c r="O321">
        <f>E321+F321+G321+H321+I321+J321+K321+M321</f>
        <v>0</v>
      </c>
    </row>
    <row r="322" spans="3:15">
      <c r="C322">
        <f>49.0</f>
        <v>0</v>
      </c>
      <c r="D322">
        <f>9.0</f>
        <v>0</v>
      </c>
      <c r="E322">
        <f>E265*-3.9205</f>
        <v>0</v>
      </c>
      <c r="F322">
        <f>F265*-19.7275</f>
        <v>0</v>
      </c>
      <c r="G322">
        <f>G265*-2.7385</f>
        <v>0</v>
      </c>
      <c r="H322">
        <f>H265*0.0</f>
        <v>0</v>
      </c>
      <c r="I322">
        <f>I265*-65.1515</f>
        <v>0</v>
      </c>
      <c r="J322">
        <f>J265*72.1545</f>
        <v>0</v>
      </c>
      <c r="K322">
        <f>K265*-54.11599999999999</f>
        <v>0</v>
      </c>
      <c r="L322">
        <f>L265*5.6899999999999995</f>
        <v>0</v>
      </c>
      <c r="M322">
        <f>M265*-45.0865</f>
        <v>0</v>
      </c>
      <c r="N322">
        <f>E322+F322+G322+H322+I322+J322+K322+L322</f>
        <v>0</v>
      </c>
      <c r="O322">
        <f>E322+F322+G322+H322+I322+J322+K322+M322</f>
        <v>0</v>
      </c>
    </row>
    <row r="330" spans="3:15">
      <c r="C330" t="s">
        <v>0</v>
      </c>
      <c r="D330" t="s">
        <v>1</v>
      </c>
      <c r="E330" t="s">
        <v>2</v>
      </c>
      <c r="F330" t="s">
        <v>3</v>
      </c>
      <c r="G330" t="s">
        <v>4</v>
      </c>
      <c r="H330" t="s">
        <v>5</v>
      </c>
      <c r="I330" t="s">
        <v>6</v>
      </c>
      <c r="J330" t="s">
        <v>7</v>
      </c>
      <c r="K330" t="s">
        <v>8</v>
      </c>
      <c r="L330" t="s">
        <v>9</v>
      </c>
      <c r="M330" t="s">
        <v>10</v>
      </c>
      <c r="N330" t="s">
        <v>11</v>
      </c>
      <c r="O330" t="s">
        <v>12</v>
      </c>
    </row>
    <row r="331" spans="3:15">
      <c r="C331">
        <f>0.0</f>
        <v>0</v>
      </c>
      <c r="D331">
        <f>0.0</f>
        <v>0</v>
      </c>
      <c r="E331">
        <f>E329*-7.4743</f>
        <v>0</v>
      </c>
      <c r="F331">
        <f>F329*2.3825</f>
        <v>0</v>
      </c>
      <c r="G331">
        <f>G329*0.778</f>
        <v>0</v>
      </c>
      <c r="H331">
        <f>H329*0.0</f>
        <v>0</v>
      </c>
      <c r="I331">
        <f>I329*-0.0197</f>
        <v>0</v>
      </c>
      <c r="J331">
        <f>J329*23.8861</f>
        <v>0</v>
      </c>
      <c r="K331">
        <f>K329*-17.9146</f>
        <v>0</v>
      </c>
      <c r="L331">
        <f>L329*81.2744</f>
        <v>0</v>
      </c>
      <c r="M331">
        <f>M329*-60.4272</f>
        <v>0</v>
      </c>
      <c r="N331">
        <f>E331+F331+G331+H331+I331+J331+K331+L331</f>
        <v>0</v>
      </c>
      <c r="O331">
        <f>E331+F331+G331+H331+I331+J331+K331+M331</f>
        <v>0</v>
      </c>
    </row>
    <row r="332" spans="3:15">
      <c r="C332">
        <f>1.0</f>
        <v>0</v>
      </c>
      <c r="D332">
        <f>1.0</f>
        <v>0</v>
      </c>
      <c r="E332">
        <f>E329*-6.97805</f>
        <v>0</v>
      </c>
      <c r="F332">
        <f>F329*-3.3901499999999998</f>
        <v>0</v>
      </c>
      <c r="G332">
        <f>G329*0.0404</f>
        <v>0</v>
      </c>
      <c r="H332">
        <f>H329*0.0</f>
        <v>0</v>
      </c>
      <c r="I332">
        <f>I329*-0.0212</f>
        <v>0</v>
      </c>
      <c r="J332">
        <f>J329*27.83725</f>
        <v>0</v>
      </c>
      <c r="K332">
        <f>K329*-20.87795</f>
        <v>0</v>
      </c>
      <c r="L332">
        <f>L329*81.80645000000001</f>
        <v>0</v>
      </c>
      <c r="M332">
        <f>M329*-60.8725</f>
        <v>0</v>
      </c>
      <c r="N332">
        <f>E332+F332+G332+H332+I332+J332+K332+L332</f>
        <v>0</v>
      </c>
      <c r="O332">
        <f>E332+F332+G332+H332+I332+J332+K332+M332</f>
        <v>0</v>
      </c>
    </row>
    <row r="333" spans="3:15">
      <c r="C333">
        <f>2.0</f>
        <v>0</v>
      </c>
      <c r="D333">
        <f>2.0</f>
        <v>0</v>
      </c>
      <c r="E333">
        <f>E329*-6.2661</f>
        <v>0</v>
      </c>
      <c r="F333">
        <f>F329*-4.54185</f>
        <v>0</v>
      </c>
      <c r="G333">
        <f>G329*-0.25325</f>
        <v>0</v>
      </c>
      <c r="H333">
        <f>H329*0.0</f>
        <v>0</v>
      </c>
      <c r="I333">
        <f>I329*-0.02545</f>
        <v>0</v>
      </c>
      <c r="J333">
        <f>J329*47.6436</f>
        <v>0</v>
      </c>
      <c r="K333">
        <f>K329*-35.732699999999994</f>
        <v>0</v>
      </c>
      <c r="L333">
        <f>L329*82.62805</f>
        <v>0</v>
      </c>
      <c r="M333">
        <f>M329*-67.92</f>
        <v>0</v>
      </c>
      <c r="N333">
        <f>E333+F333+G333+H333+I333+J333+K333+L333</f>
        <v>0</v>
      </c>
      <c r="O333">
        <f>E333+F333+G333+H333+I333+J333+K333+M333</f>
        <v>0</v>
      </c>
    </row>
    <row r="334" spans="3:15">
      <c r="C334">
        <f>3.0</f>
        <v>0</v>
      </c>
      <c r="D334">
        <f>3.0</f>
        <v>0</v>
      </c>
      <c r="E334">
        <f>E329*-4.7669</f>
        <v>0</v>
      </c>
      <c r="F334">
        <f>F329*-4.76055</f>
        <v>0</v>
      </c>
      <c r="G334">
        <f>G329*-0.44994999999999996</f>
        <v>0</v>
      </c>
      <c r="H334">
        <f>H329*0.0</f>
        <v>0</v>
      </c>
      <c r="I334">
        <f>I329*-0.02915</f>
        <v>0</v>
      </c>
      <c r="J334">
        <f>J329*62.940749999999994</f>
        <v>0</v>
      </c>
      <c r="K334">
        <f>K329*-47.20555</f>
        <v>0</v>
      </c>
      <c r="L334">
        <f>L329*80.34715</f>
        <v>0</v>
      </c>
      <c r="M334">
        <f>M329*-79.2738</f>
        <v>0</v>
      </c>
      <c r="N334">
        <f>E334+F334+G334+H334+I334+J334+K334+L334</f>
        <v>0</v>
      </c>
      <c r="O334">
        <f>E334+F334+G334+H334+I334+J334+K334+M334</f>
        <v>0</v>
      </c>
    </row>
    <row r="335" spans="3:15">
      <c r="C335">
        <f>4.0</f>
        <v>0</v>
      </c>
      <c r="D335">
        <f>4.0</f>
        <v>0</v>
      </c>
      <c r="E335">
        <f>E329*-2.4776499999999997</f>
        <v>0</v>
      </c>
      <c r="F335">
        <f>F329*-4.05945</f>
        <v>0</v>
      </c>
      <c r="G335">
        <f>G329*-0.563</f>
        <v>0</v>
      </c>
      <c r="H335">
        <f>H329*0.0</f>
        <v>0</v>
      </c>
      <c r="I335">
        <f>I329*-0.03275</f>
        <v>0</v>
      </c>
      <c r="J335">
        <f>J329*74.1635</f>
        <v>0</v>
      </c>
      <c r="K335">
        <f>K329*-55.62265</f>
        <v>0</v>
      </c>
      <c r="L335">
        <f>L329*76.3966</f>
        <v>0</v>
      </c>
      <c r="M335">
        <f>M329*-78.59790000000001</f>
        <v>0</v>
      </c>
      <c r="N335">
        <f>E335+F335+G335+H335+I335+J335+K335+L335</f>
        <v>0</v>
      </c>
      <c r="O335">
        <f>E335+F335+G335+H335+I335+J335+K335+M335</f>
        <v>0</v>
      </c>
    </row>
    <row r="336" spans="3:15">
      <c r="C336">
        <f>5.0</f>
        <v>0</v>
      </c>
      <c r="D336">
        <f>5.0</f>
        <v>0</v>
      </c>
      <c r="E336">
        <f>E329*-4.5729</f>
        <v>0</v>
      </c>
      <c r="F336">
        <f>F329*-4.24525</f>
        <v>0</v>
      </c>
      <c r="G336">
        <f>G329*-0.34290000000000004</f>
        <v>0</v>
      </c>
      <c r="H336">
        <f>H329*0.0</f>
        <v>0</v>
      </c>
      <c r="I336">
        <f>I329*-0.03605</f>
        <v>0</v>
      </c>
      <c r="J336">
        <f>J329*46.92205</f>
        <v>0</v>
      </c>
      <c r="K336">
        <f>K329*-35.19155</f>
        <v>0</v>
      </c>
      <c r="L336">
        <f>L329*77.66465</f>
        <v>0</v>
      </c>
      <c r="M336">
        <f>M329*-82.3263</f>
        <v>0</v>
      </c>
      <c r="N336">
        <f>E336+F336+G336+H336+I336+J336+K336+L336</f>
        <v>0</v>
      </c>
      <c r="O336">
        <f>E336+F336+G336+H336+I336+J336+K336+M336</f>
        <v>0</v>
      </c>
    </row>
    <row r="337" spans="3:15">
      <c r="C337">
        <f>6.0</f>
        <v>0</v>
      </c>
      <c r="D337">
        <f>6.0</f>
        <v>0</v>
      </c>
      <c r="E337">
        <f>E329*-6.4692</f>
        <v>0</v>
      </c>
      <c r="F337">
        <f>F329*-4.28695</f>
        <v>0</v>
      </c>
      <c r="G337">
        <f>G329*-0.1147</f>
        <v>0</v>
      </c>
      <c r="H337">
        <f>H329*0.0</f>
        <v>0</v>
      </c>
      <c r="I337">
        <f>I329*-0.03815</f>
        <v>0</v>
      </c>
      <c r="J337">
        <f>J329*17.19335</f>
        <v>0</v>
      </c>
      <c r="K337">
        <f>K329*-12.895</f>
        <v>0</v>
      </c>
      <c r="L337">
        <f>L329*76.30335</f>
        <v>0</v>
      </c>
      <c r="M337">
        <f>M329*-64.93535</f>
        <v>0</v>
      </c>
      <c r="N337">
        <f>E337+F337+G337+H337+I337+J337+K337+L337</f>
        <v>0</v>
      </c>
      <c r="O337">
        <f>E337+F337+G337+H337+I337+J337+K337+M337</f>
        <v>0</v>
      </c>
    </row>
    <row r="338" spans="3:15">
      <c r="C338">
        <f>7.0</f>
        <v>0</v>
      </c>
      <c r="D338">
        <f>7.0</f>
        <v>0</v>
      </c>
      <c r="E338">
        <f>E329*-3.6018</f>
        <v>0</v>
      </c>
      <c r="F338">
        <f>F329*-2.8705</f>
        <v>0</v>
      </c>
      <c r="G338">
        <f>G329*-0.1602</f>
        <v>0</v>
      </c>
      <c r="H338">
        <f>H329*0.0</f>
        <v>0</v>
      </c>
      <c r="I338">
        <f>I329*-0.03945</f>
        <v>0</v>
      </c>
      <c r="J338">
        <f>J329*21.931449999999998</f>
        <v>0</v>
      </c>
      <c r="K338">
        <f>K329*-16.4486</f>
        <v>0</v>
      </c>
      <c r="L338">
        <f>L329*70.14695</f>
        <v>0</v>
      </c>
      <c r="M338">
        <f>M329*-62.582499999999996</f>
        <v>0</v>
      </c>
      <c r="N338">
        <f>E338+F338+G338+H338+I338+J338+K338+L338</f>
        <v>0</v>
      </c>
      <c r="O338">
        <f>E338+F338+G338+H338+I338+J338+K338+M338</f>
        <v>0</v>
      </c>
    </row>
    <row r="339" spans="3:15">
      <c r="C339">
        <f>8.0</f>
        <v>0</v>
      </c>
      <c r="D339">
        <f>8.0</f>
        <v>0</v>
      </c>
      <c r="E339">
        <f>E329*-0.9146000000000001</f>
        <v>0</v>
      </c>
      <c r="F339">
        <f>F329*-1.4101499999999998</f>
        <v>0</v>
      </c>
      <c r="G339">
        <f>G329*-0.1862</f>
        <v>0</v>
      </c>
      <c r="H339">
        <f>H329*0.0</f>
        <v>0</v>
      </c>
      <c r="I339">
        <f>I329*-0.04105</f>
        <v>0</v>
      </c>
      <c r="J339">
        <f>J329*26.09505</f>
        <v>0</v>
      </c>
      <c r="K339">
        <f>K329*-19.5713</f>
        <v>0</v>
      </c>
      <c r="L339">
        <f>L329*65.9494</f>
        <v>0</v>
      </c>
      <c r="M339">
        <f>M329*-60.1991</f>
        <v>0</v>
      </c>
      <c r="N339">
        <f>E339+F339+G339+H339+I339+J339+K339+L339</f>
        <v>0</v>
      </c>
      <c r="O339">
        <f>E339+F339+G339+H339+I339+J339+K339+M339</f>
        <v>0</v>
      </c>
    </row>
    <row r="340" spans="3:15">
      <c r="C340">
        <f>9.0</f>
        <v>0</v>
      </c>
      <c r="D340">
        <f>9.0</f>
        <v>0</v>
      </c>
      <c r="E340">
        <f>E329*1.9438499999999999</f>
        <v>0</v>
      </c>
      <c r="F340">
        <f>F329*0.2038000000000001</f>
        <v>0</v>
      </c>
      <c r="G340">
        <f>G329*-0.20029999999999998</f>
        <v>0</v>
      </c>
      <c r="H340">
        <f>H329*0.0</f>
        <v>0</v>
      </c>
      <c r="I340">
        <f>I329*-0.043</f>
        <v>0</v>
      </c>
      <c r="J340">
        <f>J329*30.72955</f>
        <v>0</v>
      </c>
      <c r="K340">
        <f>K329*-23.0472</f>
        <v>0</v>
      </c>
      <c r="L340">
        <f>L329*60.261250000000004</f>
        <v>0</v>
      </c>
      <c r="M340">
        <f>M329*-57.02885</f>
        <v>0</v>
      </c>
      <c r="N340">
        <f>E340+F340+G340+H340+I340+J340+K340+L340</f>
        <v>0</v>
      </c>
      <c r="O340">
        <f>E340+F340+G340+H340+I340+J340+K340+M340</f>
        <v>0</v>
      </c>
    </row>
    <row r="341" spans="3:15">
      <c r="C341">
        <f>10.0</f>
        <v>0</v>
      </c>
      <c r="D341">
        <f>10.0</f>
        <v>0</v>
      </c>
      <c r="E341">
        <f>E329*-0.6710000000000003</f>
        <v>0</v>
      </c>
      <c r="F341">
        <f>F329*-0.5387</f>
        <v>0</v>
      </c>
      <c r="G341">
        <f>G329*-0.0247</f>
        <v>0</v>
      </c>
      <c r="H341">
        <f>H329*0.0</f>
        <v>0</v>
      </c>
      <c r="I341">
        <f>I329*-0.04465</f>
        <v>0</v>
      </c>
      <c r="J341">
        <f>J329*8.850100000000001</f>
        <v>0</v>
      </c>
      <c r="K341">
        <f>K329*-6.637549999999998</f>
        <v>0</v>
      </c>
      <c r="L341">
        <f>L329*52.8106</f>
        <v>0</v>
      </c>
      <c r="M341">
        <f>M329*-50.362700000000004</f>
        <v>0</v>
      </c>
      <c r="N341">
        <f>E341+F341+G341+H341+I341+J341+K341+L341</f>
        <v>0</v>
      </c>
      <c r="O341">
        <f>E341+F341+G341+H341+I341+J341+K341+M341</f>
        <v>0</v>
      </c>
    </row>
    <row r="342" spans="3:15">
      <c r="C342">
        <f>11.0</f>
        <v>0</v>
      </c>
      <c r="D342">
        <f>11.0</f>
        <v>0</v>
      </c>
      <c r="E342">
        <f>E329*-3.3045999999999998</f>
        <v>0</v>
      </c>
      <c r="F342">
        <f>F329*-1.4399499999999998</f>
        <v>0</v>
      </c>
      <c r="G342">
        <f>G329*0.1296</f>
        <v>0</v>
      </c>
      <c r="H342">
        <f>H329*0.0</f>
        <v>0</v>
      </c>
      <c r="I342">
        <f>I329*-0.0448</f>
        <v>0</v>
      </c>
      <c r="J342">
        <f>J329*-12.902750000000001</f>
        <v>0</v>
      </c>
      <c r="K342">
        <f>K329*9.677</f>
        <v>0</v>
      </c>
      <c r="L342">
        <f>L329*46.59295</f>
        <v>0</v>
      </c>
      <c r="M342">
        <f>M329*-52.6721</f>
        <v>0</v>
      </c>
      <c r="N342">
        <f>E342+F342+G342+H342+I342+J342+K342+L342</f>
        <v>0</v>
      </c>
      <c r="O342">
        <f>E342+F342+G342+H342+I342+J342+K342+M342</f>
        <v>0</v>
      </c>
    </row>
    <row r="343" spans="3:15">
      <c r="C343">
        <f>12.0</f>
        <v>0</v>
      </c>
      <c r="D343">
        <f>12.0</f>
        <v>0</v>
      </c>
      <c r="E343">
        <f>E329*-0.5206000000000001</f>
        <v>0</v>
      </c>
      <c r="F343">
        <f>F329*-0.3746999999999999</f>
        <v>0</v>
      </c>
      <c r="G343">
        <f>G329*0.04275</f>
        <v>0</v>
      </c>
      <c r="H343">
        <f>H329*0.0</f>
        <v>0</v>
      </c>
      <c r="I343">
        <f>I329*-0.0441</f>
        <v>0</v>
      </c>
      <c r="J343">
        <f>J329*-7.7014</f>
        <v>0</v>
      </c>
      <c r="K343">
        <f>K329*5.77605</f>
        <v>0</v>
      </c>
      <c r="L343">
        <f>L329*49.10975</f>
        <v>0</v>
      </c>
      <c r="M343">
        <f>M329*-59.671499999999995</f>
        <v>0</v>
      </c>
      <c r="N343">
        <f>E343+F343+G343+H343+I343+J343+K343+L343</f>
        <v>0</v>
      </c>
      <c r="O343">
        <f>E343+F343+G343+H343+I343+J343+K343+M343</f>
        <v>0</v>
      </c>
    </row>
    <row r="344" spans="3:15">
      <c r="C344">
        <f>13.0</f>
        <v>0</v>
      </c>
      <c r="D344">
        <f>13.0</f>
        <v>0</v>
      </c>
      <c r="E344">
        <f>E329*2.04555</f>
        <v>0</v>
      </c>
      <c r="F344">
        <f>F329*0.12455000000000005</f>
        <v>0</v>
      </c>
      <c r="G344">
        <f>G329*-0.1117</f>
        <v>0</v>
      </c>
      <c r="H344">
        <f>H329*0.0</f>
        <v>0</v>
      </c>
      <c r="I344">
        <f>I329*-0.0437</f>
        <v>0</v>
      </c>
      <c r="J344">
        <f>J329*-2.7007000000000003</f>
        <v>0</v>
      </c>
      <c r="K344">
        <f>K329*2.0255</f>
        <v>0</v>
      </c>
      <c r="L344">
        <f>L329*52.5214</f>
        <v>0</v>
      </c>
      <c r="M344">
        <f>M329*-64.40055</f>
        <v>0</v>
      </c>
      <c r="N344">
        <f>E344+F344+G344+H344+I344+J344+K344+L344</f>
        <v>0</v>
      </c>
      <c r="O344">
        <f>E344+F344+G344+H344+I344+J344+K344+M344</f>
        <v>0</v>
      </c>
    </row>
    <row r="345" spans="3:15">
      <c r="C345">
        <f>14.0</f>
        <v>0</v>
      </c>
      <c r="D345">
        <f>14.0</f>
        <v>0</v>
      </c>
      <c r="E345">
        <f>E329*4.7867999999999995</f>
        <v>0</v>
      </c>
      <c r="F345">
        <f>F329*0.24644999999999995</f>
        <v>0</v>
      </c>
      <c r="G345">
        <f>G329*-0.3335</f>
        <v>0</v>
      </c>
      <c r="H345">
        <f>H329*0.0</f>
        <v>0</v>
      </c>
      <c r="I345">
        <f>I329*-0.0435</f>
        <v>0</v>
      </c>
      <c r="J345">
        <f>J329*2.6027</f>
        <v>0</v>
      </c>
      <c r="K345">
        <f>K329*-1.952</f>
        <v>0</v>
      </c>
      <c r="L345">
        <f>L329*56.8773</f>
        <v>0</v>
      </c>
      <c r="M345">
        <f>M329*-72.0096</f>
        <v>0</v>
      </c>
      <c r="N345">
        <f>E345+F345+G345+H345+I345+J345+K345+L345</f>
        <v>0</v>
      </c>
      <c r="O345">
        <f>E345+F345+G345+H345+I345+J345+K345+M345</f>
        <v>0</v>
      </c>
    </row>
    <row r="346" spans="3:15">
      <c r="C346">
        <f>15.0</f>
        <v>0</v>
      </c>
      <c r="D346">
        <f>15.0</f>
        <v>0</v>
      </c>
      <c r="E346">
        <f>E329*2.3556</f>
        <v>0</v>
      </c>
      <c r="F346">
        <f>F329*-3.0375</f>
        <v>0</v>
      </c>
      <c r="G346">
        <f>G329*-0.5176499999999999</f>
        <v>0</v>
      </c>
      <c r="H346">
        <f>H329*0.0</f>
        <v>0</v>
      </c>
      <c r="I346">
        <f>I329*-0.03975</f>
        <v>0</v>
      </c>
      <c r="J346">
        <f>J329*-21.6564</f>
        <v>0</v>
      </c>
      <c r="K346">
        <f>K329*16.2423</f>
        <v>0</v>
      </c>
      <c r="L346">
        <f>L329*77.89775</f>
        <v>0</v>
      </c>
      <c r="M346">
        <f>M329*-77.53745</f>
        <v>0</v>
      </c>
      <c r="N346">
        <f>E346+F346+G346+H346+I346+J346+K346+L346</f>
        <v>0</v>
      </c>
      <c r="O346">
        <f>E346+F346+G346+H346+I346+J346+K346+M346</f>
        <v>0</v>
      </c>
    </row>
    <row r="347" spans="3:15">
      <c r="C347">
        <f>15.91</f>
        <v>0</v>
      </c>
      <c r="D347">
        <f>15.91</f>
        <v>0</v>
      </c>
      <c r="E347">
        <f>E329*-0.2714</f>
        <v>0</v>
      </c>
      <c r="F347">
        <f>F329*-6.4107</f>
        <v>0</v>
      </c>
      <c r="G347">
        <f>G329*-0.7209</f>
        <v>0</v>
      </c>
      <c r="H347">
        <f>H329*0.0</f>
        <v>0</v>
      </c>
      <c r="I347">
        <f>I329*-0.03475</f>
        <v>0</v>
      </c>
      <c r="J347">
        <f>J329*-45.45585</f>
        <v>0</v>
      </c>
      <c r="K347">
        <f>K329*34.0919</f>
        <v>0</v>
      </c>
      <c r="L347">
        <f>L329*75.69245000000001</f>
        <v>0</v>
      </c>
      <c r="M347">
        <f>M329*-84.70575</f>
        <v>0</v>
      </c>
      <c r="N347">
        <f>E347+F347+G347+H347+I347+J347+K347+L347</f>
        <v>0</v>
      </c>
      <c r="O347">
        <f>E347+F347+G347+H347+I347+J347+K347+M347</f>
        <v>0</v>
      </c>
    </row>
    <row r="348" spans="3:15">
      <c r="C348">
        <f>16.82</f>
        <v>0</v>
      </c>
      <c r="D348">
        <f>16.82</f>
        <v>0</v>
      </c>
      <c r="E348">
        <f>E329*2.17265</f>
        <v>0</v>
      </c>
      <c r="F348">
        <f>F329*-7.5493500000000004</f>
        <v>0</v>
      </c>
      <c r="G348">
        <f>G329*-1.109</f>
        <v>0</v>
      </c>
      <c r="H348">
        <f>H329*0.0</f>
        <v>0</v>
      </c>
      <c r="I348">
        <f>I329*-0.0327</f>
        <v>0</v>
      </c>
      <c r="J348">
        <f>J329*-39.6199</f>
        <v>0</v>
      </c>
      <c r="K348">
        <f>K329*29.7149</f>
        <v>0</v>
      </c>
      <c r="L348">
        <f>L329*74.2937</f>
        <v>0</v>
      </c>
      <c r="M348">
        <f>M329*-93.11345</f>
        <v>0</v>
      </c>
      <c r="N348">
        <f>E348+F348+G348+H348+I348+J348+K348+L348</f>
        <v>0</v>
      </c>
      <c r="O348">
        <f>E348+F348+G348+H348+I348+J348+K348+M348</f>
        <v>0</v>
      </c>
    </row>
    <row r="349" spans="3:15">
      <c r="C349">
        <f>17.73</f>
        <v>0</v>
      </c>
      <c r="D349">
        <f>17.73</f>
        <v>0</v>
      </c>
      <c r="E349">
        <f>E329*4.26995</f>
        <v>0</v>
      </c>
      <c r="F349">
        <f>F329*-9.71365</f>
        <v>0</v>
      </c>
      <c r="G349">
        <f>G329*-1.6319</f>
        <v>0</v>
      </c>
      <c r="H349">
        <f>H329*0.0</f>
        <v>0</v>
      </c>
      <c r="I349">
        <f>I329*-0.032100000000000004</f>
        <v>0</v>
      </c>
      <c r="J349">
        <f>J329*-33.9833</f>
        <v>0</v>
      </c>
      <c r="K349">
        <f>K329*25.4875</f>
        <v>0</v>
      </c>
      <c r="L349">
        <f>L329*75.3614</f>
        <v>0</v>
      </c>
      <c r="M349">
        <f>M329*-103.54935</f>
        <v>0</v>
      </c>
      <c r="N349">
        <f>E349+F349+G349+H349+I349+J349+K349+L349</f>
        <v>0</v>
      </c>
      <c r="O349">
        <f>E349+F349+G349+H349+I349+J349+K349+M349</f>
        <v>0</v>
      </c>
    </row>
    <row r="350" spans="3:15">
      <c r="C350">
        <f>18.64</f>
        <v>0</v>
      </c>
      <c r="D350">
        <f>18.64</f>
        <v>0</v>
      </c>
      <c r="E350">
        <f>E329*6.1815</f>
        <v>0</v>
      </c>
      <c r="F350">
        <f>F329*-12.00505</f>
        <v>0</v>
      </c>
      <c r="G350">
        <f>G329*-2.1799</f>
        <v>0</v>
      </c>
      <c r="H350">
        <f>H329*0.0</f>
        <v>0</v>
      </c>
      <c r="I350">
        <f>I329*-0.033100000000000004</f>
        <v>0</v>
      </c>
      <c r="J350">
        <f>J329*-26.3992</f>
        <v>0</v>
      </c>
      <c r="K350">
        <f>K329*19.7994</f>
        <v>0</v>
      </c>
      <c r="L350">
        <f>L329*68.26175</f>
        <v>0</v>
      </c>
      <c r="M350">
        <f>M329*-115.486</f>
        <v>0</v>
      </c>
      <c r="N350">
        <f>E350+F350+G350+H350+I350+J350+K350+L350</f>
        <v>0</v>
      </c>
      <c r="O350">
        <f>E350+F350+G350+H350+I350+J350+K350+M350</f>
        <v>0</v>
      </c>
    </row>
    <row r="351" spans="3:15">
      <c r="C351">
        <f>19.55</f>
        <v>0</v>
      </c>
      <c r="D351">
        <f>19.55</f>
        <v>0</v>
      </c>
      <c r="E351">
        <f>E329*4.3283000000000005</f>
        <v>0</v>
      </c>
      <c r="F351">
        <f>F329*-12.343</f>
        <v>0</v>
      </c>
      <c r="G351">
        <f>G329*-2.0860000000000003</f>
        <v>0</v>
      </c>
      <c r="H351">
        <f>H329*0.0</f>
        <v>0</v>
      </c>
      <c r="I351">
        <f>I329*-0.02645</f>
        <v>0</v>
      </c>
      <c r="J351">
        <f>J329*-27.730050000000002</f>
        <v>0</v>
      </c>
      <c r="K351">
        <f>K329*20.79755</f>
        <v>0</v>
      </c>
      <c r="L351">
        <f>L329*80.9014</f>
        <v>0</v>
      </c>
      <c r="M351">
        <f>M329*-94.06105</f>
        <v>0</v>
      </c>
      <c r="N351">
        <f>E351+F351+G351+H351+I351+J351+K351+L351</f>
        <v>0</v>
      </c>
      <c r="O351">
        <f>E351+F351+G351+H351+I351+J351+K351+M351</f>
        <v>0</v>
      </c>
    </row>
    <row r="352" spans="3:15">
      <c r="C352">
        <f>20.0</f>
        <v>0</v>
      </c>
      <c r="D352">
        <f>20.0</f>
        <v>0</v>
      </c>
      <c r="E352">
        <f>E329*1.0775</f>
        <v>0</v>
      </c>
      <c r="F352">
        <f>F329*-13.8768</f>
        <v>0</v>
      </c>
      <c r="G352">
        <f>G329*-1.7843</f>
        <v>0</v>
      </c>
      <c r="H352">
        <f>H329*0.0</f>
        <v>0</v>
      </c>
      <c r="I352">
        <f>I329*-0.0187</f>
        <v>0</v>
      </c>
      <c r="J352">
        <f>J329*-41.8468</f>
        <v>0</v>
      </c>
      <c r="K352">
        <f>K329*31.3851</f>
        <v>0</v>
      </c>
      <c r="L352">
        <f>L329*94.7198</f>
        <v>0</v>
      </c>
      <c r="M352">
        <f>M329*-67.9792</f>
        <v>0</v>
      </c>
      <c r="N352">
        <f>E352+F352+G352+H352+I352+J352+K352+L352</f>
        <v>0</v>
      </c>
      <c r="O352">
        <f>E352+F352+G352+H352+I352+J352+K352+M352</f>
        <v>0</v>
      </c>
    </row>
    <row r="353" spans="3:15">
      <c r="C353">
        <f>20.0</f>
        <v>0</v>
      </c>
      <c r="D353">
        <f>0.0</f>
        <v>0</v>
      </c>
      <c r="E353">
        <f>E329*-0.9874</f>
        <v>0</v>
      </c>
      <c r="F353">
        <f>F329*12.4492</f>
        <v>0</v>
      </c>
      <c r="G353">
        <f>G329*1.5733</f>
        <v>0</v>
      </c>
      <c r="H353">
        <f>H329*0.0</f>
        <v>0</v>
      </c>
      <c r="I353">
        <f>I329*-0.7141</f>
        <v>0</v>
      </c>
      <c r="J353">
        <f>J329*40.0759</f>
        <v>0</v>
      </c>
      <c r="K353">
        <f>K329*-30.057</f>
        <v>0</v>
      </c>
      <c r="L353">
        <f>L329*70.0341</f>
        <v>0</v>
      </c>
      <c r="M353">
        <f>M329*-52.1809</f>
        <v>0</v>
      </c>
      <c r="N353">
        <f>E353+F353+G353+H353+I353+J353+K353+L353</f>
        <v>0</v>
      </c>
      <c r="O353">
        <f>E353+F353+G353+H353+I353+J353+K353+M353</f>
        <v>0</v>
      </c>
    </row>
    <row r="354" spans="3:15">
      <c r="C354">
        <f>20.45</f>
        <v>0</v>
      </c>
      <c r="D354">
        <f>0.45</f>
        <v>0</v>
      </c>
      <c r="E354">
        <f>E329*-4.208600000000001</f>
        <v>0</v>
      </c>
      <c r="F354">
        <f>F329*10.78275</f>
        <v>0</v>
      </c>
      <c r="G354">
        <f>G329*1.85405</f>
        <v>0</v>
      </c>
      <c r="H354">
        <f>H329*0.0</f>
        <v>0</v>
      </c>
      <c r="I354">
        <f>I329*-0.85655</f>
        <v>0</v>
      </c>
      <c r="J354">
        <f>J329*25.5415</f>
        <v>0</v>
      </c>
      <c r="K354">
        <f>K329*-19.15615</f>
        <v>0</v>
      </c>
      <c r="L354">
        <f>L329*98.24145</f>
        <v>0</v>
      </c>
      <c r="M354">
        <f>M329*-65.7689</f>
        <v>0</v>
      </c>
      <c r="N354">
        <f>E354+F354+G354+H354+I354+J354+K354+L354</f>
        <v>0</v>
      </c>
      <c r="O354">
        <f>E354+F354+G354+H354+I354+J354+K354+M354</f>
        <v>0</v>
      </c>
    </row>
    <row r="355" spans="3:15">
      <c r="C355">
        <f>21.36</f>
        <v>0</v>
      </c>
      <c r="D355">
        <f>1.36</f>
        <v>0</v>
      </c>
      <c r="E355">
        <f>E329*-6.117649999999999</f>
        <v>0</v>
      </c>
      <c r="F355">
        <f>F329*11.091899999999999</f>
        <v>0</v>
      </c>
      <c r="G355">
        <f>G329*2.0444500000000003</f>
        <v>0</v>
      </c>
      <c r="H355">
        <f>H329*0.0</f>
        <v>0</v>
      </c>
      <c r="I355">
        <f>I329*-1.0104</f>
        <v>0</v>
      </c>
      <c r="J355">
        <f>J329*25.2795</f>
        <v>0</v>
      </c>
      <c r="K355">
        <f>K329*-18.95965</f>
        <v>0</v>
      </c>
      <c r="L355">
        <f>L329*122.74095</f>
        <v>0</v>
      </c>
      <c r="M355">
        <f>M329*-77.8325</f>
        <v>0</v>
      </c>
      <c r="N355">
        <f>E355+F355+G355+H355+I355+J355+K355+L355</f>
        <v>0</v>
      </c>
      <c r="O355">
        <f>E355+F355+G355+H355+I355+J355+K355+M355</f>
        <v>0</v>
      </c>
    </row>
    <row r="356" spans="3:15">
      <c r="C356">
        <f>22.27</f>
        <v>0</v>
      </c>
      <c r="D356">
        <f>2.27</f>
        <v>0</v>
      </c>
      <c r="E356">
        <f>E329*-4.3188</f>
        <v>0</v>
      </c>
      <c r="F356">
        <f>F329*9.79945</f>
        <v>0</v>
      </c>
      <c r="G356">
        <f>G329*1.6472000000000002</f>
        <v>0</v>
      </c>
      <c r="H356">
        <f>H329*0.0</f>
        <v>0</v>
      </c>
      <c r="I356">
        <f>I329*-1.0235</f>
        <v>0</v>
      </c>
      <c r="J356">
        <f>J329*34.79925</f>
        <v>0</v>
      </c>
      <c r="K356">
        <f>K329*-26.09945</f>
        <v>0</v>
      </c>
      <c r="L356">
        <f>L329*111.7485</f>
        <v>0</v>
      </c>
      <c r="M356">
        <f>M329*-78.46000000000001</f>
        <v>0</v>
      </c>
      <c r="N356">
        <f>E356+F356+G356+H356+I356+J356+K356+L356</f>
        <v>0</v>
      </c>
      <c r="O356">
        <f>E356+F356+G356+H356+I356+J356+K356+M356</f>
        <v>0</v>
      </c>
    </row>
    <row r="357" spans="3:15">
      <c r="C357">
        <f>23.18</f>
        <v>0</v>
      </c>
      <c r="D357">
        <f>3.18</f>
        <v>0</v>
      </c>
      <c r="E357">
        <f>E329*-2.3095499999999998</f>
        <v>0</v>
      </c>
      <c r="F357">
        <f>F329*8.2936</f>
        <v>0</v>
      </c>
      <c r="G357">
        <f>G329*1.22465</f>
        <v>0</v>
      </c>
      <c r="H357">
        <f>H329*0.0</f>
        <v>0</v>
      </c>
      <c r="I357">
        <f>I329*-1.06665</f>
        <v>0</v>
      </c>
      <c r="J357">
        <f>J329*41.8819</f>
        <v>0</v>
      </c>
      <c r="K357">
        <f>K329*-31.41145</f>
        <v>0</v>
      </c>
      <c r="L357">
        <f>L329*101.85785</f>
        <v>0</v>
      </c>
      <c r="M357">
        <f>M329*-81.65975</f>
        <v>0</v>
      </c>
      <c r="N357">
        <f>E357+F357+G357+H357+I357+J357+K357+L357</f>
        <v>0</v>
      </c>
      <c r="O357">
        <f>E357+F357+G357+H357+I357+J357+K357+M357</f>
        <v>0</v>
      </c>
    </row>
    <row r="358" spans="3:15">
      <c r="C358">
        <f>24.09</f>
        <v>0</v>
      </c>
      <c r="D358">
        <f>4.09</f>
        <v>0</v>
      </c>
      <c r="E358">
        <f>E329*0.06440000000000004</f>
        <v>0</v>
      </c>
      <c r="F358">
        <f>F329*7.5268999999999995</f>
        <v>0</v>
      </c>
      <c r="G358">
        <f>G329*0.89445</f>
        <v>0</v>
      </c>
      <c r="H358">
        <f>H329*0.0</f>
        <v>0</v>
      </c>
      <c r="I358">
        <f>I329*-1.14725</f>
        <v>0</v>
      </c>
      <c r="J358">
        <f>J329*48.7825</f>
        <v>0</v>
      </c>
      <c r="K358">
        <f>K329*-36.5869</f>
        <v>0</v>
      </c>
      <c r="L358">
        <f>L329*93.18950000000001</f>
        <v>0</v>
      </c>
      <c r="M358">
        <f>M329*-83.44200000000001</f>
        <v>0</v>
      </c>
      <c r="N358">
        <f>E358+F358+G358+H358+I358+J358+K358+L358</f>
        <v>0</v>
      </c>
      <c r="O358">
        <f>E358+F358+G358+H358+I358+J358+K358+M358</f>
        <v>0</v>
      </c>
    </row>
    <row r="359" spans="3:15">
      <c r="C359">
        <f>25.0</f>
        <v>0</v>
      </c>
      <c r="D359">
        <f>5.0</f>
        <v>0</v>
      </c>
      <c r="E359">
        <f>E329*-2.5919</f>
        <v>0</v>
      </c>
      <c r="F359">
        <f>F329*4.297</f>
        <v>0</v>
      </c>
      <c r="G359">
        <f>G329*0.7145</f>
        <v>0</v>
      </c>
      <c r="H359">
        <f>H329*0.0</f>
        <v>0</v>
      </c>
      <c r="I359">
        <f>I329*-1.2036499999999999</f>
        <v>0</v>
      </c>
      <c r="J359">
        <f>J329*25.5065</f>
        <v>0</v>
      </c>
      <c r="K359">
        <f>K329*-19.12985</f>
        <v>0</v>
      </c>
      <c r="L359">
        <f>L329*86.94040000000001</f>
        <v>0</v>
      </c>
      <c r="M359">
        <f>M329*-76.38374999999999</f>
        <v>0</v>
      </c>
      <c r="N359">
        <f>E359+F359+G359+H359+I359+J359+K359+L359</f>
        <v>0</v>
      </c>
      <c r="O359">
        <f>E359+F359+G359+H359+I359+J359+K359+M359</f>
        <v>0</v>
      </c>
    </row>
    <row r="360" spans="3:15">
      <c r="C360">
        <f>26.0</f>
        <v>0</v>
      </c>
      <c r="D360">
        <f>6.0</f>
        <v>0</v>
      </c>
      <c r="E360">
        <f>E329*-5.0497</f>
        <v>0</v>
      </c>
      <c r="F360">
        <f>F329*1.0113500000000002</f>
        <v>0</v>
      </c>
      <c r="G360">
        <f>G329*0.5329</f>
        <v>0</v>
      </c>
      <c r="H360">
        <f>H329*0.0</f>
        <v>0</v>
      </c>
      <c r="I360">
        <f>I329*-1.24285</f>
        <v>0</v>
      </c>
      <c r="J360">
        <f>J329*1.67335</f>
        <v>0</v>
      </c>
      <c r="K360">
        <f>K329*-1.255</f>
        <v>0</v>
      </c>
      <c r="L360">
        <f>L329*82.24475000000001</f>
        <v>0</v>
      </c>
      <c r="M360">
        <f>M329*-66.64605</f>
        <v>0</v>
      </c>
      <c r="N360">
        <f>E360+F360+G360+H360+I360+J360+K360+L360</f>
        <v>0</v>
      </c>
      <c r="O360">
        <f>E360+F360+G360+H360+I360+J360+K360+M360</f>
        <v>0</v>
      </c>
    </row>
    <row r="361" spans="3:15">
      <c r="C361">
        <f>27.0</f>
        <v>0</v>
      </c>
      <c r="D361">
        <f>7.0</f>
        <v>0</v>
      </c>
      <c r="E361">
        <f>E329*-2.3728</f>
        <v>0</v>
      </c>
      <c r="F361">
        <f>F329*1.0307499999999998</f>
        <v>0</v>
      </c>
      <c r="G361">
        <f>G329*0.30125</f>
        <v>0</v>
      </c>
      <c r="H361">
        <f>H329*0.0</f>
        <v>0</v>
      </c>
      <c r="I361">
        <f>I329*-1.343</f>
        <v>0</v>
      </c>
      <c r="J361">
        <f>J329*7.76295</f>
        <v>0</v>
      </c>
      <c r="K361">
        <f>K329*-5.8222000000000005</f>
        <v>0</v>
      </c>
      <c r="L361">
        <f>L329*72.73169999999999</f>
        <v>0</v>
      </c>
      <c r="M361">
        <f>M329*-67.917</f>
        <v>0</v>
      </c>
      <c r="N361">
        <f>E361+F361+G361+H361+I361+J361+K361+L361</f>
        <v>0</v>
      </c>
      <c r="O361">
        <f>E361+F361+G361+H361+I361+J361+K361+M361</f>
        <v>0</v>
      </c>
    </row>
    <row r="362" spans="3:15">
      <c r="C362">
        <f>28.0</f>
        <v>0</v>
      </c>
      <c r="D362">
        <f>8.0</f>
        <v>0</v>
      </c>
      <c r="E362">
        <f>E329*0.11295</f>
        <v>0</v>
      </c>
      <c r="F362">
        <f>F329*1.3067</f>
        <v>0</v>
      </c>
      <c r="G362">
        <f>G329*0.1211</f>
        <v>0</v>
      </c>
      <c r="H362">
        <f>H329*0.0</f>
        <v>0</v>
      </c>
      <c r="I362">
        <f>I329*-1.5143</f>
        <v>0</v>
      </c>
      <c r="J362">
        <f>J329*13.7146</f>
        <v>0</v>
      </c>
      <c r="K362">
        <f>K329*-10.28595</f>
        <v>0</v>
      </c>
      <c r="L362">
        <f>L329*66.8743</f>
        <v>0</v>
      </c>
      <c r="M362">
        <f>M329*-58.2535</f>
        <v>0</v>
      </c>
      <c r="N362">
        <f>E362+F362+G362+H362+I362+J362+K362+L362</f>
        <v>0</v>
      </c>
      <c r="O362">
        <f>E362+F362+G362+H362+I362+J362+K362+M362</f>
        <v>0</v>
      </c>
    </row>
    <row r="363" spans="3:15">
      <c r="C363">
        <f>29.0</f>
        <v>0</v>
      </c>
      <c r="D363">
        <f>9.0</f>
        <v>0</v>
      </c>
      <c r="E363">
        <f>E329*2.79685</f>
        <v>0</v>
      </c>
      <c r="F363">
        <f>F329*2.0289</f>
        <v>0</v>
      </c>
      <c r="G363">
        <f>G329*-0.007146550000000001</f>
        <v>0</v>
      </c>
      <c r="H363">
        <f>H329*0.0</f>
        <v>0</v>
      </c>
      <c r="I363">
        <f>I329*-1.7627000000000002</f>
        <v>0</v>
      </c>
      <c r="J363">
        <f>J329*20.06075</f>
        <v>0</v>
      </c>
      <c r="K363">
        <f>K329*-15.0455</f>
        <v>0</v>
      </c>
      <c r="L363">
        <f>L329*59.5435</f>
        <v>0</v>
      </c>
      <c r="M363">
        <f>M329*-64.18115</f>
        <v>0</v>
      </c>
      <c r="N363">
        <f>E363+F363+G363+H363+I363+J363+K363+L363</f>
        <v>0</v>
      </c>
      <c r="O363">
        <f>E363+F363+G363+H363+I363+J363+K363+M363</f>
        <v>0</v>
      </c>
    </row>
    <row r="364" spans="3:15">
      <c r="C364">
        <f>30.0</f>
        <v>0</v>
      </c>
      <c r="D364">
        <f>10.0</f>
        <v>0</v>
      </c>
      <c r="E364">
        <f>E329*-0.04479999999999995</f>
        <v>0</v>
      </c>
      <c r="F364">
        <f>F329*0.73485</f>
        <v>0</v>
      </c>
      <c r="G364">
        <f>G329*0.10965</f>
        <v>0</v>
      </c>
      <c r="H364">
        <f>H329*0.0</f>
        <v>0</v>
      </c>
      <c r="I364">
        <f>I329*-2.14515</f>
        <v>0</v>
      </c>
      <c r="J364">
        <f>J329*1.0965999999999987</f>
        <v>0</v>
      </c>
      <c r="K364">
        <f>K329*-0.8224500000000017</f>
        <v>0</v>
      </c>
      <c r="L364">
        <f>L329*52.02515</f>
        <v>0</v>
      </c>
      <c r="M364">
        <f>M329*-51.7147</f>
        <v>0</v>
      </c>
      <c r="N364">
        <f>E364+F364+G364+H364+I364+J364+K364+L364</f>
        <v>0</v>
      </c>
      <c r="O364">
        <f>E364+F364+G364+H364+I364+J364+K364+M364</f>
        <v>0</v>
      </c>
    </row>
    <row r="365" spans="3:15">
      <c r="C365">
        <f>31.0</f>
        <v>0</v>
      </c>
      <c r="D365">
        <f>11.0</f>
        <v>0</v>
      </c>
      <c r="E365">
        <f>E329*-2.8828</f>
        <v>0</v>
      </c>
      <c r="F365">
        <f>F329*-0.52925</f>
        <v>0</v>
      </c>
      <c r="G365">
        <f>G329*0.23070000000000002</f>
        <v>0</v>
      </c>
      <c r="H365">
        <f>H329*0.0</f>
        <v>0</v>
      </c>
      <c r="I365">
        <f>I329*-2.59175</f>
        <v>0</v>
      </c>
      <c r="J365">
        <f>J329*-17.8722</f>
        <v>0</v>
      </c>
      <c r="K365">
        <f>K329*13.404150000000001</f>
        <v>0</v>
      </c>
      <c r="L365">
        <f>L329*53.466049999999996</f>
        <v>0</v>
      </c>
      <c r="M365">
        <f>M329*-58.248149999999995</f>
        <v>0</v>
      </c>
      <c r="N365">
        <f>E365+F365+G365+H365+I365+J365+K365+L365</f>
        <v>0</v>
      </c>
      <c r="O365">
        <f>E365+F365+G365+H365+I365+J365+K365+M365</f>
        <v>0</v>
      </c>
    </row>
    <row r="366" spans="3:15">
      <c r="C366">
        <f>32.0</f>
        <v>0</v>
      </c>
      <c r="D366">
        <f>12.0</f>
        <v>0</v>
      </c>
      <c r="E366">
        <f>E329*-0.18755</f>
        <v>0</v>
      </c>
      <c r="F366">
        <f>F329*0.3050999999999999</f>
        <v>0</v>
      </c>
      <c r="G366">
        <f>G329*0.1185</f>
        <v>0</v>
      </c>
      <c r="H366">
        <f>H329*0.0</f>
        <v>0</v>
      </c>
      <c r="I366">
        <f>I329*-3.15245</f>
        <v>0</v>
      </c>
      <c r="J366">
        <f>J329*-11.5243</f>
        <v>0</v>
      </c>
      <c r="K366">
        <f>K329*8.64325</f>
        <v>0</v>
      </c>
      <c r="L366">
        <f>L329*57.8013</f>
        <v>0</v>
      </c>
      <c r="M366">
        <f>M329*-65.73505</f>
        <v>0</v>
      </c>
      <c r="N366">
        <f>E366+F366+G366+H366+I366+J366+K366+L366</f>
        <v>0</v>
      </c>
      <c r="O366">
        <f>E366+F366+G366+H366+I366+J366+K366+M366</f>
        <v>0</v>
      </c>
    </row>
    <row r="367" spans="3:15">
      <c r="C367">
        <f>33.0</f>
        <v>0</v>
      </c>
      <c r="D367">
        <f>13.0</f>
        <v>0</v>
      </c>
      <c r="E367">
        <f>E329*2.3185</f>
        <v>0</v>
      </c>
      <c r="F367">
        <f>F329*0.7616</f>
        <v>0</v>
      </c>
      <c r="G367">
        <f>G329*-0.03595</f>
        <v>0</v>
      </c>
      <c r="H367">
        <f>H329*0.0</f>
        <v>0</v>
      </c>
      <c r="I367">
        <f>I329*-3.95145</f>
        <v>0</v>
      </c>
      <c r="J367">
        <f>J329*-5.5878499999999995</f>
        <v>0</v>
      </c>
      <c r="K367">
        <f>K329*4.1909</f>
        <v>0</v>
      </c>
      <c r="L367">
        <f>L329*62.1482</f>
        <v>0</v>
      </c>
      <c r="M367">
        <f>M329*-71.50725</f>
        <v>0</v>
      </c>
      <c r="N367">
        <f>E367+F367+G367+H367+I367+J367+K367+L367</f>
        <v>0</v>
      </c>
      <c r="O367">
        <f>E367+F367+G367+H367+I367+J367+K367+M367</f>
        <v>0</v>
      </c>
    </row>
    <row r="368" spans="3:15">
      <c r="C368">
        <f>34.0</f>
        <v>0</v>
      </c>
      <c r="D368">
        <f>14.0</f>
        <v>0</v>
      </c>
      <c r="E368">
        <f>E329*5.02575</f>
        <v>0</v>
      </c>
      <c r="F368">
        <f>F329*0.9747499999999999</f>
        <v>0</v>
      </c>
      <c r="G368">
        <f>G329*-0.2403</f>
        <v>0</v>
      </c>
      <c r="H368">
        <f>H329*0.0</f>
        <v>0</v>
      </c>
      <c r="I368">
        <f>I329*-4.98925</f>
        <v>0</v>
      </c>
      <c r="J368">
        <f>J329*0.40985000000000005</f>
        <v>0</v>
      </c>
      <c r="K368">
        <f>K329*-0.3074</f>
        <v>0</v>
      </c>
      <c r="L368">
        <f>L329*66.90870000000001</f>
        <v>0</v>
      </c>
      <c r="M368">
        <f>M329*-81.3069</f>
        <v>0</v>
      </c>
      <c r="N368">
        <f>E368+F368+G368+H368+I368+J368+K368+L368</f>
        <v>0</v>
      </c>
      <c r="O368">
        <f>E368+F368+G368+H368+I368+J368+K368+M368</f>
        <v>0</v>
      </c>
    </row>
    <row r="369" spans="3:15">
      <c r="C369">
        <f>35.0</f>
        <v>0</v>
      </c>
      <c r="D369">
        <f>15.0</f>
        <v>0</v>
      </c>
      <c r="E369">
        <f>E329*2.6281499999999998</f>
        <v>0</v>
      </c>
      <c r="F369">
        <f>F329*-1.4533999999999998</f>
        <v>0</v>
      </c>
      <c r="G369">
        <f>G329*-0.2983</f>
        <v>0</v>
      </c>
      <c r="H369">
        <f>H329*0.0</f>
        <v>0</v>
      </c>
      <c r="I369">
        <f>I329*-8.0366</f>
        <v>0</v>
      </c>
      <c r="J369">
        <f>J329*-23.1545</f>
        <v>0</v>
      </c>
      <c r="K369">
        <f>K329*17.3659</f>
        <v>0</v>
      </c>
      <c r="L369">
        <f>L329*77.75874999999999</f>
        <v>0</v>
      </c>
      <c r="M369">
        <f>M329*-85.322</f>
        <v>0</v>
      </c>
      <c r="N369">
        <f>E369+F369+G369+H369+I369+J369+K369+L369</f>
        <v>0</v>
      </c>
      <c r="O369">
        <f>E369+F369+G369+H369+I369+J369+K369+M369</f>
        <v>0</v>
      </c>
    </row>
    <row r="370" spans="3:15">
      <c r="C370">
        <f>35.91</f>
        <v>0</v>
      </c>
      <c r="D370">
        <f>15.91</f>
        <v>0</v>
      </c>
      <c r="E370">
        <f>E329*0.04329999999999998</f>
        <v>0</v>
      </c>
      <c r="F370">
        <f>F329*-3.96715</f>
        <v>0</v>
      </c>
      <c r="G370">
        <f>G329*-0.37575000000000003</f>
        <v>0</v>
      </c>
      <c r="H370">
        <f>H329*0.0</f>
        <v>0</v>
      </c>
      <c r="I370">
        <f>I329*-10.89595</f>
        <v>0</v>
      </c>
      <c r="J370">
        <f>J329*-46.39765</f>
        <v>0</v>
      </c>
      <c r="K370">
        <f>K329*34.798249999999996</f>
        <v>0</v>
      </c>
      <c r="L370">
        <f>L329*85.975</f>
        <v>0</v>
      </c>
      <c r="M370">
        <f>M329*-92.4942</f>
        <v>0</v>
      </c>
      <c r="N370">
        <f>E370+F370+G370+H370+I370+J370+K370+L370</f>
        <v>0</v>
      </c>
      <c r="O370">
        <f>E370+F370+G370+H370+I370+J370+K370+M370</f>
        <v>0</v>
      </c>
    </row>
    <row r="371" spans="3:15">
      <c r="C371">
        <f>36.82</f>
        <v>0</v>
      </c>
      <c r="D371">
        <f>16.82</f>
        <v>0</v>
      </c>
      <c r="E371">
        <f>E329*2.4942</f>
        <v>0</v>
      </c>
      <c r="F371">
        <f>F329*-4.8677</f>
        <v>0</v>
      </c>
      <c r="G371">
        <f>G329*-0.72865</f>
        <v>0</v>
      </c>
      <c r="H371">
        <f>H329*0.0</f>
        <v>0</v>
      </c>
      <c r="I371">
        <f>I329*-11.761099999999999</f>
        <v>0</v>
      </c>
      <c r="J371">
        <f>J329*-40.32515</f>
        <v>0</v>
      </c>
      <c r="K371">
        <f>K329*30.243850000000002</f>
        <v>0</v>
      </c>
      <c r="L371">
        <f>L329*89.17644999999999</f>
        <v>0</v>
      </c>
      <c r="M371">
        <f>M329*-101.89775</f>
        <v>0</v>
      </c>
      <c r="N371">
        <f>E371+F371+G371+H371+I371+J371+K371+L371</f>
        <v>0</v>
      </c>
      <c r="O371">
        <f>E371+F371+G371+H371+I371+J371+K371+M371</f>
        <v>0</v>
      </c>
    </row>
    <row r="372" spans="3:15">
      <c r="C372">
        <f>37.73</f>
        <v>0</v>
      </c>
      <c r="D372">
        <f>17.73</f>
        <v>0</v>
      </c>
      <c r="E372">
        <f>E329*4.6099499999999995</f>
        <v>0</v>
      </c>
      <c r="F372">
        <f>F329*-6.751250000000001</f>
        <v>0</v>
      </c>
      <c r="G372">
        <f>G329*-1.21085</f>
        <v>0</v>
      </c>
      <c r="H372">
        <f>H329*0.0</f>
        <v>0</v>
      </c>
      <c r="I372">
        <f>I329*-12.275749999999999</f>
        <v>0</v>
      </c>
      <c r="J372">
        <f>J329*-34.5775</f>
        <v>0</v>
      </c>
      <c r="K372">
        <f>K329*25.9331</f>
        <v>0</v>
      </c>
      <c r="L372">
        <f>L329*80.45824999999999</f>
        <v>0</v>
      </c>
      <c r="M372">
        <f>M329*-112.57759999999999</f>
        <v>0</v>
      </c>
      <c r="N372">
        <f>E372+F372+G372+H372+I372+J372+K372+L372</f>
        <v>0</v>
      </c>
      <c r="O372">
        <f>E372+F372+G372+H372+I372+J372+K372+M372</f>
        <v>0</v>
      </c>
    </row>
    <row r="373" spans="3:15">
      <c r="C373">
        <f>38.64</f>
        <v>0</v>
      </c>
      <c r="D373">
        <f>18.64</f>
        <v>0</v>
      </c>
      <c r="E373">
        <f>E329*6.5316</f>
        <v>0</v>
      </c>
      <c r="F373">
        <f>F329*-8.937899999999999</f>
        <v>0</v>
      </c>
      <c r="G373">
        <f>G329*-1.7443499999999998</f>
        <v>0</v>
      </c>
      <c r="H373">
        <f>H329*0.0</f>
        <v>0</v>
      </c>
      <c r="I373">
        <f>I329*-11.85325</f>
        <v>0</v>
      </c>
      <c r="J373">
        <f>J329*-27.030250000000002</f>
        <v>0</v>
      </c>
      <c r="K373">
        <f>K329*20.27265</f>
        <v>0</v>
      </c>
      <c r="L373">
        <f>L329*79.6037</f>
        <v>0</v>
      </c>
      <c r="M373">
        <f>M329*-124.65684999999999</f>
        <v>0</v>
      </c>
      <c r="N373">
        <f>E373+F373+G373+H373+I373+J373+K373+L373</f>
        <v>0</v>
      </c>
      <c r="O373">
        <f>E373+F373+G373+H373+I373+J373+K373+M373</f>
        <v>0</v>
      </c>
    </row>
    <row r="374" spans="3:15">
      <c r="C374">
        <f>39.55</f>
        <v>0</v>
      </c>
      <c r="D374">
        <f>19.55</f>
        <v>0</v>
      </c>
      <c r="E374">
        <f>E329*4.6671499999999995</f>
        <v>0</v>
      </c>
      <c r="F374">
        <f>F329*-9.371</f>
        <v>0</v>
      </c>
      <c r="G374">
        <f>G329*-1.6647</f>
        <v>0</v>
      </c>
      <c r="H374">
        <f>H329*0.0</f>
        <v>0</v>
      </c>
      <c r="I374">
        <f>I329*-10.96325</f>
        <v>0</v>
      </c>
      <c r="J374">
        <f>J329*-28.397100000000002</f>
        <v>0</v>
      </c>
      <c r="K374">
        <f>K329*21.29785</f>
        <v>0</v>
      </c>
      <c r="L374">
        <f>L329*89.31620000000001</f>
        <v>0</v>
      </c>
      <c r="M374">
        <f>M329*-102.31045</f>
        <v>0</v>
      </c>
      <c r="N374">
        <f>E374+F374+G374+H374+I374+J374+K374+L374</f>
        <v>0</v>
      </c>
      <c r="O374">
        <f>E374+F374+G374+H374+I374+J374+K374+M374</f>
        <v>0</v>
      </c>
    </row>
    <row r="375" spans="3:15">
      <c r="C375">
        <f>40.0</f>
        <v>0</v>
      </c>
      <c r="D375">
        <f>20.0</f>
        <v>0</v>
      </c>
      <c r="E375">
        <f>E329*1.442</f>
        <v>0</v>
      </c>
      <c r="F375">
        <f>F329*-10.5839</f>
        <v>0</v>
      </c>
      <c r="G375">
        <f>G329*-1.3171</f>
        <v>0</v>
      </c>
      <c r="H375">
        <f>H329*0.0</f>
        <v>0</v>
      </c>
      <c r="I375">
        <f>I329*-12.0416</f>
        <v>0</v>
      </c>
      <c r="J375">
        <f>J329*-42.4611</f>
        <v>0</v>
      </c>
      <c r="K375">
        <f>K329*31.8459</f>
        <v>0</v>
      </c>
      <c r="L375">
        <f>L329*101.2748</f>
        <v>0</v>
      </c>
      <c r="M375">
        <f>M329*-75.275</f>
        <v>0</v>
      </c>
      <c r="N375">
        <f>E375+F375+G375+H375+I375+J375+K375+L375</f>
        <v>0</v>
      </c>
      <c r="O375">
        <f>E375+F375+G375+H375+I375+J375+K375+M375</f>
        <v>0</v>
      </c>
    </row>
    <row r="376" spans="3:15">
      <c r="C376">
        <f>40.0</f>
        <v>0</v>
      </c>
      <c r="D376">
        <f>0.0</f>
        <v>0</v>
      </c>
      <c r="E376">
        <f>E329*-0.5331</f>
        <v>0</v>
      </c>
      <c r="F376">
        <f>F329*11.1642</f>
        <v>0</v>
      </c>
      <c r="G376">
        <f>G329*1.358</f>
        <v>0</v>
      </c>
      <c r="H376">
        <f>H329*0.0</f>
        <v>0</v>
      </c>
      <c r="I376">
        <f>I329*-36.3925</f>
        <v>0</v>
      </c>
      <c r="J376">
        <f>J329*32.1084</f>
        <v>0</v>
      </c>
      <c r="K376">
        <f>K329*-24.0813</f>
        <v>0</v>
      </c>
      <c r="L376">
        <f>L329*31.4492</f>
        <v>0</v>
      </c>
      <c r="M376">
        <f>M329*-14.0963</f>
        <v>0</v>
      </c>
      <c r="N376">
        <f>E376+F376+G376+H376+I376+J376+K376+L376</f>
        <v>0</v>
      </c>
      <c r="O376">
        <f>E376+F376+G376+H376+I376+J376+K376+M376</f>
        <v>0</v>
      </c>
    </row>
    <row r="377" spans="3:15">
      <c r="C377">
        <f>40.45</f>
        <v>0</v>
      </c>
      <c r="D377">
        <f>0.45</f>
        <v>0</v>
      </c>
      <c r="E377">
        <f>E329*-3.4983</f>
        <v>0</v>
      </c>
      <c r="F377">
        <f>F329*10.38155</f>
        <v>0</v>
      </c>
      <c r="G377">
        <f>G329*1.7556500000000002</f>
        <v>0</v>
      </c>
      <c r="H377">
        <f>H329*0.0</f>
        <v>0</v>
      </c>
      <c r="I377">
        <f>I329*-45.57795</f>
        <v>0</v>
      </c>
      <c r="J377">
        <f>J329*15.309400000000002</f>
        <v>0</v>
      </c>
      <c r="K377">
        <f>K329*-11.48205</f>
        <v>0</v>
      </c>
      <c r="L377">
        <f>L329*52.657650000000004</f>
        <v>0</v>
      </c>
      <c r="M377">
        <f>M329*-21.90815</f>
        <v>0</v>
      </c>
      <c r="N377">
        <f>E377+F377+G377+H377+I377+J377+K377+L377</f>
        <v>0</v>
      </c>
      <c r="O377">
        <f>E377+F377+G377+H377+I377+J377+K377+M377</f>
        <v>0</v>
      </c>
    </row>
    <row r="378" spans="3:15">
      <c r="C378">
        <f>41.36</f>
        <v>0</v>
      </c>
      <c r="D378">
        <f>1.36</f>
        <v>0</v>
      </c>
      <c r="E378">
        <f>E329*-5.0456</f>
        <v>0</v>
      </c>
      <c r="F378">
        <f>F329*12.2311</f>
        <v>0</v>
      </c>
      <c r="G378">
        <f>G329*2.15655</f>
        <v>0</v>
      </c>
      <c r="H378">
        <f>H329*0.0</f>
        <v>0</v>
      </c>
      <c r="I378">
        <f>I329*-57.6749</f>
        <v>0</v>
      </c>
      <c r="J378">
        <f>J329*13.2224</f>
        <v>0</v>
      </c>
      <c r="K378">
        <f>K329*-9.91685</f>
        <v>0</v>
      </c>
      <c r="L378">
        <f>L329*72.93415</f>
        <v>0</v>
      </c>
      <c r="M378">
        <f>M329*-31.1382</f>
        <v>0</v>
      </c>
      <c r="N378">
        <f>E378+F378+G378+H378+I378+J378+K378+L378</f>
        <v>0</v>
      </c>
      <c r="O378">
        <f>E378+F378+G378+H378+I378+J378+K378+M378</f>
        <v>0</v>
      </c>
    </row>
    <row r="379" spans="3:15">
      <c r="C379">
        <f>42.27</f>
        <v>0</v>
      </c>
      <c r="D379">
        <f>2.27</f>
        <v>0</v>
      </c>
      <c r="E379">
        <f>E329*-2.96625</f>
        <v>0</v>
      </c>
      <c r="F379">
        <f>F329*11.639399999999998</f>
        <v>0</v>
      </c>
      <c r="G379">
        <f>G329*1.84745</f>
        <v>0</v>
      </c>
      <c r="H379">
        <f>H329*0.0</f>
        <v>0</v>
      </c>
      <c r="I379">
        <f>I329*-47.96355</f>
        <v>0</v>
      </c>
      <c r="J379">
        <f>J329*21.12065</f>
        <v>0</v>
      </c>
      <c r="K379">
        <f>K329*-15.8405</f>
        <v>0</v>
      </c>
      <c r="L379">
        <f>L329*65.79445000000001</f>
        <v>0</v>
      </c>
      <c r="M379">
        <f>M329*-32.07135</f>
        <v>0</v>
      </c>
      <c r="N379">
        <f>E379+F379+G379+H379+I379+J379+K379+L379</f>
        <v>0</v>
      </c>
      <c r="O379">
        <f>E379+F379+G379+H379+I379+J379+K379+M379</f>
        <v>0</v>
      </c>
    </row>
    <row r="380" spans="3:15">
      <c r="C380">
        <f>43.18</f>
        <v>0</v>
      </c>
      <c r="D380">
        <f>3.18</f>
        <v>0</v>
      </c>
      <c r="E380">
        <f>E329*-0.6159</f>
        <v>0</v>
      </c>
      <c r="F380">
        <f>F329*10.2793</f>
        <v>0</v>
      </c>
      <c r="G380">
        <f>G329*1.4251</f>
        <v>0</v>
      </c>
      <c r="H380">
        <f>H329*0.0</f>
        <v>0</v>
      </c>
      <c r="I380">
        <f>I329*-31.335</f>
        <v>0</v>
      </c>
      <c r="J380">
        <f>J329*25.15005</f>
        <v>0</v>
      </c>
      <c r="K380">
        <f>K329*-18.86255</f>
        <v>0</v>
      </c>
      <c r="L380">
        <f>L329*58.591499999999996</f>
        <v>0</v>
      </c>
      <c r="M380">
        <f>M329*-33.1882</f>
        <v>0</v>
      </c>
      <c r="N380">
        <f>E380+F380+G380+H380+I380+J380+K380+L380</f>
        <v>0</v>
      </c>
      <c r="O380">
        <f>E380+F380+G380+H380+I380+J380+K380+M380</f>
        <v>0</v>
      </c>
    </row>
    <row r="381" spans="3:15">
      <c r="C381">
        <f>44.09</f>
        <v>0</v>
      </c>
      <c r="D381">
        <f>4.09</f>
        <v>0</v>
      </c>
      <c r="E381">
        <f>E329*2.11275</f>
        <v>0</v>
      </c>
      <c r="F381">
        <f>F329*8.90195</f>
        <v>0</v>
      </c>
      <c r="G381">
        <f>G329*0.9808</f>
        <v>0</v>
      </c>
      <c r="H381">
        <f>H329*0.0</f>
        <v>0</v>
      </c>
      <c r="I381">
        <f>I329*-11.6781</f>
        <v>0</v>
      </c>
      <c r="J381">
        <f>J329*28.0901</f>
        <v>0</v>
      </c>
      <c r="K381">
        <f>K329*-21.0676</f>
        <v>0</v>
      </c>
      <c r="L381">
        <f>L329*48.8316</f>
        <v>0</v>
      </c>
      <c r="M381">
        <f>M329*-34.6416</f>
        <v>0</v>
      </c>
      <c r="N381">
        <f>E381+F381+G381+H381+I381+J381+K381+L381</f>
        <v>0</v>
      </c>
      <c r="O381">
        <f>E381+F381+G381+H381+I381+J381+K381+M381</f>
        <v>0</v>
      </c>
    </row>
    <row r="382" spans="3:15">
      <c r="C382">
        <f>45.0</f>
        <v>0</v>
      </c>
      <c r="D382">
        <f>5.0</f>
        <v>0</v>
      </c>
      <c r="E382">
        <f>E329*0.6853500000000001</f>
        <v>0</v>
      </c>
      <c r="F382">
        <f>F329*6.8213</f>
        <v>0</v>
      </c>
      <c r="G382">
        <f>G329*0.8936</f>
        <v>0</v>
      </c>
      <c r="H382">
        <f>H329*0.0</f>
        <v>0</v>
      </c>
      <c r="I382">
        <f>I329*3.39255</f>
        <v>0</v>
      </c>
      <c r="J382">
        <f>J329*-8.26685</f>
        <v>0</v>
      </c>
      <c r="K382">
        <f>K329*6.200150000000001</f>
        <v>0</v>
      </c>
      <c r="L382">
        <f>L329*41.3838</f>
        <v>0</v>
      </c>
      <c r="M382">
        <f>M329*-34.848349999999996</f>
        <v>0</v>
      </c>
      <c r="N382">
        <f>E382+F382+G382+H382+I382+J382+K382+L382</f>
        <v>0</v>
      </c>
      <c r="O382">
        <f>E382+F382+G382+H382+I382+J382+K382+M382</f>
        <v>0</v>
      </c>
    </row>
    <row r="383" spans="3:15">
      <c r="C383">
        <f>46.0</f>
        <v>0</v>
      </c>
      <c r="D383">
        <f>6.0</f>
        <v>0</v>
      </c>
      <c r="E383">
        <f>E329*-0.54315</f>
        <v>0</v>
      </c>
      <c r="F383">
        <f>F329*4.38455</f>
        <v>0</v>
      </c>
      <c r="G383">
        <f>G329*0.75895</f>
        <v>0</v>
      </c>
      <c r="H383">
        <f>H329*0.0</f>
        <v>0</v>
      </c>
      <c r="I383">
        <f>I329*20.60575</f>
        <v>0</v>
      </c>
      <c r="J383">
        <f>J329*-45.2153</f>
        <v>0</v>
      </c>
      <c r="K383">
        <f>K329*33.9114</f>
        <v>0</v>
      </c>
      <c r="L383">
        <f>L329*40.3537</f>
        <v>0</v>
      </c>
      <c r="M383">
        <f>M329*-40.98025</f>
        <v>0</v>
      </c>
      <c r="N383">
        <f>E383+F383+G383+H383+I383+J383+K383+L383</f>
        <v>0</v>
      </c>
      <c r="O383">
        <f>E383+F383+G383+H383+I383+J383+K383+M383</f>
        <v>0</v>
      </c>
    </row>
    <row r="384" spans="3:15">
      <c r="C384">
        <f>47.0</f>
        <v>0</v>
      </c>
      <c r="D384">
        <f>7.0</f>
        <v>0</v>
      </c>
      <c r="E384">
        <f>E329*2.4688499999999998</f>
        <v>0</v>
      </c>
      <c r="F384">
        <f>F329*2.76875</f>
        <v>0</v>
      </c>
      <c r="G384">
        <f>G329*0.2589</f>
        <v>0</v>
      </c>
      <c r="H384">
        <f>H329*0.0</f>
        <v>0</v>
      </c>
      <c r="I384">
        <f>I329*44.146</f>
        <v>0</v>
      </c>
      <c r="J384">
        <f>J329*-43.6806</f>
        <v>0</v>
      </c>
      <c r="K384">
        <f>K329*32.76045</f>
        <v>0</v>
      </c>
      <c r="L384">
        <f>L329*41.5664</f>
        <v>0</v>
      </c>
      <c r="M384">
        <f>M329*-49.498850000000004</f>
        <v>0</v>
      </c>
      <c r="N384">
        <f>E384+F384+G384+H384+I384+J384+K384+L384</f>
        <v>0</v>
      </c>
      <c r="O384">
        <f>E384+F384+G384+H384+I384+J384+K384+M384</f>
        <v>0</v>
      </c>
    </row>
    <row r="385" spans="3:15">
      <c r="C385">
        <f>48.0</f>
        <v>0</v>
      </c>
      <c r="D385">
        <f>8.0</f>
        <v>0</v>
      </c>
      <c r="E385">
        <f>E329*5.07685</f>
        <v>0</v>
      </c>
      <c r="F385">
        <f>F329*1.1598000000000002</f>
        <v>0</v>
      </c>
      <c r="G385">
        <f>G329*-0.2149</f>
        <v>0</v>
      </c>
      <c r="H385">
        <f>H329*0.0</f>
        <v>0</v>
      </c>
      <c r="I385">
        <f>I329*64.7024</f>
        <v>0</v>
      </c>
      <c r="J385">
        <f>J329*-41.823499999999996</f>
        <v>0</v>
      </c>
      <c r="K385">
        <f>K329*31.3676</f>
        <v>0</v>
      </c>
      <c r="L385">
        <f>L329*39.3425</f>
        <v>0</v>
      </c>
      <c r="M385">
        <f>M329*-56.5137</f>
        <v>0</v>
      </c>
      <c r="N385">
        <f>E385+F385+G385+H385+I385+J385+K385+L385</f>
        <v>0</v>
      </c>
      <c r="O385">
        <f>E385+F385+G385+H385+I385+J385+K385+M385</f>
        <v>0</v>
      </c>
    </row>
    <row r="386" spans="3:15">
      <c r="C386">
        <f>49.0</f>
        <v>0</v>
      </c>
      <c r="D386">
        <f>9.0</f>
        <v>0</v>
      </c>
      <c r="E386">
        <f>E329*7.252800000000001</f>
        <v>0</v>
      </c>
      <c r="F386">
        <f>F329*-0.26335</f>
        <v>0</v>
      </c>
      <c r="G386">
        <f>G329*-0.64625</f>
        <v>0</v>
      </c>
      <c r="H386">
        <f>H329*0.0</f>
        <v>0</v>
      </c>
      <c r="I386">
        <f>I329*77.4345</f>
        <v>0</v>
      </c>
      <c r="J386">
        <f>J329*-38.475049999999996</f>
        <v>0</v>
      </c>
      <c r="K386">
        <f>K329*28.856250000000003</f>
        <v>0</v>
      </c>
      <c r="L386">
        <f>L329*39.47445</f>
        <v>0</v>
      </c>
      <c r="M386">
        <f>M329*-62.9374</f>
        <v>0</v>
      </c>
      <c r="N386">
        <f>E386+F386+G386+H386+I386+J386+K386+L386</f>
        <v>0</v>
      </c>
      <c r="O386">
        <f>E386+F386+G386+H386+I386+J386+K386+M386</f>
        <v>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Right Exterior Girder</vt:lpstr>
      <vt:lpstr>Interior Girder 1</vt:lpstr>
      <vt:lpstr>Interior Girder 2</vt:lpstr>
      <vt:lpstr>Left Exterior Girder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2019-04-18T20:37:53Z</dcterms:created>
  <dcterms:modified xsi:type="dcterms:W3CDTF">2019-04-18T20:37:53Z</dcterms:modified>
</cp:coreProperties>
</file>