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0.CAMPUS.011\Desktop\"/>
    </mc:Choice>
  </mc:AlternateContent>
  <xr:revisionPtr revIDLastSave="0" documentId="8_{AC61DEEF-CB02-441E-A757-153426387574}" xr6:coauthVersionLast="47" xr6:coauthVersionMax="47" xr10:uidLastSave="{00000000-0000-0000-0000-000000000000}"/>
  <bookViews>
    <workbookView xWindow="-120" yWindow="-120" windowWidth="29040" windowHeight="15840" firstSheet="3" activeTab="14" xr2:uid="{CDAE7C25-16A7-442D-A74D-B8B28CD64A05}"/>
  </bookViews>
  <sheets>
    <sheet name="Kategorie" sheetId="1" r:id="rId1"/>
    <sheet name="Operacje" sheetId="2" r:id="rId2"/>
    <sheet name="Styczeń" sheetId="3" r:id="rId3"/>
    <sheet name="Luty" sheetId="4" r:id="rId4"/>
    <sheet name="Marzec" sheetId="5" r:id="rId5"/>
    <sheet name="Kwiecień" sheetId="6" r:id="rId6"/>
    <sheet name="Maj" sheetId="7" r:id="rId7"/>
    <sheet name="Czerwiec" sheetId="8" r:id="rId8"/>
    <sheet name="Lipiec" sheetId="9" r:id="rId9"/>
    <sheet name="Sierpień" sheetId="10" r:id="rId10"/>
    <sheet name="Wrzesień" sheetId="11" r:id="rId11"/>
    <sheet name="Październik" sheetId="12" r:id="rId12"/>
    <sheet name="Listopad" sheetId="13" r:id="rId13"/>
    <sheet name="Grudzień" sheetId="14" r:id="rId14"/>
    <sheet name="Salda" sheetId="17" r:id="rId15"/>
    <sheet name="K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7" l="1" a="1"/>
  <c r="C2" i="17"/>
  <c r="C3" i="17" a="1"/>
  <c r="C3" i="17" l="1"/>
  <c r="C4" i="17" a="1"/>
  <c r="C4" i="17"/>
  <c r="C5" i="17" a="1"/>
  <c r="C5" i="17" l="1"/>
  <c r="C6" i="17" a="1"/>
  <c r="C6" i="17" l="1"/>
  <c r="C7" i="17" a="1"/>
  <c r="C7" i="17"/>
  <c r="C8" i="17" a="1"/>
  <c r="C8" i="17"/>
  <c r="C9" i="17" s="1"/>
  <c r="H18" i="14"/>
  <c r="H18" i="13"/>
  <c r="H18" i="12"/>
  <c r="H18" i="11"/>
  <c r="H18" i="10"/>
  <c r="H18" i="9"/>
  <c r="H18" i="8"/>
  <c r="H18" i="7"/>
  <c r="H18" i="6"/>
  <c r="H18" i="5"/>
  <c r="H18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2" i="14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2" i="13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2" i="1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2" i="1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2" i="10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2" i="9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D8" i="14"/>
  <c r="D3" i="14"/>
  <c r="D4" i="14"/>
  <c r="D5" i="14"/>
  <c r="D6" i="14"/>
  <c r="D7" i="14"/>
  <c r="D2" i="14"/>
  <c r="D3" i="13"/>
  <c r="D4" i="13"/>
  <c r="D5" i="13"/>
  <c r="D6" i="13"/>
  <c r="D7" i="13"/>
  <c r="D8" i="13"/>
  <c r="D2" i="13"/>
  <c r="D3" i="12"/>
  <c r="D4" i="12"/>
  <c r="D5" i="12"/>
  <c r="D6" i="12"/>
  <c r="D7" i="12"/>
  <c r="D8" i="12"/>
  <c r="D2" i="12"/>
  <c r="D3" i="11"/>
  <c r="D4" i="11"/>
  <c r="D5" i="11"/>
  <c r="D6" i="11"/>
  <c r="D7" i="11"/>
  <c r="D8" i="11"/>
  <c r="D2" i="11"/>
  <c r="D4" i="10"/>
  <c r="D5" i="10"/>
  <c r="D6" i="10"/>
  <c r="D7" i="10"/>
  <c r="D8" i="10"/>
  <c r="D3" i="10"/>
  <c r="D2" i="10"/>
  <c r="D7" i="9"/>
  <c r="D8" i="9"/>
  <c r="D6" i="9"/>
  <c r="D5" i="9"/>
  <c r="D4" i="9"/>
  <c r="D3" i="9"/>
  <c r="D2" i="9"/>
  <c r="D7" i="8"/>
  <c r="D8" i="8"/>
  <c r="D6" i="8"/>
  <c r="D5" i="8"/>
  <c r="D4" i="8"/>
  <c r="D3" i="8"/>
  <c r="D2" i="8"/>
  <c r="D8" i="7"/>
  <c r="D7" i="7"/>
  <c r="D6" i="7"/>
  <c r="D5" i="7"/>
  <c r="D4" i="7"/>
  <c r="D3" i="7"/>
  <c r="D2" i="7"/>
  <c r="D8" i="6"/>
  <c r="D7" i="6"/>
  <c r="D6" i="6"/>
  <c r="D5" i="6"/>
  <c r="D4" i="6"/>
  <c r="D3" i="6"/>
  <c r="D2" i="6"/>
  <c r="D8" i="5"/>
  <c r="D7" i="5"/>
  <c r="D6" i="5"/>
  <c r="D5" i="5"/>
  <c r="D4" i="5"/>
  <c r="D3" i="5"/>
  <c r="D2" i="5"/>
  <c r="D8" i="4"/>
  <c r="D7" i="4"/>
  <c r="D6" i="4"/>
  <c r="D5" i="4"/>
  <c r="D4" i="4"/>
  <c r="D3" i="4"/>
  <c r="D2" i="4"/>
  <c r="D3" i="3"/>
  <c r="D2" i="3"/>
  <c r="B14" i="14"/>
  <c r="B13" i="14"/>
  <c r="B14" i="13"/>
  <c r="B13" i="13"/>
  <c r="B14" i="12"/>
  <c r="B13" i="12"/>
  <c r="B14" i="11"/>
  <c r="B13" i="11"/>
  <c r="B14" i="10"/>
  <c r="B13" i="10"/>
  <c r="B14" i="9"/>
  <c r="B13" i="9"/>
  <c r="B14" i="8"/>
  <c r="B13" i="8"/>
  <c r="B14" i="7"/>
  <c r="B13" i="7"/>
  <c r="B14" i="6"/>
  <c r="B13" i="6"/>
  <c r="B14" i="5"/>
  <c r="B13" i="5"/>
  <c r="B14" i="4"/>
  <c r="B13" i="4"/>
  <c r="B13" i="3"/>
  <c r="B14" i="3"/>
  <c r="D4" i="3"/>
  <c r="E4" i="3" s="1"/>
  <c r="D5" i="3"/>
  <c r="D6" i="3"/>
  <c r="E6" i="3" s="1"/>
  <c r="D7" i="3"/>
  <c r="D8" i="3"/>
  <c r="E8" i="3" s="1"/>
  <c r="E95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15" i="2"/>
  <c r="G116" i="2"/>
  <c r="G88" i="2"/>
  <c r="G89" i="2"/>
  <c r="G90" i="2"/>
  <c r="G91" i="2"/>
  <c r="G92" i="2"/>
  <c r="G93" i="2"/>
  <c r="G94" i="2"/>
  <c r="G65" i="2"/>
  <c r="G66" i="2"/>
  <c r="G67" i="2"/>
  <c r="G68" i="2"/>
  <c r="G69" i="2"/>
  <c r="G70" i="2"/>
  <c r="G71" i="2"/>
  <c r="G72" i="2"/>
  <c r="G39" i="2"/>
  <c r="G40" i="2"/>
  <c r="G27" i="2"/>
  <c r="G28" i="2"/>
  <c r="G29" i="2"/>
  <c r="G30" i="2"/>
  <c r="G31" i="2"/>
  <c r="G32" i="2"/>
  <c r="G33" i="2"/>
  <c r="G34" i="2"/>
  <c r="G35" i="2"/>
  <c r="G36" i="2"/>
  <c r="G37" i="2"/>
  <c r="G38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E207" i="2"/>
  <c r="E206" i="2"/>
  <c r="E205" i="2"/>
  <c r="E204" i="2"/>
  <c r="G203" i="2"/>
  <c r="E203" i="2"/>
  <c r="G202" i="2"/>
  <c r="E202" i="2"/>
  <c r="E110" i="2"/>
  <c r="E109" i="2"/>
  <c r="E108" i="2"/>
  <c r="E107" i="2"/>
  <c r="E106" i="2"/>
  <c r="E105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E9" i="2"/>
  <c r="E10" i="2"/>
  <c r="E11" i="2"/>
  <c r="E12" i="2"/>
  <c r="E13" i="2"/>
  <c r="E14" i="2"/>
  <c r="E24" i="2"/>
  <c r="E25" i="2"/>
  <c r="E26" i="2"/>
  <c r="E69" i="2"/>
  <c r="E70" i="2"/>
  <c r="E8" i="2"/>
  <c r="E3" i="2"/>
  <c r="C11" i="14"/>
  <c r="C11" i="13"/>
  <c r="C11" i="12"/>
  <c r="C11" i="11"/>
  <c r="C11" i="10"/>
  <c r="C11" i="9"/>
  <c r="C11" i="8"/>
  <c r="C11" i="7"/>
  <c r="C11" i="6"/>
  <c r="C11" i="5"/>
  <c r="C11" i="3"/>
  <c r="G3" i="2"/>
  <c r="G5" i="2"/>
  <c r="G6" i="2"/>
  <c r="G7" i="2"/>
  <c r="G8" i="2"/>
  <c r="G9" i="2"/>
  <c r="G10" i="2"/>
  <c r="G11" i="2"/>
  <c r="G12" i="2"/>
  <c r="G13" i="2"/>
  <c r="G14" i="2"/>
  <c r="G24" i="2"/>
  <c r="G25" i="2"/>
  <c r="G26" i="2"/>
  <c r="G204" i="2"/>
  <c r="G205" i="2"/>
  <c r="G206" i="2"/>
  <c r="G207" i="2"/>
  <c r="E4" i="2"/>
  <c r="E5" i="2"/>
  <c r="E6" i="2"/>
  <c r="E7" i="2"/>
  <c r="E2" i="2"/>
  <c r="I3" i="2" a="1"/>
  <c r="I3" i="2" s="1"/>
  <c r="G2" i="2"/>
  <c r="C6" i="4" a="1"/>
  <c r="C8" i="4" a="1"/>
  <c r="C4" i="4" a="1"/>
  <c r="H18" i="3" l="1"/>
  <c r="E2" i="3"/>
  <c r="B15" i="3"/>
  <c r="E7" i="3"/>
  <c r="E3" i="3"/>
  <c r="E5" i="3"/>
  <c r="C8" i="4"/>
  <c r="C6" i="4"/>
  <c r="C4" i="4"/>
  <c r="C9" i="3"/>
  <c r="C5" i="4" a="1"/>
  <c r="C2" i="4" a="1"/>
  <c r="C7" i="4" a="1"/>
  <c r="C3" i="4" a="1"/>
  <c r="B15" i="14" l="1"/>
  <c r="C7" i="4"/>
  <c r="D9" i="14"/>
  <c r="D9" i="6"/>
  <c r="C3" i="4"/>
  <c r="D9" i="10"/>
  <c r="D9" i="11"/>
  <c r="D9" i="7"/>
  <c r="D9" i="12"/>
  <c r="D9" i="8"/>
  <c r="D9" i="5"/>
  <c r="D9" i="13"/>
  <c r="D9" i="9"/>
  <c r="D9" i="3"/>
  <c r="B15" i="11"/>
  <c r="B15" i="7"/>
  <c r="C5" i="4"/>
  <c r="B15" i="13"/>
  <c r="B15" i="9"/>
  <c r="B15" i="5"/>
  <c r="C2" i="4"/>
  <c r="B15" i="10"/>
  <c r="B15" i="6"/>
  <c r="B15" i="12"/>
  <c r="B15" i="8"/>
  <c r="E9" i="3"/>
  <c r="E8" i="4"/>
  <c r="E4" i="4"/>
  <c r="E6" i="4"/>
  <c r="C11" i="4"/>
  <c r="D8" i="17" a="1"/>
  <c r="D6" i="17" a="1"/>
  <c r="D4" i="17" a="1"/>
  <c r="C8" i="5" a="1"/>
  <c r="C4" i="5" a="1"/>
  <c r="C6" i="5" a="1"/>
  <c r="D8" i="17" l="1"/>
  <c r="D6" i="17"/>
  <c r="D4" i="17"/>
  <c r="E7" i="4"/>
  <c r="E3" i="4"/>
  <c r="C9" i="4"/>
  <c r="E5" i="4"/>
  <c r="E2" i="4"/>
  <c r="D9" i="4"/>
  <c r="B15" i="4"/>
  <c r="C6" i="5"/>
  <c r="E6" i="5" s="1"/>
  <c r="C4" i="5"/>
  <c r="E4" i="5" s="1"/>
  <c r="C8" i="5"/>
  <c r="E8" i="5" s="1"/>
  <c r="E8" i="17" a="1"/>
  <c r="D7" i="17" a="1"/>
  <c r="E6" i="17" a="1"/>
  <c r="D5" i="17" a="1"/>
  <c r="E4" i="17" a="1"/>
  <c r="D3" i="17" a="1"/>
  <c r="D2" i="17" a="1"/>
  <c r="C5" i="5" a="1"/>
  <c r="C6" i="6" a="1"/>
  <c r="C7" i="5" a="1"/>
  <c r="C4" i="6" a="1"/>
  <c r="C3" i="5" a="1"/>
  <c r="C8" i="6" a="1"/>
  <c r="C2" i="5" a="1"/>
  <c r="E8" i="17" l="1"/>
  <c r="D7" i="17"/>
  <c r="E6" i="17"/>
  <c r="D5" i="17"/>
  <c r="E4" i="17"/>
  <c r="D3" i="17"/>
  <c r="D2" i="17"/>
  <c r="C7" i="5"/>
  <c r="E7" i="5" s="1"/>
  <c r="C3" i="5"/>
  <c r="E3" i="5" s="1"/>
  <c r="E9" i="4"/>
  <c r="C2" i="5"/>
  <c r="E2" i="5" s="1"/>
  <c r="C5" i="5"/>
  <c r="E5" i="5" s="1"/>
  <c r="C8" i="6"/>
  <c r="E8" i="6" s="1"/>
  <c r="C6" i="6"/>
  <c r="E6" i="6" s="1"/>
  <c r="C4" i="6"/>
  <c r="E4" i="6" s="1"/>
  <c r="F8" i="17" a="1"/>
  <c r="E7" i="17" a="1"/>
  <c r="F6" i="17" a="1"/>
  <c r="E5" i="17" a="1"/>
  <c r="F4" i="17" a="1"/>
  <c r="E3" i="17" a="1"/>
  <c r="E2" i="17" a="1"/>
  <c r="C7" i="6" a="1"/>
  <c r="C6" i="7" a="1"/>
  <c r="C3" i="6" a="1"/>
  <c r="C2" i="6" a="1"/>
  <c r="C5" i="6" a="1"/>
  <c r="C4" i="7" a="1"/>
  <c r="C8" i="7" a="1"/>
  <c r="D9" i="17" l="1"/>
  <c r="F8" i="17"/>
  <c r="E7" i="17"/>
  <c r="F6" i="17"/>
  <c r="E5" i="17"/>
  <c r="F4" i="17"/>
  <c r="E3" i="17"/>
  <c r="E2" i="17"/>
  <c r="E9" i="17" s="1"/>
  <c r="C7" i="6"/>
  <c r="E7" i="6" s="1"/>
  <c r="C3" i="6"/>
  <c r="E3" i="6" s="1"/>
  <c r="C9" i="5"/>
  <c r="C5" i="6"/>
  <c r="E5" i="6" s="1"/>
  <c r="C6" i="7"/>
  <c r="E6" i="7" s="1"/>
  <c r="C4" i="7"/>
  <c r="E4" i="7" s="1"/>
  <c r="C8" i="7"/>
  <c r="E8" i="7" s="1"/>
  <c r="C2" i="6"/>
  <c r="E9" i="5"/>
  <c r="G8" i="17" a="1"/>
  <c r="F7" i="17" a="1"/>
  <c r="G6" i="17" a="1"/>
  <c r="F5" i="17" a="1"/>
  <c r="G4" i="17" a="1"/>
  <c r="F3" i="17" a="1"/>
  <c r="C4" i="8" a="1"/>
  <c r="C6" i="8" a="1"/>
  <c r="C5" i="7" a="1"/>
  <c r="C7" i="7" a="1"/>
  <c r="C8" i="8" a="1"/>
  <c r="C3" i="7" a="1"/>
  <c r="G8" i="17" l="1"/>
  <c r="F7" i="17"/>
  <c r="G6" i="17"/>
  <c r="F5" i="17"/>
  <c r="G4" i="17"/>
  <c r="F3" i="17"/>
  <c r="C7" i="7"/>
  <c r="E7" i="7" s="1"/>
  <c r="C3" i="7"/>
  <c r="E3" i="7" s="1"/>
  <c r="C5" i="7"/>
  <c r="E5" i="7" s="1"/>
  <c r="C4" i="8"/>
  <c r="E4" i="8" s="1"/>
  <c r="C8" i="8"/>
  <c r="E8" i="8" s="1"/>
  <c r="C6" i="8"/>
  <c r="E6" i="8" s="1"/>
  <c r="C9" i="6"/>
  <c r="E2" i="6"/>
  <c r="H8" i="17" a="1"/>
  <c r="G7" i="17" a="1"/>
  <c r="H6" i="17" a="1"/>
  <c r="G5" i="17" a="1"/>
  <c r="H4" i="17" a="1"/>
  <c r="G3" i="17" a="1"/>
  <c r="F2" i="17" a="1"/>
  <c r="C7" i="8" a="1"/>
  <c r="C6" i="9" a="1"/>
  <c r="C3" i="8" a="1"/>
  <c r="C2" i="7" a="1"/>
  <c r="C5" i="8" a="1"/>
  <c r="C4" i="9" a="1"/>
  <c r="C8" i="9" a="1"/>
  <c r="H8" i="17" l="1"/>
  <c r="G7" i="17"/>
  <c r="H6" i="17"/>
  <c r="G5" i="17"/>
  <c r="H4" i="17"/>
  <c r="G3" i="17"/>
  <c r="F2" i="17"/>
  <c r="F9" i="17" s="1"/>
  <c r="C7" i="8"/>
  <c r="E7" i="8" s="1"/>
  <c r="C3" i="8"/>
  <c r="E3" i="8" s="1"/>
  <c r="C5" i="8"/>
  <c r="E5" i="8" s="1"/>
  <c r="C6" i="9"/>
  <c r="E6" i="9" s="1"/>
  <c r="C8" i="9"/>
  <c r="E8" i="9" s="1"/>
  <c r="C4" i="9"/>
  <c r="E4" i="9" s="1"/>
  <c r="C2" i="7"/>
  <c r="E9" i="6"/>
  <c r="I8" i="17" a="1"/>
  <c r="H7" i="17" a="1"/>
  <c r="I6" i="17" a="1"/>
  <c r="H5" i="17" a="1"/>
  <c r="I4" i="17" a="1"/>
  <c r="H3" i="17" a="1"/>
  <c r="C7" i="9" a="1"/>
  <c r="C8" i="10" a="1"/>
  <c r="C6" i="10" a="1"/>
  <c r="C3" i="9" a="1"/>
  <c r="C4" i="10" a="1"/>
  <c r="C5" i="9" a="1"/>
  <c r="I8" i="17" l="1"/>
  <c r="H7" i="17"/>
  <c r="I6" i="17"/>
  <c r="H5" i="17"/>
  <c r="I4" i="17"/>
  <c r="H3" i="17"/>
  <c r="C7" i="9"/>
  <c r="E7" i="9" s="1"/>
  <c r="C3" i="9"/>
  <c r="E3" i="9" s="1"/>
  <c r="C5" i="9"/>
  <c r="E5" i="9" s="1"/>
  <c r="C4" i="10"/>
  <c r="E4" i="10" s="1"/>
  <c r="C8" i="10"/>
  <c r="E8" i="10" s="1"/>
  <c r="C6" i="10"/>
  <c r="E6" i="10" s="1"/>
  <c r="C9" i="7"/>
  <c r="E2" i="7"/>
  <c r="J8" i="17" a="1"/>
  <c r="I7" i="17" a="1"/>
  <c r="J6" i="17" a="1"/>
  <c r="I5" i="17" a="1"/>
  <c r="J4" i="17" a="1"/>
  <c r="I3" i="17" a="1"/>
  <c r="G2" i="17" a="1"/>
  <c r="C7" i="10" a="1"/>
  <c r="C8" i="11" a="1"/>
  <c r="C2" i="8" a="1"/>
  <c r="C6" i="11" a="1"/>
  <c r="C3" i="10" a="1"/>
  <c r="C4" i="11" a="1"/>
  <c r="C5" i="10" a="1"/>
  <c r="J8" i="17" l="1"/>
  <c r="I7" i="17"/>
  <c r="J6" i="17"/>
  <c r="I5" i="17"/>
  <c r="J4" i="17"/>
  <c r="I3" i="17"/>
  <c r="G2" i="17"/>
  <c r="G9" i="17" s="1"/>
  <c r="C7" i="10"/>
  <c r="E7" i="10" s="1"/>
  <c r="C3" i="10"/>
  <c r="E3" i="10" s="1"/>
  <c r="C5" i="10"/>
  <c r="E5" i="10" s="1"/>
  <c r="C4" i="11"/>
  <c r="E4" i="11" s="1"/>
  <c r="C6" i="11"/>
  <c r="E6" i="11" s="1"/>
  <c r="C8" i="11"/>
  <c r="E8" i="11" s="1"/>
  <c r="C2" i="8"/>
  <c r="E9" i="7"/>
  <c r="K8" i="17" a="1"/>
  <c r="J7" i="17" a="1"/>
  <c r="K6" i="17" a="1"/>
  <c r="J5" i="17" a="1"/>
  <c r="K4" i="17" a="1"/>
  <c r="J3" i="17" a="1"/>
  <c r="C7" i="11" a="1"/>
  <c r="C8" i="12" a="1"/>
  <c r="C5" i="11" a="1"/>
  <c r="C3" i="11" a="1"/>
  <c r="C6" i="12" a="1"/>
  <c r="C4" i="12" a="1"/>
  <c r="K8" i="17" l="1"/>
  <c r="J7" i="17"/>
  <c r="K6" i="17"/>
  <c r="J5" i="17"/>
  <c r="K4" i="17"/>
  <c r="J3" i="17"/>
  <c r="C7" i="11"/>
  <c r="E7" i="11" s="1"/>
  <c r="C3" i="11"/>
  <c r="E3" i="11" s="1"/>
  <c r="C5" i="11"/>
  <c r="E5" i="11" s="1"/>
  <c r="C6" i="12"/>
  <c r="E6" i="12" s="1"/>
  <c r="C8" i="12"/>
  <c r="E8" i="12" s="1"/>
  <c r="C4" i="12"/>
  <c r="E4" i="12" s="1"/>
  <c r="E2" i="8"/>
  <c r="C9" i="8"/>
  <c r="L8" i="17" a="1"/>
  <c r="K7" i="17" a="1"/>
  <c r="L6" i="17" a="1"/>
  <c r="K5" i="17" a="1"/>
  <c r="L4" i="17" a="1"/>
  <c r="K3" i="17" a="1"/>
  <c r="H2" i="17" a="1"/>
  <c r="C7" i="12" a="1"/>
  <c r="C8" i="13" a="1"/>
  <c r="C5" i="12" a="1"/>
  <c r="C4" i="13" a="1"/>
  <c r="C3" i="12" a="1"/>
  <c r="C2" i="9" a="1"/>
  <c r="C6" i="13" a="1"/>
  <c r="L8" i="17" l="1"/>
  <c r="K7" i="17"/>
  <c r="L6" i="17"/>
  <c r="K5" i="17"/>
  <c r="L4" i="17"/>
  <c r="K3" i="17"/>
  <c r="H2" i="17"/>
  <c r="H9" i="17" s="1"/>
  <c r="C7" i="12"/>
  <c r="E7" i="12" s="1"/>
  <c r="C3" i="12"/>
  <c r="E3" i="12" s="1"/>
  <c r="C5" i="12"/>
  <c r="E5" i="12" s="1"/>
  <c r="C4" i="13"/>
  <c r="E4" i="13" s="1"/>
  <c r="C6" i="13"/>
  <c r="E6" i="13" s="1"/>
  <c r="C8" i="13"/>
  <c r="E8" i="13" s="1"/>
  <c r="C2" i="9"/>
  <c r="E9" i="8"/>
  <c r="M8" i="17" a="1"/>
  <c r="L7" i="17" a="1"/>
  <c r="M6" i="17" a="1"/>
  <c r="L5" i="17" a="1"/>
  <c r="M4" i="17" a="1"/>
  <c r="L3" i="17" a="1"/>
  <c r="C7" i="13" a="1"/>
  <c r="C4" i="14" a="1"/>
  <c r="C5" i="13" a="1"/>
  <c r="C3" i="13" a="1"/>
  <c r="C6" i="14" a="1"/>
  <c r="C8" i="14" a="1"/>
  <c r="M8" i="17" l="1"/>
  <c r="L7" i="17"/>
  <c r="M6" i="17"/>
  <c r="L5" i="17"/>
  <c r="M4" i="17"/>
  <c r="L3" i="17"/>
  <c r="C7" i="13"/>
  <c r="E7" i="13" s="1"/>
  <c r="C3" i="13"/>
  <c r="E3" i="13" s="1"/>
  <c r="C5" i="13"/>
  <c r="E5" i="13" s="1"/>
  <c r="C8" i="14"/>
  <c r="E8" i="14" s="1"/>
  <c r="C6" i="14"/>
  <c r="E6" i="14" s="1"/>
  <c r="C4" i="14"/>
  <c r="E4" i="14" s="1"/>
  <c r="C9" i="9"/>
  <c r="E2" i="9"/>
  <c r="N4" i="17" a="1"/>
  <c r="N8" i="17" a="1"/>
  <c r="M7" i="17" a="1"/>
  <c r="N6" i="17" a="1"/>
  <c r="M5" i="17" a="1"/>
  <c r="M3" i="17" a="1"/>
  <c r="I2" i="17" a="1"/>
  <c r="C7" i="14" a="1"/>
  <c r="C3" i="14" a="1"/>
  <c r="C5" i="14" a="1"/>
  <c r="C2" i="10" a="1"/>
  <c r="N4" i="17" l="1"/>
  <c r="N8" i="17"/>
  <c r="M7" i="17"/>
  <c r="N6" i="17"/>
  <c r="M5" i="17"/>
  <c r="M3" i="17"/>
  <c r="I2" i="17"/>
  <c r="I9" i="17" s="1"/>
  <c r="C7" i="14"/>
  <c r="E7" i="14" s="1"/>
  <c r="C3" i="14"/>
  <c r="E3" i="14" s="1"/>
  <c r="C5" i="14"/>
  <c r="E5" i="14" s="1"/>
  <c r="C2" i="10"/>
  <c r="E9" i="9"/>
  <c r="N7" i="17" a="1"/>
  <c r="N5" i="17" a="1"/>
  <c r="N3" i="17" a="1"/>
  <c r="N7" i="17" l="1"/>
  <c r="N5" i="17"/>
  <c r="N3" i="17"/>
  <c r="E2" i="10"/>
  <c r="C9" i="10"/>
  <c r="J2" i="17" a="1"/>
  <c r="C2" i="11" a="1"/>
  <c r="J2" i="17" l="1"/>
  <c r="J9" i="17" s="1"/>
  <c r="C2" i="11"/>
  <c r="E9" i="10"/>
  <c r="C9" i="11" l="1"/>
  <c r="E2" i="11"/>
  <c r="K2" i="17" a="1"/>
  <c r="C2" i="12" a="1"/>
  <c r="K2" i="17" l="1"/>
  <c r="K9" i="17" s="1"/>
  <c r="C2" i="12"/>
  <c r="E9" i="11"/>
  <c r="E2" i="12" l="1"/>
  <c r="C9" i="12"/>
  <c r="L2" i="17" a="1"/>
  <c r="C2" i="13" a="1"/>
  <c r="L2" i="17" l="1"/>
  <c r="L9" i="17" s="1"/>
  <c r="C2" i="13"/>
  <c r="E9" i="12"/>
  <c r="C9" i="13" l="1"/>
  <c r="E2" i="13"/>
  <c r="M2" i="17" a="1"/>
  <c r="C2" i="14" a="1"/>
  <c r="M2" i="17" l="1"/>
  <c r="M9" i="17" s="1"/>
  <c r="C2" i="14"/>
  <c r="E9" i="13"/>
  <c r="E2" i="14" l="1"/>
  <c r="C9" i="14"/>
  <c r="N2" i="17" a="1"/>
  <c r="N2" i="17" l="1"/>
  <c r="N9" i="17" s="1"/>
  <c r="E9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<sst xmlns="http://schemas.openxmlformats.org/spreadsheetml/2006/main" count="1401" uniqueCount="57">
  <si>
    <t>Kategoria</t>
  </si>
  <si>
    <t>Jedzenie</t>
  </si>
  <si>
    <t>Transport</t>
  </si>
  <si>
    <t>Typ</t>
  </si>
  <si>
    <t>Mieszkanie</t>
  </si>
  <si>
    <t>Studia</t>
  </si>
  <si>
    <t>Rozrywka</t>
  </si>
  <si>
    <t>Zdrowie i uroda</t>
  </si>
  <si>
    <t>Odzież</t>
  </si>
  <si>
    <t>Pozostałe wydatki</t>
  </si>
  <si>
    <t>Wydatki</t>
  </si>
  <si>
    <t>Wypłata</t>
  </si>
  <si>
    <t>Kieszonkowe</t>
  </si>
  <si>
    <t>Stypendium</t>
  </si>
  <si>
    <t>Darowizny</t>
  </si>
  <si>
    <t>Inwestycje</t>
  </si>
  <si>
    <t>Świadczenia</t>
  </si>
  <si>
    <t>Pozostałe wpływy</t>
  </si>
  <si>
    <t>Wpływy</t>
  </si>
  <si>
    <t>Bank</t>
  </si>
  <si>
    <t>Konto</t>
  </si>
  <si>
    <t>mBank</t>
  </si>
  <si>
    <t>PKO BP</t>
  </si>
  <si>
    <t>Karta</t>
  </si>
  <si>
    <t>Lokata</t>
  </si>
  <si>
    <t>Skarbonka</t>
  </si>
  <si>
    <t>Kwota</t>
  </si>
  <si>
    <t>Produkt</t>
  </si>
  <si>
    <t>Data</t>
  </si>
  <si>
    <t>Miesiąc</t>
  </si>
  <si>
    <t>Portfel</t>
  </si>
  <si>
    <t>Gotówka</t>
  </si>
  <si>
    <t>Bony</t>
  </si>
  <si>
    <t>Saldo Początkowe</t>
  </si>
  <si>
    <t>Operacje</t>
  </si>
  <si>
    <t>Saldo końcowe</t>
  </si>
  <si>
    <t>Suma</t>
  </si>
  <si>
    <t>Zysk/Strata</t>
  </si>
  <si>
    <t>Subskrypcje</t>
  </si>
  <si>
    <t>Przelew</t>
  </si>
  <si>
    <t>Transakcja</t>
  </si>
  <si>
    <t>⠀⠀⠀⠀⠀⠀⠀⠀⠀⠀⠀⠀⠀⠀⠀⠀⠀⠀⠀⠀⠀⠀⠀⠀⠀⠀⠀⠀⠀⠀⠀⠀⠀⠀⠀⠀⠀⠀⠀⠀⠀⠀⠀⠀⠀⠀⠀⠀⠀⠀⠀⠀⠀⠀⠀⠀⠀⠀⠀⠀⠀⠀⠀⠀⠀⠀⠀⠀⠀⠀⠀⠀⠀⠀⠀⠀⠀⠀⠀⠀⠀⠀⠀⠀⠀⠀⠀⠀⠀⠀
⠀⠀⠀⠀⠀⠀⠀⠀⠀⠀⠀⠀⠀⠀⠀⠀⠀⠀⠀⠀⠀⠀⠀⠀⠀⠀⠀⠀⠀⠀⠀⠀⠀⠀⠀⠀⠀⠀⠀⠀⠀⠀⠀⠀⠀⠀⠀⠀⠀⠀⠀⠀⠀⠀⠀⠀⠀⠀⠀⠀⠀⠀⠀⠀⠀⠀⠀⠀⠀⠀⠀⠀⠀⠀⠀⠀⠀⠀⠀⠀⠀⠀⠀⠀⠀⠀⠀⠀⠀⠀
⠀⠀⠀⠀⠀⠀⠀⠀⠀⠀⠀⠀⠀⠀⠀⠀⠀⠀⠀⠀⠀⠀⠀⠀⠀⠀⠀⠀⠀⠀⠀⠀⠀⠀⠀⠀⠀⠀⠀⠀⠀⠀⠀⠀⠀⠀⠀⠀⠀⠀⠀⠀⠀⠀⠀⠀⠀⠀⠀⠀⠀⠀⠀⠀⠀⠀⠀⠀⠀⡠⠂⠠⣦⢶⡀⠀⠀⠀⠀⠀⠀⠀⠀⠀⠀⠀⠀⠀⠀⠀
⠀⠀⠀⠀⠀⠀⠀⠀⠀⠀⠀⠀⠀⠀⠀⠀⠀⠀⢀⣤⠤⣤⡀⠀⠀⠀⠀⠀⠀⠀⠀⠀⠀⠀⠀⠀⠀⠀⠀⠀⠀⠀⠀⠀⠀⠀⠀⠀⠀⠀⠀⠀⠀⠀⠀⠀⠀⠀⠀⠀⠀⠀⠀⠀⠀⠀⣀⣀⡧⠯⠁⠘⣽⡿⣇⠀⠀⠀⠀⠀⠀⠀⠀⠀⠀⠀⠀⠀⠀⠀
⠀⠀⠀⠀⠀⠀⠀⠀⠀⠀⠀⠀⠀⠀⠀⠀⠀⢠⡟⠠⢶⣶⣿⣦⣄⠀⠀⠀⠀⠀⠀⠀⠀⠀⠀⠀⠀⠀⠀⠀⠀⠀⠀⠀⠀⠀⠀⠀⠀⠀⠀⠀⠀⠀⠀⠀⠀⠀⠀⠀⠀⠀⠀⠀⠀⣴⡛⣩⣵⡂⠀⢐⡒⡆⣿⠀⠀⠀⠀⠀⠀⠀⠀⠀⠀⠀⠀⠀⠀⠀
⠀⠀⠀⠀⠀⠀⠀⠀⠀⠀⠀⠀⠀⠀⠀⠀⠀⢸⡇⠀⠨⣵⣻⣧⣽⣳⣄⠀⠀⠀⠀⠀⠀⠀⠀⠀⠀⠀⠀⠀⠀⠀⠀⠀⠀⠀⠀⠀⠀⠀⠀⠀⠀⠀⠀⠀⠀⠀⠀⠀⠀⠀⠀⠠⢸⡿⣞⡿⣋⡄⠀⠀⢭⣑⢻⡆⠀⠀⠀⠀⠀⠀⠀⠀⠀⠀⠀⠀⠀⠀
⠀⠀⠀⠀⠀⠀⠀⠀⠀⠀⠀⠀⠀⠀⠀⠀⠀⠸⡇⠀⠀⠔⠫⣿⣿⣿⣿⣷⣄⠀⠀⠀⠀⠀⠀⠀⠀⠀⠀⠀⠀⠀⠀⠀⠀⠀⠀⠀⠀⠀⠀⠀⠀⠀⠀⠀⠀⠀⠀⠀⠀⢠⣸⣾⣧⣶⠟⡋⣀⡀⠀⢀⣀⣯⢎⡀⠀⠀⠀⠀⠀⠀⠀⠀⠀⠀⠀⠀⠀⠀
⠀⠀⠀⠀⠀⠀⠀⠀⠀⠀⠀⠀⠀⠀⠀⠀⠀⠀⣷⠀⠀⠠⢶⣶⣞⣻⢿⣾⣿⣷⣄⠀⠀⠀⠀⠀⠀⠀⠀⠀⠀⠀⠀⠀⠀⠀⠀⠀⠀⠀⠀⠀⠀⠀⠀⠀⠀⠀⠀⠀⣈⣾⣫⣿⣽⣶⣯⣟⡶⠄⠀⠀⠲⠄⢧⠀⠀⠀⠀⠀⠀⠀⠀⠀⠀⠀⠀⠀⠀⠀
⠀⠀⠀⠀⠀⠀⠀⠀⠀⠀⠀⠀⠀⠀⠀⠀⠀⠀⢹⡆⠀⣴⣓⠚⠛⣿⣿⣿⣾⣿⣿⣷⣤⡀⠀⠀⠀⠀⠀⠀⠀⠀⣀⣀⣀⣀⣀⣀⣀⣀⣀⡀⠀⠀⠀⠀⣠⣾⣿⣿⣿⣿⣿⣿⡿⠟⠉⠁⠀⠀⠀⠂⡧⠀⠀⠀⠀⠀⠀⠀⠀⠀⠀⠀⠀⠀⠀⠀⠀⠀
⠀⠀⠀⠀⠀⠀⠀⠀⠀⠀⠀⠀⠀⠀⠀⠀⠀⠀⠀⢿⡀⠉⠉⠉⣳⣿⣶⣿⣿⣿⣿⣿⣿⣿⣷⡶⣴⣴⣶⡛⠛⠉⠉⠉⠉⠉⠀⢠⠛⠛⢿⣟⣯⣷⣾⣿⣿⣿⣿⣿⣿⣟⣛⣭⡴⠄⠀⠀⠀⠀⠈⠆⡄⠀⠀⠀⠀⠀⠀⠀⠀⠀⠀⠀⠀⠀⠀⠀⠀⠀
⠀⠀⠀⠀⠀⠀⠀⠀⠀⠀⠀⠀⠀⠀⠀⠀⠀⠀⠀⢸⡧⠀⠀⠈⢉⣉⣿⣿⣿⣿⣿⠿⣛⣿⡿⠀⠀⠀⠻⢿⣦⢀⣀⡀⠀⠀⣤⣇⣀⣼⡞⠈⠉⠉⠉⣀⠉⠛⠻⢿⣿⣿⣟⠓⣦⠔⠀⠀⠀⠀⠀⠨⡕⠅⠀⠀⠀⠀⠀⠀⠀⠀⠀⠀⠀⠀⠀⠀⠀⠀
⠀⠀⠀⠀⠀⠀⠀⠀⠀⠀⠀⠀⠀⠀⠀⠀⠀⠀⠀⢸⣇⠀⣤⣬⣿⣿⠟⠛⠉⠁⠀⠘⣿⣿⠇⠀⠀⠑⠀⠘⠿⠟⠛⠙⠦⡞⠉⠛⠾⠃⠀⠀⠀⠀⠀⢿⣿⣧⠀⠀⠀⠈⠙⢷⣶⣼⡒⠓⠂⠀⢀⠀⠍⠂⠀⠀⠀⠀⠀⠀⠀⠀⠀⠀⠀⠀⠀⠀⠀⠀
⠀⠀⠀⠀⠀⠀⠀⠀⠀⠀⠀⠀⠀⠀⠀⠀⠀⠀⠀⢸⣿⣾⠿⠛⠉⠀⠀⠀⠀⠀⠀⠀⠘⠿⠀⠀⣀⠊⠀⠀⠀⠀⠀⠀⠀⠀⠀⠀⠀⠀⠀⠀⠀⠀⠠⠾⡿⠉⠀⠀⠀⠀⠀⠀⠙⠿⣿⣶⡄⠀⢸⡇⡆⠀⠐⠃⠀⠀⠀⠀⠀⠀⠀⠀⠀⠀⠀⠀⠀⠀
⠀⠀⠀⠀⠀⠀⠀⠀⠀⠀⠀⠀⠀⠀⠀⠀⠀⠀⠀⣼⠏⠉⢀⣰⣷⡿⠷⣾⣶⣶⣤⣀⠀⠀⠀⠀⠹⢦⠀⠀⠀⠀⠀⠀⠀⠀⠀⠀⠀⠀⠀⡰⠈⠀⠀⠀⠁⣀⣤⣶⣾⣽⣿⣷⣤⣄⠀⠉⠛⣧⣿⠽⡀⡅⠀⠀⠀⠀⠀⠀⠀⠀⠀⠀⠀⠀⠀⠀⠀⠀
⠀⠀⠀⠀⠀⠀⠀⠀⠀⠀⠀⠀⠀⠀⠀⠀⠀⢠⡾⠥⠤⠴⣾⡿⠃⢠⣾⣿⡟⠉⠉⣻⡗⢄⠀⠀⠀⠈⠣⠀⠀⠀⠀⠀⠀⠀⠀⠀⠀⠀⣾⠁⠀⠀⡴⡏⠎⢿⣿⠋⠐⢿⣿⣏⠈⢹⣦⠀⠀⠀⢹⡙⠟⠀⠀⠀⠀⠀⠀⠀⠀⠀⠀⠀⠀⠀⠀⠀⠀⠀
⠀⠀⠀⠀⠀⠀⠀⠀⠀⠀⠀⠀⠀⠀⠀⠀⣰⢏⠀⠀⠀⠀⢿⣇⠀⢸⣿⣿⣧⣀⣰⣿⡇⠀⣧⠀⠀⠀⠀⠀⠀⠀⠀⠀⠀⠀⠀⠀⠀⠀⡇⠀⠀⠀⡈⡇⠀⡀⢸⣦⣤⡀⣼⣿⢿⠀⠀⢀⠈⠁⠀⠣⣄⠘⣳⡀⠀⠀⠀⠀⠀⠀⠀⠀⠀⠀⠀⠀⠀⠀
⠀⠀⠀⠀⠀⠀⠀⠀⠀⠀⠀⠀⠀⠀⢀⡼⠃⠀⠁⠄⡀⠀⠀⠛⠦⠌⠿⠿⢿⠿⠿⠋⣠⣾⣿⡀⢀⡤⠖⠀⠀⠀⠀⠀⠀⠀⠀⠀⠀⠀⢀⡀⠀⢸⣿⣄⡀⠈⠻⢿⢿⠿⡿⠁⣀⡸⠃⠀⠀⠀⣠⠀⠻⢮⢥⠀⠀⠀⠀⠀⠀⠀⠀⠀⠀⠀⠀⠀⠀⠀
⠀⠀⠀⠀⠀⠀⠀⠀⠀⠀⠀⠀⠀⠀⣼⠁⠀⠀⠀⠀⠀⠀⠃⠰⠠⢄⡀⠀⠀⠀⠀⠀⠀⠀⣨⡿⠋⠀⠀⠀⠀⠀⠀⠀⠀⠀⠀⠀⠀⠀⠈⠿⣷⣜⠋⠉⠉⠉⠉⠓⠀⠐⠀⠈⠈⠄⠀⡄⠐⠈⠁⠁⠀⡁⠂⠁⠘⣇⠀⠀⠀⠀⠀⠀⠀⠀⠀⠀⠀⠀
⠀⠀⠀⠀⠀⠀⠀⠀⠀⠀⠀⠀⠀⣠⠏⠀⠀⠀⠀⠀⠀⠀⠀⠀⠀⠀⠈⠐⠒⠠⢀⠠⢺⡿⠋⠀⠀⠀⠀⠀⠀⠀⠀⠀⠀⠀⠀⠀⠀⠀⠀⠀⠀⠙⢷⣦⡀⠀⠄⠀⠤⠀⠀⠐⠀⠉⠀⠀⠀⠀⠀⠀⠀⠄⠀⠀⢀⢀⡑⠝⡀⠀⠀⠀⠀⠀⠀⠀⠀⠀
⠀⠀⠀⠀⠀⠀⠀⠀⠀⠀⠀⠀⢠⡏⠀⣠⣤⣠⣀⡀⠀⣀⠀⠀⠀⠀⠀⠀⠀⠀⠀⠀⠛⠀⠀⠀⠀⣀⣤⣤⣤⣦⣤⣤⣤⣤⣤⣤⣤⣤⣀⠀⠀⠀⠀⠙⠛⠠⠀⠀⠀⠀⠀⠀⠀⠀⠀⠀⠀⠀⠀⠀⠀⠀⢀⡠⠀⢰⣄⠄⠀⠀⠀⠀⠀⠀⠀⠀⠀⠀
⠀⠀⠀⠀⠀⠀⠀⠀⠀⠀⠀⠀⣿⠀⢈⣭⣿⠷⠚⠛⠙⢹⣇⠀⠀⠀⠀⠀⠀⠀⠀⠀⠀⠀⠀⠐⢿⣿⣿⣿⣿⣿⣽⣿⣻⣟⣿⣽⣻⣟⣿⡷⠀⠀⠀⠀⠀⠐⢡⢀⠀⠀⠀⠀⠀⢀⣶⣴⣦⣤⣤⣄⡀⠀⢀⣶⡧⡆⠀⠀⠀⠀⠀⠀⠀⠀⠀⠀⠀⠀
⠀⠀⠀⠀⠀⠀⠀⠀⠀⠀⠀⢸⣧⠀⠀⠈⠁⠀⠀⠀⠀⢸⣿⡆⠀⠀⠶⠆⢾⠃⠀⠷⠀⠀⠀⠀⠀⠈⠉⠉⢿⣟⣿⣿⣽⣿⡾⣿⡅⠀⠀⠀⠀⠀⠀⠀⢠⡄⢠⢯⠐⣀⠀⢀⣀⡈⠉⠉⠙⠙⠛⠛⠳⢚⡾⣽⡋⠀⠀⠀⠀⠀⠀⠀⠀⠀⠀⠀⠀⠀
⠀⠀⠀⠀⠀⠀⠀⠀⠀⠀⠀⠀⢿⠀⠀⠀⠀⠀⠀⠀⠀⠀⣿⡇⠀⠀⢀⡀⢠⣶⠀⣴⡄⠀⠀⠀⠀⠀⠀⠀⠙⢯⣿⣾⣿⣏⡿⠃⠀⠀⠀⠀⠀⠀⠀⠠⣄⠠⣠⣀⡀⡈⠉⠉⠀⠀⠀⠀⠀⠀⢀⣤⡖⣿⠁⠴⣾⡅⠀⠀⠀⠀⠀⠀⠀⠀⠀⠀⠀⠀
⠀⠀⠀⠀⠀⠀⠀⠀⠀⠀⠀⠀⠈⢧⠀⠀⠀⠀⠀⠀⠀⠀⠹⠃⠀⠀⠀⡀⠀⢀⠀⠉⠀⠀⠀⠀⠀⠀⠀⠀⠀⠈⠙⢿⡿⠋⠀⠀⠀⠀⠀⠀⠀⠀⠀⠀⠀⠀⠀⡀⠀⠉⠐⠀⠀⠀⠀⢠⡴⠞⠋⠁⠀⠀⠀⣠⢂⣥⠡⠀⠀⠀⠀⠀⠀⠀⠀⠀⠀⠀
⠀⠀⠀⠀⠀⠀⠀⠀⠀⠀⠀⠀⠀⠈⢷⣤⣤⠀⡀⠀⠀⠀⠀⠀⠀⠀⠀⠀⠀⠀⠀⠀⠀⠀⠀⠀⠀⠀⠀⠀⠀⠀⢀⣼⣧⣀⠀⠀⠀⠀⠀⠀⠀⠀⠀⠀⠙⠀⠈⠈⠉⠀⠀⠀⠀⠀⠀⠀⠀⠀⣀⠤⢈⡋⠉⠁⠀⠀⠚⠄⠌⠀⠀⠀⠀⠀⠀⠀⠀⠀
⠀⠀⠀⠀⠀⠀⠀⠀⠀⠀⠀⠀⠀⢰⠏⠡⢺⡿⠏⠀⠀⡠⠀⠀⠀⠀⠀⠀⠐⠒⠠⠤⠄⠠⠤⠤⠤⠴⠒⠚⠉⠉⠉⠉⠉⠉⠓⠲⠤⢤⣀⣀⡀⣀⠤⠒⡖⠊⠩⠉⠂⠀⠀⠀⠀⠀⠀⠀⠀⠀⠐⠀⠀⠁⢴⡃⠀⠀⠀⠀⠀⠀⠀⠀⠀⠀⠀⠀⠀⠀
⠀⠀⠀⠀⠀⠀⠀⠀⠀⠀⠀⠀⣰⠏⠀⠀⠼⣅⠀⠀⢩⢶⣿⣿⣿⣶⠶⠚⠀⠀⠀⠀⠀⠐⠤⣀⠀⠀⠀⠀⠀⠀⠀⠀⠀⠀⠀⠀⠀⠀⠀⠀⢀⡀⡄⠈⠀⠀⠀⠀⠀⠀⠀⠀⠀⠀⠀⠀⠀⠀⠀⠀⠀⠀⠀⡀⡑⠘⡮⡀⠀⠀⠀⠀⠀⠀⠀⠀⠀⠀
⠀⠀⠀⠀⠀⠀⠀⠀⠀⠀⠀⢰⠏⠀⠀⢠⠎⠁⠀⠀⠀⠈⠉⠁⠉⠉⠟⠋⠽⢴⣂⣥⣀⣀⣀⣈⡉⢒⡶⠦⣀⣀⣀⣠⣀⣀⣀⣤⣴⣶⠿⠛⠁⠁⠀⠀⠀⠀⠀⠀⠀⠀⠀⠀⠀⠀⠀⠀⠀⠀⠀⢬⣿⣡⣗⡅⠤⠀⠀⠀⠀⠀⠀⠀⠀⠀⠀⠀⠀⠀
⠀⠀⠀⠀⠀⠀⠀⠀⠀⠀⠀⡏⠀⠀⠀⠀⠀⢡⠔⠀⠀⠀⠀⠀⠀⠀⠀⠀⠀⠀⠀⠀⠈⠉⠁⠉⠉⠉⠀⠀⠀⠉⠉⠉⡍⠉⠉⢉⠉⠀⠀⠀⠀⠀⠀⠀⠀⠀⠀⠀⠀⠀⠀⠀⠀⠀⠀⠀⠀⠀⠀⣄⣹⣿⣿⣖⣹⠨⣏⡐⠀⠀⠀⠀⠀⠀⠀⠀⠀⠀
⠀⠀⠀⠀⠀⠀⠀⠀⠀⠀⠀⢷⠀⠀⠀⠀⢰⠃⠤⠊⢠⠴⠀⠀⠀⠀⠀⠀⠀⠀⠀⠀⠀⠀⠀⠀⠀⠀⠀⠀⠀⠀⠀⠀⢹⠀⠀⢸⠐⠀⠀⠀⠀⠀⠀⠀⠀⠀⠀⠀⠀⠀⠀⠀⠀⠀⠤⣄⣤⣄⣹⣿⠛⡓⠂⠀⠙⠀⢻⠬⠀⠀⠀⠀⠀⠀⠀⠀⠀⠀
⠀⠀⠀⠀⠀⠀⠀⠀⠀⠀⠀⣸⣿⣤⠄⠀⠀⠀⠀⣴⠈⠛⢻⢛⡏⠀⠀⠀⠀⠀⠀⠀⠀⠀⠀⠀⠀⠀⢀⣾⠞⠀⠀⠀⠈⣿⡄⠀⠀⠀⠀⠀⠀⠀⠀⠀⠀⠀⠀⣄⠀⠀⠀⠀⠀⠤⣄⣷⣬⣙⡛⠛⠉⠀⠀⠀⠀⣒⡰⡀⠀⠀⠀⠀⠀⠀⠀⠀⠀⠀
⠀⠀⠀⠀⠀⠀⠀⠀⠀⠀⢰⠃⢼⣿⡇⠀⠀⠀⠀⠈⠁⠀⠟⠉⢩⣭⢉⣠⢀⡤⠀⠀⠀⠀⠀⠀⠀⢀⣾⠇⠀⠀⠀⠀⠀⠀⢀⡀⠀⠀⠀⠀⠀⠀⠀⠀⠀⣔⢆⢸⡀⠀⢀⣰⣠⡿⠒⠂⠈⠀⠁⠀⠀⠀⢀⠈⢠⣳⠀⠀⠀⠀⠀⠀⠀⠀⠀⠀⠀⠀
⠀⠀⠀⠀⠀⠀⠀⠀⠀⠀⣼⡄⠀⠿⢟⡿⣶⡀⠀⠀⠀⠀⠀⠀⠸⠋⠡⣰⢿⣧⣞⣡⣾⣀⣄⣤⡾⠋⠈⠀⠀⠀⠀⠀⠀⠀⠀⢳⡈⢿⣆⣠⣀⢠⢀⡀⢠⣬⣏⣳⣬⠿⠛⠃⠈⠉⠀⠀⠀⠀⠀⠀⠀⠀⡰⣟⣿⠄⠀⠀⠀⠀⠀⠀⠀⠀⠀⠀⠀⠀
⠀⠀⠀⠀⠀⠀⠀⠀⠀⠀⣿⣿⡀⠀⠈⣼⠥⣿⣧⣶⣾⣀⡀⠀⠀⠀⠀⠁⠘⠁⠐⠛⠁⠘⠉⠀⠀⠀⠀⠀⠀⠀⠀⠀⠀⠀⠀⠀⠃⠀⠉⠉⠛⠿⠿⠟⢻⣿⠉⠛⠙⠒⠒⠀⠀⠀⠀⠀⠀⠀⠀⢈⣷⣾⣾⣧⣎⡯⠂⠀⠀⠀⠀⠀⠀⠀⠀⠀⠀⠀
⠀⠀⠀⠀⠀⠀⠀⠀⠀⠀⣿⣿⡇⢰⣀⠀⢠⠿⣿⣿⣿⣼⣧⣾⢀⠀⠀⠀⣀⠀⠀⠀⠀⠀⠀⠀⠀⠀⠀⠀⠀⢀⡀⠀⠀⠐⣆⠀⠀⠀⠀⠀⠀⠀⠀⠀⠈⠀⠀⠀⠀⠀⠀⠀⠀⠀⠀⠀⠀⣝⠒⢶⣿⡿⢿⡏⠁⠼⠁⡋⡀⠀⠀⠀⠀⠀⠀⠀⠀⠀
⠀⠀⠀⠀⠀⠀⠀⠀⠀⠀⢹⣿⣷⡼⣿⣄⠀⠀⠀⢨⠿⢻⣿⣿⣧⣾⣷⣏⣡⢀⣠⣷⣖⣴⣶⣶⣾⠤⢀⣤⣴⡾⠁⠀⠀⠘⣿⡷⣦⣄⠀⠀⠀⠀⠀⠀⠀⠀⠀⠀⠀⠀⠀⢀⣀⢰⣶⣀⠰⣿⣷⣾⠏⠉⠀⠸⢦⠀⠀⠀⠀⠀⠀⠀⠀⠀⠀⠀⠀⠀
⠀⠀⠀⠀⠀⠀⠀⠀⠀⠀⠈⣿⣿⣿⢻⠿⠇⡀⠀⠀⠀⠘⠈⠁⠀⡽⠛⠟⠋⣵⣾⡿⠿⠛⡿⠋⠁⡰⢫⢯⢿⠁⠀⠀⠀⠀⠘⠳⣽⣿⣦⢀⣞⣤⡀⠹⣤⣦⠀⡀⢴⢠⠀⢳⣿⣭⣛⠻⠏⠉⠉⠀⠀⠀⡨⢸⠄⠀⠀⠀⠀⠀⠀⠀⠀⠀⠀⠀⠀⠀
⠀⠀⠀⠀⠀⠀⠀⠀⠀⠀⠀⢸⣿⣟⣾⣿⣷⣿⣧⡄⠀⠀⠀⠀⠀⠀⠀⠀⠒⠚⠉⠀⠀⠈⠀⠀⠊⠀⠀⠉⠀⠀⠀⠀⠀⠀⠀⠀⠈⠉⠻⣿⢿⡿⣿⡦⣼⣿⡳⣽⣽⣷⠷⢬⠉⠉⠉⠁⠀⠀⠀⠀⠀⠀⢀⡨⣠⠴⠀⠀⠀⠀⠀⠀⠀⠀⠀⠀⠀⠀
⠀⠀⠀⠀⠀⠀⠀⠀⠀⠀⠀⢸⣿⢩⣯⣼⣿⣿⡿⠻⡜⣦⣠⠀⠀⠀⠀⠀⠀⠀⠀⠀⠀⠀⠀⠀⠀⠀⠀⠀⠀⠀⠀⠀⠀⠀⠀⠀⠀⠀⠀⠈⠃⠀⠀⠀⠈⠙⠋⠉⠉⠋⠁⠀⠀⠀⠀⠀⠀⠀⠀⠀⠠⢀⠐⣤⣼⣿⢩⡏⠀⠀⠀⠀⠀⠀⠀⠀⠀⠀
⠀⠀⠀⠀⠀⠀⠀⠀⠀⠀⠀⠘⡇⣾⣽⣿⣿⢟⣵⢿⡇⣻⡿⣇⠀⠀⢀⠀⠀⠀⠀⠀⠀⠀⠀⠀⠀⠀⠀⠀⠀⠀⠀⠀⠀⠀⠀⠀⠀⠀⠲⣤⣀⠀⠀⠀⠀⠀⠀⠀⢠⣠⢤⡀⠀⠤⠀⠀⠐⠀⠐⡐⣤⣿⣂⣿⠿⣷⠿⡇⠀⠀⠀⠀⠀⠀⠀⠀⠀⠀
⠀⠀⠀⠀⠀⠀⠀⠀⠀⠀⠀⠀⢿⣻⢿⣿⢯⣾⣿⣿⣷⣿⢗⡙⢃⣷⣾⠀⡆⢀⡀⠀⠀⠀⠀⠀⠀⠀⠀⠀⠀⠀⠀⠀⠀⠀⠀⠀⠀⠀⠀⠇⠀⠑⠆⠀⠀⠀⠀⠲⠌⠉⠁⠁⠀⠀⢠⡀⢤⣐⣈⣿⣿⣿⣿⣿⣿⣿⠦⠀⠀⠀⠀⠀⠀⠀⠀⠀⠀⠀
⠀⠀⠀⠀⠀⠀⠀⠀⠀⠀⠀⠀⢸⣳⢯⣿⣿⢏⣾⣿⣿⣿⣾⣼⡿⠁⡿⠏⢻⡸⣇⣶⣤⠀⠀⠀⠀⠀⠀⠀⠀⠀⠀⠀⠀⠀⠀⠀⠀⠀⠀⠀⠀⠀⠀⠀⠀⢀⢤⣀⣀⣀⠀⣐⣶⣾⣹⣯⣷⣚⠿⣷⣿⣿⣿⣿⡟⣿⠇⠀⠀⠀⠀⠀⠀⠀⠀⠀⠀⠀
⠀⠀⠀⠀⠀⠀⠀⠀⠀⠀⠀⠀⢸⠇⣾⣿⣿⣿⣿⣿⣿⣿⣿⡟⣁⣼⠟⣐⣬⡷⣠⣿⡇⠀⠀⠀⠀⠀⠀⠀⠀⠀⠀⠀⠀⠀⠀⠀⠀⠀⠀⠐⢰⣤⣴⣶⣶⠾⣷⣦⣽⡿⢩⣌⠻⣿⣷⣯⣟⡿⣿⣿⣿⣿⣿⣿⠇⣿⠀⠀⠀⠀⠀⠀⠀⠀⠀⠀⠀⠀
⠀⠀⠀⠀⠀⠀⠀⠀⠀⠀⠀⢀⡟⢀⣼⣿⣿⣿⣿⣿⣿⡿⣋⣴⠟⣡⣶⣿⣿⣿⣿⣿⡇⠀⠀⠀⠀⠀⠀⠀⠀⠀⠀⠀⠀⠀⠀⠀⠀⠀⠀⠀⠀⠈⠉⠿⣿⣷⣹⣿⡷⣿⣦⣻⣿⣿⣿⣿⣿⣿⣾⣿⣿⣿⣿⡿⡏⣯⠀⠀⠀⠀⠀⠀⠀⠀⠀⠀⠀⠀
⠀⠀⠀⠀⠀⠀⠀⠀⠀⠀⠀⢘⡇⠸⣿⢋⣿⠟⠋⢁⡿⢠⠛⠠⠌⠉⣿⡿⣿⣿⡿⣿⠃⠀⠀⠀⠀⠀⠀⠀⠀⠀⠀⠀⠀⠀⠀⠀⠀⠀⠀⠀⠀⠀⠀⠈⢿⣿⣷⢿⣿⣿⣿⣿⡟⠿⣿⣿⣿⣿⣿⣿⣿⣿⣿⢷⣧⣼⡀⠀⠀⠀⠀⠀⠀⠀⠀⠀⠀⠀</t>
  </si>
  <si>
    <t>⠀⠀⠀⠀⠀⠀⠀⠀⠀⠀⠀⠀⠀⠀⠀⠀⠀⠀⠀⠀⠀⠀⠀⠀⠀⠀⠀⠀⠀⠀⠀⠀⠀⠀⠀⢀⠀⠀⠀⠀⠀⠀⠀⠀⠀⠀⠀⠀⠀⠀⠀⠀⠀⠀⠀⠀⠀⠀⠀⠀⠀⠀⠀⠀⠀
⠀⠀⠀⠀⠀⠀⠀⠀⠀⠀⠀⠀⠀⠀⠀⠀⠀⠀⠀⠀⠀⠀⠀⠀⠀⠀⠀⠀⠀⠀⠀⠀⠀⠀⠀⣾⣿⠆⠀⠀⠀⠀⠀⠀⠀⠀⠀⠀⠀⠀⠀⠀⠀⠀⠀⠀⠀⠀⠀⠀⠀⠀⠀⠀⠀
⠀⠀⠀⠀⠀⠀⠀⠀⠀⠀⠀⠀⠀⠀⠀⠀⠀⠀⠀⠀⠀⠀⠀⠀⠀⠀⠀⠀⠀⠀⠀⠀⠀⠀⢸⣿⠏⠀⠀⠀⠀⠀⠀⠀⠀⠀⠀⠀⠀⠀⠀⠀⠀⠀⠀⠀⠀⠀⠀⠀⠀⠀⠀⠀⠀
⠀⠀⠀⠀⠀⠀⠀⠀⠀⠀⠀⠀⠀⢸⠿⣦⡀⠀⠀⠀⠀⠀⠀⠀⠀⠀⠀⠀⠀⠀⠀⠀⠀⢀⣿⡟⠀⠀⠀⠀⠀⠀⠀⠀⠀⠀⠀⠀⠀⠀⠀⠀⠀⠀⠀⠀⠀⠀⠀⠀⠀⠀⠀⠀⠀
⠀⠀⠀⠀⠀⠀⠀⠀⠀⠀⠀⠀⠀⠈⢟⠯⣿⣷⣄⡀⠀⠀⠀⠀⠀⠀⠀⠀⠀⠀⠀⠀⠀⣸⣿⠁⠀⠀⠀⠀⠀⠀⠀⠀⠀⠀⠀⠀⠀⠀⠀⠀⠀⠀⠀⠀⠀⠀⠀⠀⠀⠀⠀⠀⠀
⠀⠀⠀⠀⠀⠀⠀⠀⠀⠀⠀⠀⠀⠀⠈⠲⡪⢜⡻⢿⣷⣤⣀⠀⠀⠀⠀⠀⠀⠀⠀⡀⢠⣿⡏⠀⠀⠀⠀⠀⠀⠀⠀⠀⠀⠀⠀⠀⠀⠀⠀⠀⠀⠀⠀⠀⠀⠀⠀⠀⠀⠀⠀⠀⠀
⠀⠀⠀⠀⠀⠀⠀⠀⠀⠀⠀⠀⠀⠀⠀⠀⠈⠒⠭⣑⡚⠽⢟⣿⣶⣤⣀⡀⠀⢰⠾⣟⡿⣿⠇⢀⣠⣤⣤⣤⣤⣤⣤⠀⠀⠀⠀⠀⠀⠀⠀⠀⠀⠀⠀⠀⠀⠀⠀⠀⠀⠀⠀⠀⠀
⠀⠀⠀⠀⠀⠀⠀⠀⠀⠀⠀⠀⠀⠀⠀⠀⠀⠀⠀⠀⠉⠘⠒⠀⠀⣰⣿⣿⣵⣦⣻⣼⠱⣿⣦⣿⣿⣟⣩⣥⠶⠶⠿⠖⠲⣦⠤⣤⣄⣀⡀⡀⠀⠀⠀⠀⠀⠀⠀⠀⠀⠀⠀⠀⠀
⠀⠀⠀⠀⠀⠀⠀⠀⠀⠀⠀⠀⠠⣄⣀⣤⣤⣴⣶⣶⣲⣾⢶⣾⣿⢟⡻⡽⣯⣗⣯⣟⡏⣿⣼⣿⣽⢻⡹⢟⣿⣿⣛⣶⠶⣤⣀⡈⠀⠉⠛⠉⠙⠓⠒⠢⢤⠀⠀⠀⠀⠀⠀⠀⠀
⠀⠀⠀⠀⠀⠀⠀⠀⠀⠀⠀⠀⠀⠀⢛⣼⣿⢿⣻⣿⢿⢻⡼⣿⢿⣿⣤⣧⢿⠿⢻⣼⣿⣿⣟⣿⣿⣿⣻⡼⣼⣻⣿⣿⢿⣧⢿⡿⣿⣤⣄⠀⠀⠀⠀⠀⠀⠀⠀⠀⠀⠀⠀⠀⠀
⠀⠀⠀⠀⠀⠀⠀⠀⠀⠀⢀⣠⣶⣾⡿⣟⣟⡛⣍⢞⣾⣫⣟⣧⢿⡝⣯⡽⣻⣞⢯⣟⣯⣟⣬⢿⣿⣷⡽⣻⣯⢿⣝⣯⢿⡾⣯⣿⣯⣟⡿⣿⣶⣤⣀⠀⠀⠀⠀⠀⠀⠀⠀⠀⠀
⠀⠀⠀⠀⠀⠀⠀⠀⣠⣶⣿⡟⣯⢧⣟⡾⣼⠶⣹⢾⡳⣟⣾⡽⣯⣻⢷⡽⣱⣾⡿⣜⢾⣽⣾⢧⣞⡿⣿⣿⣿⢮⣛⡾⣭⢻⢵⡫⣝⢯⡿⡽⢯⣷⣿⡷⣄⡀⠀⠀⠀⠀⠀⠀⠀
⠀⠀⠀⠀⠀⠀⣠⣾⣿⣻⢶⣻⣝⣿⣾⢿⣝⣣⢽⣞⣿⢿⣯⣟⣷⣻⣯⣿⡹⣽⣻⣽⣟⡿⣽⣻⢾⡿⣽⣯⣟⣯⣽⣻⣽⢳⣞⡷⣽⣎⠿⣿⣿⡼⣯⢿⣟⣿⣦⡀⠀⠀⠀⠀⠀
⠀⠀⠀⠀⢀⣴⣿⣟⣷⣟⣯⣿⢾⣟⣯⣟⣾⣽⣻⢾⣟⡿⣾⡽⣾⢿⣻⡾⣽⢿⣽⣻⣾⣟⡷⣯⣟⣿⢿⣳⣟⣾⣳⣟⡾⣿⣮⣟⣽⣻⣟⣾⡽⣿⣻⢿⣽⣾⣟⣿⣄⠀⠀⠀⠀
⠀⠀⠀⢠⣿⣿⣳⣿⣻⢾⣽⣞⡿⣾⣽⣾⣟⡾⣵⣫⣾⢿⣻⢛⡯⣛⣽⠹⣏⡟⡾⣟⡷⣯⢿⣯⣟⣾⢿⣝⣾⣳⡷⣯⢿⣳⡿⣞⣷⣻⢾⣽⡿⣿⣽⣿⣞⣿⣿⣿⢿⣦⡀⠀⠀
⠀⠀⠀⣾⣿⢾⣽⣾⣯⡿⣾⣽⣻⣽⡿⣽⣾⠿⣟⠽⣌⠷⣌⢳⡘⢥⢈⠳⡜⣜⡳⣭⣛⠾⣽⣞⢯⣟⡿⣾⢯⣷⢿⣻⣿⣯⣟⣿⣳⢿⣯⢿⣿⢿⣿⣿⣾⣯⣿⣿⣻⢿⣷⡀⠀
⠀⠀⣼⣿⡽⣯⣿⡷⣯⢿⣳⣯⣷⢾⣽⡟⢧⣛⣬⠻⣜⣻⣌⢳⡜⢦⠉⡞⣱⢎⣷⡳⣭⣛⠶⣭⣛⢾⣻⣽⢿⡽⣯⡿⣽⡾⣽⡾⣟⡿⣞⣿⢾⣻⣽⣿⣳⣿⣿⣿⣯⣟⣿⣧⠀
⠀⢰⣿⣯⣿⡽⣯⣟⣿⣿⣯⢷⣯⡿⣏⡞⣧⠝⣦⢛⡽⢲⡝⡮⡝⢆⡓⣌⢳⡻⣞⢵⡳⢎⡽⢲⡹⣎⢷⣫⢿⣻⢷⣿⢯⣟⣷⢿⣻⣽⢿⣾⣟⡿⣞⣷⣟⣷⣻⢿⣾⣽⣾⢿⡇
⠀⣸⣿⣷⣟⡿⣽⣻⣿⡿⣽⣯⡿⡱⡝⡼⡡⢏⠲⣍⠚⣥⢛⠴⣉⠂⠰⢈⠧⡙⢌⠮⣕⢫⠜⣣⢛⡜⣦⣋⠿⣽⣯⣿⣻⣽⡾⣟⣿⣾⣿⣿⣿⣽⣟⣾⣽⣾⣟⣿⣞⣿⣾⣿⡇
⠀⢸⣿⣟⣾⢿⣻⣽⢷⣟⡿⣾⢃⠷⣉⠖⢡⠊⡕⢎⡔⠠⡉⠒⠀⠈⠀⠀⠂⠑⠈⠼⣩⠖⡉⢆⡱⢎⡳⣭⣛⠾⣿⣳⣯⣷⢿⣯⢿⣾⢷⣿⣿⣟⣾⣟⣾⣽⣿⣿⣾⣿⣿⣿⡇
⠀⠸⣿⣯⣿⣿⡿⣽⣻⡾⣟⣿⢈⠖⡡⢌⡀⠀⠈⠐⡀⠡⠀⠀⠀⠀⠀⠀⠀⠀⠁⠊⠁⠀⠈⡀⠂⢇⠳⢦⡙⣯⢿⣟⣷⢯⣿⣯⣿⣿⣯⣿⣞⣯⣿⣿⣿⣿⣿⣿⣿⣿⣾⣿⠇
⠀⠀⣻⣿⢾⣿⣻⣽⢷⣻⣽⣷⣎⢾⣿⣿⣿⣷⡶⢢⠀⡐⠁⠀⠀⠀⠀⠀⠀⠀⠀⠀⣠⣶⣿⣷⣿⣶⣯⣖⠹⡜⣻⣿⣯⡿⣿⣻⣿⣷⢿⣳⣿⣿⢿⣿⣿⣿⣿⣿⣿⣿⣿⣿⠀
⠀⠀⠘⣿⣿⣷⣻⡽⣿⣻⡷⣯⣿⠺⣿⣿⣿⣿⣷⣿⣧⠠⠀⠀⠀⠀⠀⠀⠀⢀⠰⣞⣿⣿⣿⣿⣿⣿⣿⠃⠐⢨⣹⣿⡷⣿⣟⡿⣷⣯⣿⣿⣿⣿⣿⣿⣿⣿⣿⣿⣿⣿⣿⠃⠀
⠀⠀⠀⠹⣿⣿⢯⣿⢿⣿⣟⣯⣿⣧⡙⡛⠛⠋⠋⢹⠻⣇⠡⣀⠀⠀⠀⠀⡀⢌⠳⢍⠛⠿⠿⢿⡛⠏⣁⠢⣌⠧⣾⣿⣿⣿⣿⢿⣻⣽⣿⣾⣿⣿⣿⣿⣿⣿⣿⣿⣿⡿⠃⠀⠀
⠀⠀⠀⠀⠘⣿⣿⣿⣿⣿⣻⣽⡷⣿⣞⡱⢂⠄⠀⡀⢋⠤⠑⢀⠣⡀⠡⢃⡜⡈⠆⠀⠀⠀⠀⠀⠀⣰⢢⡳⣬⣻⣿⣿⣿⣿⣿⣿⣿⣿⣿⣿⣿⣿⣿⣿⣿⣿⣿⣿⡿⠁⠀⠀⠀
⠀⠀⠀⠀⠀⢘⣿⣿⣿⣿⣿⣟⣿⣿⣿⣬⣃⢆⡂⢄⠈⡴⢡⢎⣳⠱⣌⡱⠂⠀⠀⠀⠀⠀⠀⣀⡼⣷⣿⣿⣿⣿⣿⣿⣿⣿⣿⣿⣿⣿⣿⡿⢃⢌⡻⣿⣿⣿⣿⡟⠁⠀⠀⠀⠀
⠀⠀⠀⢀⣴⠟⣉⣿⣿⣿⣿⣿⣿⣿⣿⣿⣮⣚⠼⣊⠤⣙⢷⣻⣼⣻⡼⢯⡁⠀⠀⠀⢀⢀⣲⣽⣿⣿⣿⣿⣿⣿⣿⣿⣿⣿⣿⣿⣿⣿⣿⢘⠋⠄⠁⠄⣉⠻⢿⡀⠀⠀⠀⠀⠀
⠀⢀⣴⣿⡁⣘⣿⠛⠩⣿⣿⣿⣿⣿⣿⣿⣿⣿⣿⣷⣟⣾⢯⣿⣿⣿⣟⡷⣝⣶⣣⣜⣰⣾⣿⣿⣿⣿⣿⣿⣿⣿⣿⣿⣿⣿⣿⣿⣿⣿⡟⡈⢀⠂⠌⡐⢀⠂⠜⢯⣦⠀⠀⠀⠀
⢀⣿⣿⣷⣢⡟⠀⠀⠀⠈⠻⣿⣿⣿⣿⣿⣿⣿⣿⣿⣿⣿⣿⣿⣽⣿⣿⣿⣟⣿⣿⣿⣿⣿⣿⣿⣿⣿⣿⣿⣿⣿⣿⣿⣿⣿⣿⣿⣿⣿⣷⣰⣿⣆⡐⠠⢂⡜⢨⢖⡰⡇⠀⠀⠀
⣸⣿⠟⠋⠉⠀⠀⠀⠀⠀⠀⠙⢿⣿⣿⣿⣿⣿⣿⣿⣿⣿⣿⣿⣿⣿⣿⣿⣿⣿⣿⣿⣿⣿⣿⣿⣿⣿⣿⣿⣿⣿⣿⣿⣿⣿⣿⣿⣿⣿⣧⣿⣿⡿⠛⢦⡃⡜⢢⣿⢶⠇⠀⠀⠀
⠙⠁⠀⠀⠀⠀⠀⠀⠀⠀⠀⠀⠀⠻⣿⣿⣿⣿⣿⣿⣿⣿⣿⣿⣿⣿⣿⣿⣿⣿⣿⣿⣿⣿⣿⣿⣿⣿⣿⣿⣿⣿⣿⣿⣿⣿⣿⣿⣿⣿⣿⣿⠋⠀⠀⠈⠳⢽⣯⠿⠋⠀⠀⠀⠀
⠀⠀⠀⠀⠀⠀⠀⠀⠀⠀⠀⠀⠀⠀⠈⣿⣿⣿⣿⣿⣿⣿⣿⣿⣿⣿⣿⣿⣿⣿⣿⣿⣿⣿⣿⣿⣿⣿⣿⣿⣿⣿⣿⢻⣿⣿⣿⣿⣿⣿⡟⠁⠀⠀⠀⠀⠀⠀⠀⠀⠀⠀⠀⠀⠀
⠀⠀⠀⠀⠀⠀⠀⠀⠀⠀⠀⠀⠀⠀⠀⠈⢻⣿⣿⣿⣿⣿⣿⣿⣿⣿⣿⣿⣿⣿⣿⣿⣿⣿⣿⣿⣿⣿⡿⠛⠉⠀⡄⢻⣿⣿⣿⣿⣿⠟⠁⠀⠀⠀⠀⠀⠀⠀⠀⠀⠀⠀⠀⠀⠀
⠀⠀⠀⠀⠀⠀⠀⠀⠀⠀⠀⠀⠀⠀⠀⠀⣾⡋⢿⣿⣿⣿⣿⣿⣿⣿⣿⣿⣿⣿⣿⣿⣿⣿⣿⣿⣿⡋⢀⠀⡀⢐⠨⣹⣿⣿⣿⡟⠁⠀⠀⠀⠀⠀⠀⠀⠀⠀⠀⠀⠀⠀⠀⠀⠀
⠀⠀⠀⠀⠀⠀⠀⠀⠀⠀⠀⠀⠀⠀⠀⢸⣷⣹⢦⡽⣿⣿⣿⣿⣿⣿⣿⣿⣿⣿⣿⣿⣿⣿⣿⣿⣿⡳⢆⠡⠐⢂⡐⡘⣿⡿⠋⠀⠀⠀⠀⠀⠀⠀⠀⠀⠀⠀⠀⠀⠀⠀⠀⠀⠀
⠀⠀⠀⠀⠀⠀⠀⠀⠀⠀⠀⠀⠀⠀⠀⢸⡿⢭⡳⣽⣹⡿⣿⣿⣿⣿⣿⣿⣿⣿⣿⣿⣿⣿⣿⣿⣿⣷⣊⠤⠉⡄⡐⢤⡙⣆⠀⠀⠀⠀⠀⠀⠀⠀⠀⠀⠀⠀⠀⠀⠀⠀⠀⠀⠀
⠀⠀⠀⠀⠀⠀⠀⠀⠀⠀⠀⠀⠀⠀⠀⣸⣟⢧⡳⢧⡳⢿⣽⣍⠙⠿⢿⣿⣿⣿⣿⣿⣿⡿⠿⠟⠛⠉⣧⢌⠡⡐⠈⢄⠢⡙⣆⠀⠀⠀⠀⠀⠀⠀⠀⠀⠀⠀⠀⠀⠀⠀⠀⠀⠀
⠀⠀⠀⠀⠀⠀⠀⠀⠀⠀⠀⠀⠀⠀⢰⣿⣽⣎⣷⣫⣝⣻⠿⠃⠀⠀⠀⠀⠈⠉⠁⠀⠀⠀⠀⠀⠀⠀⣽⢎⢆⠱⡈⢄⢣⢳⣽⠀⠀⠀⠀⠀⠀⠀⠀⠀⠀⠀⠀⠀⠀⠀⠀⠀⠀
⠀⠀⠀⠀⠀⠀⠀⠀⠀⠀⠀⠀⠀⠀⠀⠈⠀⠀⠀⠁⠈⠀⠀⠀⠀⠀⠀⠀⠀⠀⠀⠀⠀⠀⠀⠀⠀⠈⠛⠛⠊⠓⠙⠈⠉⠋⠀⠀⠀⠀⠀⠀⠀⠀⠀⠀⠀⠀⠀⠀⠀⠀⠀⠀⠀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</si>
  <si>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</si>
  <si>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</si>
  <si>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</si>
  <si>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</si>
  <si>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</si>
  <si>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</si>
  <si>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</si>
  <si>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</si>
  <si>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</si>
  <si>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</si>
  <si>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</si>
  <si>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</si>
  <si>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Sumy</t>
  </si>
  <si>
    <t>skopiować operacje obroty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</si>
</sst>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/>
  </cellXfs>
  <cellStyles count="1">
    <cellStyle name="Normalny" xfId="0" builtinId="0"/>
  </cellStyles>
  <dxfs count="207">
    <dxf>
      <numFmt numFmtId="0" formatCode="General"/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numFmt numFmtId="164" formatCode="#,##0.00\ &quot;zł&quot;"/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9" formatCode="dd/mm/yyyy"/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59352-626B-43DD-A7F5-3983EFA195EC}" name="Kategorie" displayName="Kategorie" ref="A1:B18" totalsRowShown="0">
  <autoFilter ref="A1:B18" xr:uid="{EAC59352-626B-43DD-A7F5-3983EFA195EC}"/>
  <tableColumns count="2">
    <tableColumn id="1" xr3:uid="{2625B297-8142-4395-802B-8710F681B5D3}" name="Kategoria"/>
    <tableColumn id="2" xr3:uid="{BB254C27-8FCE-43AA-9BE6-D4E477B32E2F}" name="Ty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DC793E-52C9-43E7-BD05-A12E8F024FF5}" name="produkty" displayName="produkty" ref="D1:E8" totalsRowShown="0">
  <autoFilter ref="D1:E8" xr:uid="{AADC793E-52C9-43E7-BD05-A12E8F024FF5}"/>
  <tableColumns count="2">
    <tableColumn id="1" xr3:uid="{A9A1CC2B-769C-44F7-8144-CE56262A424A}" name="Bank"/>
    <tableColumn id="2" xr3:uid="{FC9F8779-5590-4775-895B-5E67F9EC2D69}" name="Produk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EDFB1-3FA2-4B24-86A8-FF3D01490FD7}" name="Operacje" displayName="Operacje" ref="A1:G207" totalsRowShown="0">
  <autoFilter ref="A1:G207" xr:uid="{44BEDFB1-3FA2-4B24-86A8-FF3D01490FD7}"/>
  <tableColumns count="7">
    <tableColumn id="1" xr3:uid="{48DCB7EE-6F92-4F68-B6C0-9FEF8FF9422D}" name="Kwota"/>
    <tableColumn id="2" xr3:uid="{45416C2B-25B9-4452-BA26-C8EE06672FB7}" name="Bank"/>
    <tableColumn id="3" xr3:uid="{0F82C40E-6041-4D97-AEC8-02007ED6F529}" name="Produkt"/>
    <tableColumn id="4" xr3:uid="{356DC472-3CC0-4518-935E-01E7C1098C68}" name="Kategoria"/>
    <tableColumn id="5" xr3:uid="{ABA36448-86FB-40EF-A0E1-1DC10F509607}" name="Typ">
      <calculatedColumnFormula>_xlfn.XLOOKUP(D2,Kategorie[Kategoria],Kategorie[Typ],"",0,1)</calculatedColumnFormula>
    </tableColumn>
    <tableColumn id="6" xr3:uid="{EB63E703-DB82-446E-B9AA-B7781C09EBD3}" name="Data" dataDxfId="62"/>
    <tableColumn id="7" xr3:uid="{68BD351B-C57A-45F4-A7AC-4B78C75D5903}" name="Miesiąc">
      <calculatedColumnFormula>IF(ISBLANK(F2),"",MONTH(F2))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424A3-B6DD-4BDC-9D53-C6D9560CB650}" name="styczeń_saldo" displayName="styczeń_saldo" ref="A1:E9" totalsRowShown="0" headerRowDxfId="206" tableBorderDxfId="205">
  <autoFilter ref="A1:E9" xr:uid="{F75424A3-B6DD-4BDC-9D53-C6D9560CB650}"/>
  <tableColumns count="5">
    <tableColumn id="1" xr3:uid="{94A6D57C-FCB2-4E6E-A6EB-3CC7973692F5}" name="Bank"/>
    <tableColumn id="2" xr3:uid="{CBC2042D-A186-4FEE-A551-4BFD61174069}" name="Produkt"/>
    <tableColumn id="3" xr3:uid="{EC427334-72FA-4D16-928C-41BB79502B33}" name="Saldo Początkowe" dataDxfId="204"/>
    <tableColumn id="4" xr3:uid="{B43E18F6-C3A6-421E-A374-9832579647F1}" name="Operacje" dataDxfId="203"/>
    <tableColumn id="5" xr3:uid="{BDBEB82B-237F-4EDC-BEF1-55ADF83A667A}" name="Saldo końcowe" dataDxfId="20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0BDBD-7962-4F9A-83F1-3FE56398F9FF}" name="styczeń_kategorie" displayName="styczeń_kategorie" ref="G1:H18" totalsRowShown="0" headerRowDxfId="201" tableBorderDxfId="200">
  <autoFilter ref="G1:H18" xr:uid="{7900BDBD-7962-4F9A-83F1-3FE56398F9FF}"/>
  <tableColumns count="2">
    <tableColumn id="1" xr3:uid="{4E41B63E-3888-4364-9648-7729731C6914}" name="Kategoria" dataDxfId="199"/>
    <tableColumn id="2" xr3:uid="{84269063-9FA0-4284-B1C6-2BF002784F07}" name="Suma" dataDxfId="109">
      <calculatedColumnFormula>SUMIFS(Operacje[Kwota],Operacje[Kategoria],Styczeń!G2,Operacje[Miesiąc],Styczeń!$B$11)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2B86FB-900E-4A38-98F3-FF41F6B06F2C}" name="luty_saldo" displayName="luty_saldo" ref="A1:E9" totalsRowShown="0" headerRowDxfId="198" tableBorderDxfId="197">
  <autoFilter ref="A1:E9" xr:uid="{F75424A3-B6DD-4BDC-9D53-C6D9560CB650}"/>
  <tableColumns count="5">
    <tableColumn id="1" xr3:uid="{C89695A2-5710-403D-96C0-3912F807351B}" name="Bank"/>
    <tableColumn id="2" xr3:uid="{DEB88A7F-F0B1-4E4E-B931-5932C6A58197}" name="Produkt"/>
    <tableColumn id="3" xr3:uid="{A025CB4D-0E14-4D92-A8A0-FC275703EE91}" name="Saldo Początkowe" dataDxfId="196"/>
    <tableColumn id="4" xr3:uid="{068A4B32-1920-44BB-91B7-23BE89F83552}" name="Operacje" dataDxfId="195"/>
    <tableColumn id="5" xr3:uid="{34BB5A45-33F2-4A9E-87C6-04969AFF8E0F}" name="Saldo końcowe" dataDxfId="19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35F1A8-66A3-4AC4-AEB8-823AB1D4774B}" name="luty_kategorie" displayName="luty_kategorie" ref="G1:H18" totalsRowShown="0" headerRowDxfId="193" tableBorderDxfId="192">
  <autoFilter ref="G1:H18" xr:uid="{7900BDBD-7962-4F9A-83F1-3FE56398F9FF}"/>
  <tableColumns count="2">
    <tableColumn id="1" xr3:uid="{04B13E86-F181-478A-8FB1-D582621D6F72}" name="Kategoria" dataDxfId="191"/>
    <tableColumn id="2" xr3:uid="{179610D0-CFC0-4A94-AD43-E4244D7FEE4A}" name="Suma" dataDxfId="45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960234-C1BD-4415-809A-8E0C5846C4C4}" name="marzec_saldo" displayName="marzec_saldo" ref="A1:E9" totalsRowShown="0" headerRowDxfId="190" tableBorderDxfId="189">
  <autoFilter ref="A1:E9" xr:uid="{F75424A3-B6DD-4BDC-9D53-C6D9560CB650}"/>
  <tableColumns count="5">
    <tableColumn id="1" xr3:uid="{29A6920A-865C-4A89-8AF3-2A7D230FF8C5}" name="Bank"/>
    <tableColumn id="2" xr3:uid="{AB201333-2EA1-454C-B4A4-F86FB3B25013}" name="Produkt"/>
    <tableColumn id="3" xr3:uid="{D7D9AFA8-6F05-426A-AD82-52F09CB2C627}" name="Saldo Początkowe" dataDxfId="188"/>
    <tableColumn id="4" xr3:uid="{1C04E972-AA87-4EA5-AE19-A427DCC82ED8}" name="Operacje" dataDxfId="187"/>
    <tableColumn id="5" xr3:uid="{62037A60-85B3-482E-831A-B68A9E8630A5}" name="Saldo końcowe" dataDxfId="18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DB59C3-5E48-49C2-9055-DD9CADB41ED9}" name="marzec_kategorie" displayName="marzec_kategorie" ref="G1:H18" totalsRowShown="0" headerRowDxfId="185" tableBorderDxfId="184">
  <autoFilter ref="G1:H18" xr:uid="{7900BDBD-7962-4F9A-83F1-3FE56398F9FF}"/>
  <tableColumns count="2">
    <tableColumn id="1" xr3:uid="{528D233D-E991-4214-8701-350C976561CE}" name="Kategoria" dataDxfId="183"/>
    <tableColumn id="2" xr3:uid="{ADE99DAC-4C1B-46ED-B496-DE8266013C64}" name="Suma" dataDxfId="61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F1626A-829C-4973-A1D5-618549ECDA4A}" name="kwiecień_saldo" displayName="kwiecień_saldo" ref="A1:E9" totalsRowShown="0" headerRowDxfId="182" tableBorderDxfId="181">
  <autoFilter ref="A1:E9" xr:uid="{F75424A3-B6DD-4BDC-9D53-C6D9560CB650}"/>
  <tableColumns count="5">
    <tableColumn id="1" xr3:uid="{1E8ABE9C-036D-42DA-9B7E-5B54E8DD5779}" name="Bank"/>
    <tableColumn id="2" xr3:uid="{A4BE4980-231C-4CAB-AC83-AF191FA2058C}" name="Produkt"/>
    <tableColumn id="3" xr3:uid="{CB03C6DF-7E75-478E-97EC-74F7161E02F7}" name="Saldo Początkowe" dataDxfId="180"/>
    <tableColumn id="4" xr3:uid="{A1FFDF66-1D11-47B9-8E5D-869DF728A201}" name="Operacje" dataDxfId="179"/>
    <tableColumn id="5" xr3:uid="{400B025E-F738-4F52-A457-47EC8900DF36}" name="Saldo końcowe" dataDxfId="17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1FD673-A5A8-47A9-8FBB-27D7E837C4C1}" name="kwiecień_kategorie" displayName="kwiecień_kategorie" ref="G1:H18" totalsRowShown="0" headerRowDxfId="177" tableBorderDxfId="176">
  <autoFilter ref="G1:H18" xr:uid="{7900BDBD-7962-4F9A-83F1-3FE56398F9FF}"/>
  <tableColumns count="2">
    <tableColumn id="1" xr3:uid="{E608008A-1D90-4450-956B-1C1A15EB2C95}" name="Kategoria" dataDxfId="175"/>
    <tableColumn id="2" xr3:uid="{FF29641F-A9BF-48D1-83B6-9B3FB7F4BDB9}" name="Suma" dataDxfId="60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7A9A9F5-14DA-4FAE-AAFD-31F55038B2B7}" name="maj_saldo" displayName="maj_saldo" ref="A1:E9" totalsRowShown="0" headerRowDxfId="174" tableBorderDxfId="173">
  <autoFilter ref="A1:E9" xr:uid="{F75424A3-B6DD-4BDC-9D53-C6D9560CB650}"/>
  <tableColumns count="5">
    <tableColumn id="1" xr3:uid="{4BFD0D8B-FFDC-4304-B3F9-9474DB0709F0}" name="Bank"/>
    <tableColumn id="2" xr3:uid="{1505104B-A20D-42EF-A0B4-11A0B3862B5C}" name="Produkt"/>
    <tableColumn id="3" xr3:uid="{495C1433-1044-478C-82DC-4F28E3A690C1}" name="Saldo Początkowe" dataDxfId="172"/>
    <tableColumn id="4" xr3:uid="{E009C0FA-7E27-4F35-8D40-EBFAD3FFEB2F}" name="Operacje" dataDxfId="171"/>
    <tableColumn id="5" xr3:uid="{AA0C5EFA-2347-41C2-BA19-6DC8D147915D}" name="Saldo końcowe" dataDxfId="17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CFA01F-AFC9-4E77-801B-0893A4702219}" name="maj_kategorie" displayName="maj_kategorie" ref="G1:H18" totalsRowShown="0" headerRowDxfId="169" tableBorderDxfId="168">
  <autoFilter ref="G1:H18" xr:uid="{7900BDBD-7962-4F9A-83F1-3FE56398F9FF}"/>
  <tableColumns count="2">
    <tableColumn id="1" xr3:uid="{78AA5785-CF98-45E7-B9E7-5B667865DCFF}" name="Kategoria" dataDxfId="167"/>
    <tableColumn id="2" xr3:uid="{A2A07155-1129-4894-8984-9C289160021B}" name="Suma" dataDxfId="166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A2F3B9-30B1-4821-A12D-2F10E1559CFF}" name="czerwiec_saldo" displayName="czerwiec_saldo" ref="A1:E9" totalsRowShown="0" headerRowDxfId="165" tableBorderDxfId="164">
  <autoFilter ref="A1:E9" xr:uid="{F75424A3-B6DD-4BDC-9D53-C6D9560CB650}"/>
  <tableColumns count="5">
    <tableColumn id="1" xr3:uid="{346FF77C-DAB9-4788-BD27-77FA009154C9}" name="Bank"/>
    <tableColumn id="2" xr3:uid="{02226C22-7717-414E-86DD-2162B0E00C79}" name="Produkt"/>
    <tableColumn id="3" xr3:uid="{9CC8F02A-0876-4717-BD13-54749AAFB466}" name="Saldo Początkowe" dataDxfId="163"/>
    <tableColumn id="4" xr3:uid="{5C81D994-E8D7-4743-BA72-8B3FA5FD5EF2}" name="Operacje" dataDxfId="162"/>
    <tableColumn id="5" xr3:uid="{524CDBFB-8181-4B34-9EB6-329B8B9D14EB}" name="Saldo końcowe" dataDxfId="16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BBE78B5-BF5A-4D37-90D5-E702F7284CED}" name="czerwiec_kategorie" displayName="czerwiec_kategorie" ref="G1:H18" totalsRowShown="0" headerRowDxfId="160" tableBorderDxfId="159">
  <autoFilter ref="G1:H18" xr:uid="{7900BDBD-7962-4F9A-83F1-3FE56398F9FF}"/>
  <tableColumns count="2">
    <tableColumn id="1" xr3:uid="{1595060B-267D-4450-A7B3-7DBBAC15627B}" name="Kategoria" dataDxfId="158"/>
    <tableColumn id="2" xr3:uid="{BFE132B9-3D58-4308-AF9B-3BB5887BFDF1}" name="Suma" dataDxfId="59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32CDB4-BFB3-4889-91F7-C69ADDA7CF6E}" name="lipiec_saldo" displayName="lipiec_saldo" ref="A1:E9" totalsRowShown="0" headerRowDxfId="157" tableBorderDxfId="156">
  <autoFilter ref="A1:E9" xr:uid="{F75424A3-B6DD-4BDC-9D53-C6D9560CB650}"/>
  <tableColumns count="5">
    <tableColumn id="1" xr3:uid="{CADB00CB-EC93-4AFA-9E18-C517F5F2B369}" name="Bank"/>
    <tableColumn id="2" xr3:uid="{DFBC7E1A-1128-464E-BF27-0ECFA996231C}" name="Produkt"/>
    <tableColumn id="3" xr3:uid="{47E055BA-4B91-42E3-AD58-3FDA73D53931}" name="Saldo Początkowe" dataDxfId="155"/>
    <tableColumn id="4" xr3:uid="{EE0EC2F1-86C6-49E5-B181-FF172A1BD85F}" name="Operacje" dataDxfId="154"/>
    <tableColumn id="5" xr3:uid="{21AB33AB-DE42-4472-BA6C-493A048D7DE1}" name="Saldo końcowe" dataDxfId="153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2D95B56-8B19-4A58-A90A-8400CA65967A}" name="lipiec_kategorie" displayName="lipiec_kategorie" ref="G1:H18" totalsRowShown="0" headerRowDxfId="152" tableBorderDxfId="151">
  <autoFilter ref="G1:H18" xr:uid="{7900BDBD-7962-4F9A-83F1-3FE56398F9FF}"/>
  <tableColumns count="2">
    <tableColumn id="1" xr3:uid="{CE9CD142-78F1-477C-9098-8230AEC7B89B}" name="Kategoria" dataDxfId="150"/>
    <tableColumn id="2" xr3:uid="{93147D69-9C1F-4B96-A80A-73019734177A}" name="Suma" dataDxfId="58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72078A8-9269-42C2-A006-8D49079A3A4B}" name="sierpień_saldo" displayName="sierpień_saldo" ref="A1:E9" totalsRowShown="0" headerRowDxfId="149" tableBorderDxfId="148">
  <autoFilter ref="A1:E9" xr:uid="{F75424A3-B6DD-4BDC-9D53-C6D9560CB650}"/>
  <tableColumns count="5">
    <tableColumn id="1" xr3:uid="{409F8877-41EA-49BE-92B9-6AFF308E1FEC}" name="Bank"/>
    <tableColumn id="2" xr3:uid="{8E6474B4-DB88-47BB-ABF0-14DE76E24A98}" name="Produkt"/>
    <tableColumn id="3" xr3:uid="{F5A17C0C-0111-45F6-B779-251623C57F11}" name="Saldo Początkowe" dataDxfId="147"/>
    <tableColumn id="4" xr3:uid="{0FFA8E77-508A-4481-8624-AD902B1E15C4}" name="Operacje" dataDxfId="146"/>
    <tableColumn id="5" xr3:uid="{9B242144-ED49-4645-A6AD-02F108046537}" name="Saldo końcowe" dataDxfId="145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3B44C04-CD1B-4AB5-879B-6C0C9A9281D7}" name="sierpień_kategorie" displayName="sierpień_kategorie" ref="G1:H18" totalsRowShown="0" headerRowDxfId="144" tableBorderDxfId="143">
  <autoFilter ref="G1:H18" xr:uid="{7900BDBD-7962-4F9A-83F1-3FE56398F9FF}"/>
  <tableColumns count="2">
    <tableColumn id="1" xr3:uid="{17792D4F-CE58-4ACA-B900-3CC3A669431E}" name="Kategoria" dataDxfId="142"/>
    <tableColumn id="2" xr3:uid="{69E69A44-ED79-4E0C-969B-A7049DD0305F}" name="Suma" dataDxfId="57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8590310-AA12-43CB-9EBD-0E96CFFC6834}" name="wrzesień_saldo" displayName="wrzesień_saldo" ref="A1:E9" totalsRowShown="0" headerRowDxfId="141" tableBorderDxfId="140">
  <autoFilter ref="A1:E9" xr:uid="{F75424A3-B6DD-4BDC-9D53-C6D9560CB650}"/>
  <tableColumns count="5">
    <tableColumn id="1" xr3:uid="{0F3A2AFF-5004-4A5E-B13C-F0DA187BE48B}" name="Bank"/>
    <tableColumn id="2" xr3:uid="{A55662A4-BB2E-4161-AD27-3B6CB9FC9AED}" name="Produkt"/>
    <tableColumn id="3" xr3:uid="{F567FEF9-4682-418E-81E5-64B4F52C660A}" name="Saldo Początkowe" dataDxfId="139"/>
    <tableColumn id="4" xr3:uid="{62B351E9-B997-491D-9E07-AACAC547BA9B}" name="Operacje" dataDxfId="138"/>
    <tableColumn id="5" xr3:uid="{87A4E195-FC7E-43A1-A1BA-AAEE930E39C5}" name="Saldo końcowe" dataDxfId="137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A8DDC10-A013-4579-A309-7325BFC343A8}" name="wrzesień_kategorie" displayName="wrzesień_kategorie" ref="G1:H18" totalsRowShown="0" headerRowDxfId="136" tableBorderDxfId="135">
  <autoFilter ref="G1:H18" xr:uid="{7900BDBD-7962-4F9A-83F1-3FE56398F9FF}"/>
  <tableColumns count="2">
    <tableColumn id="1" xr3:uid="{CD767296-226B-4E7A-A58B-04F531298297}" name="Kategoria" dataDxfId="134"/>
    <tableColumn id="2" xr3:uid="{6852498B-3756-43A9-A77C-31EDCB04CB2A}" name="Suma" dataDxfId="56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5C279F9-CB16-4BBD-9762-4884F2E8819D}" name="październik_saldo" displayName="październik_saldo" ref="A1:E9" totalsRowShown="0" headerRowDxfId="133" tableBorderDxfId="132">
  <autoFilter ref="A1:E9" xr:uid="{F75424A3-B6DD-4BDC-9D53-C6D9560CB650}"/>
  <tableColumns count="5">
    <tableColumn id="1" xr3:uid="{5F73E83F-BCE8-4EC0-91BA-3AFC08667AD0}" name="Bank"/>
    <tableColumn id="2" xr3:uid="{75184D6F-2C2E-46A6-B36B-8CB855CD2AD8}" name="Produkt"/>
    <tableColumn id="3" xr3:uid="{CFA32E9F-5714-4ECE-B042-7F13BD0A377A}" name="Saldo Początkowe" dataDxfId="131"/>
    <tableColumn id="4" xr3:uid="{FBD36428-E2A8-437C-8999-FE920868F855}" name="Operacje" dataDxfId="130"/>
    <tableColumn id="5" xr3:uid="{E9A95B5D-1C56-455C-AE5C-A388D2E5D9EF}" name="Saldo końcowe" dataDxfId="12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E765534-9675-4AF2-B3BD-C7CC4B525FD4}" name="październik_kategorie" displayName="październik_kategorie" ref="G1:H18" totalsRowShown="0" headerRowDxfId="128" tableBorderDxfId="127">
  <autoFilter ref="G1:H18" xr:uid="{7900BDBD-7962-4F9A-83F1-3FE56398F9FF}"/>
  <tableColumns count="2">
    <tableColumn id="1" xr3:uid="{E6BBE1A4-7F77-469F-8BF7-CD04B78F6EE2}" name="Kategoria" dataDxfId="126"/>
    <tableColumn id="2" xr3:uid="{EBED7AF6-73C9-4690-A389-45A1F8C11E52}" name="Suma" dataDxfId="55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6D2081F-5A07-411F-AE9A-072F6A16D347}" name="listopad_saldo" displayName="listopad_saldo" ref="A1:E9" totalsRowShown="0" headerRowDxfId="125" tableBorderDxfId="124">
  <autoFilter ref="A1:E9" xr:uid="{F75424A3-B6DD-4BDC-9D53-C6D9560CB650}"/>
  <tableColumns count="5">
    <tableColumn id="1" xr3:uid="{0DFF3176-4C17-41D3-B403-9A6BC043F3D5}" name="Bank"/>
    <tableColumn id="2" xr3:uid="{CD43FB06-242D-47B2-BEC1-570E19EC6859}" name="Produkt"/>
    <tableColumn id="3" xr3:uid="{64203204-990F-489E-9E4E-B33DB19BAF38}" name="Saldo Początkowe" dataDxfId="123"/>
    <tableColumn id="4" xr3:uid="{EF597194-4713-4E21-A8F1-32B132B9BA87}" name="Operacje" dataDxfId="122"/>
    <tableColumn id="5" xr3:uid="{BAE2D627-6B77-4073-ACDF-0F839CDEE56C}" name="Saldo końcowe" dataDxfId="121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D38933-F7FF-458D-B903-98C71A7477B1}" name="listopad_kategorie" displayName="listopad_kategorie" ref="G1:H18" totalsRowShown="0" headerRowDxfId="120" tableBorderDxfId="119">
  <autoFilter ref="G1:H18" xr:uid="{7900BDBD-7962-4F9A-83F1-3FE56398F9FF}"/>
  <tableColumns count="2">
    <tableColumn id="1" xr3:uid="{43DBF68E-E261-4015-A02D-926BCDF89100}" name="Kategoria" dataDxfId="118"/>
    <tableColumn id="2" xr3:uid="{D5FD640C-FC77-48B6-B05B-9BA617D0B92D}" name="Suma" dataDxfId="54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849EFAB-51A7-4984-BDC5-19BB84E13DAB}" name="grudzień_saldo" displayName="grudzień_saldo" ref="A1:E9" totalsRowShown="0" headerRowDxfId="117" tableBorderDxfId="116">
  <autoFilter ref="A1:E9" xr:uid="{F75424A3-B6DD-4BDC-9D53-C6D9560CB650}"/>
  <tableColumns count="5">
    <tableColumn id="1" xr3:uid="{5B84170F-E9D1-4BCF-B39D-770401400D8B}" name="Bank"/>
    <tableColumn id="2" xr3:uid="{90492CF1-52C3-4DE0-B4E4-8C71300CA361}" name="Produkt"/>
    <tableColumn id="3" xr3:uid="{8552787E-6DAD-48A4-B327-FFB0E53B5215}" name="Saldo Początkowe" dataDxfId="115"/>
    <tableColumn id="4" xr3:uid="{B4C2B777-34E6-4695-99A8-5969253BC161}" name="Operacje" dataDxfId="114"/>
    <tableColumn id="5" xr3:uid="{43FF9A28-5C3A-4CC8-B08A-5098D208744A}" name="Saldo końcowe" dataDxfId="113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C1509A-A240-4089-B8F5-F10C91B9F11F}" name="grudzień_kategorie" displayName="grudzień_kategorie" ref="G1:H18" totalsRowShown="0" headerRowDxfId="112" tableBorderDxfId="111">
  <autoFilter ref="G1:H18" xr:uid="{7900BDBD-7962-4F9A-83F1-3FE56398F9FF}"/>
  <tableColumns count="2">
    <tableColumn id="1" xr3:uid="{626C4937-B6EB-4859-91C4-B80BAE058075}" name="Kategoria" dataDxfId="110"/>
    <tableColumn id="2" xr3:uid="{88C3615A-72F1-4340-B061-CE9433423E31}" name="Suma" dataDxfId="53">
      <calculatedColumnFormula>SUMIFS(Operacje[Kwota],Operacje[Kategoria],G2,Operacje[Miesiąc],$B$11)</calculatedColumnFormula>
    </tableColumn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70C22C5-A45C-4B6F-932C-DBEC3758D403}" name="Salda" displayName="Salda" ref="A1:N9" totalsRowShown="0">
  <autoFilter ref="A1:N9" xr:uid="{270C22C5-A45C-4B6F-932C-DBEC3758D403}"/>
  <tableColumns count="14">
    <tableColumn id="1" xr3:uid="{203B997A-86FE-43ED-A678-C0AAA2EBD18C}" name="Bank"/>
    <tableColumn id="2" xr3:uid="{CF4463C4-6FA6-4593-BAFB-03811ABF8440}" name="Produkt"/>
    <tableColumn id="3" xr3:uid="{AA3B029F-866A-484E-828E-9A33F1FA18E2}" name="Styczeń" dataDxfId="0">
      <calculatedColumnFormula array="1">INDIRECT(Salda[[#Headers],[Styczeń]]&amp;"_saldo[@[Saldo końcowe]]")</calculatedColumnFormula>
    </tableColumn>
    <tableColumn id="4" xr3:uid="{21AA31DD-100F-4289-91F1-5249B5642106}" name="Luty"/>
    <tableColumn id="5" xr3:uid="{E11B16AF-CEA8-4675-B8D6-7B090EC9A17A}" name="Marzec"/>
    <tableColumn id="6" xr3:uid="{0BD0A2F1-B72C-4FD1-8246-2E18A98E66EC}" name="Kwiecień"/>
    <tableColumn id="7" xr3:uid="{BC82ABD6-841B-45E1-BE23-153298F861DD}" name="Maj"/>
    <tableColumn id="8" xr3:uid="{4D0D05FE-EE6D-4171-8086-F3F0F37F4B33}" name="Czerwiec"/>
    <tableColumn id="9" xr3:uid="{A6427D66-218C-469E-AC25-DE15087677D8}" name="Lipiec"/>
    <tableColumn id="10" xr3:uid="{C356E0C4-0E07-4D41-A2BD-8B16F3043C04}" name="Sierpień"/>
    <tableColumn id="11" xr3:uid="{5CD600BB-3956-424D-A3A1-B6FD9F8A2333}" name="Wrzesień"/>
    <tableColumn id="12" xr3:uid="{02CAC735-2E48-425F-8EEE-7925FFFFBAB1}" name="Październik"/>
    <tableColumn id="13" xr3:uid="{B4B1B59E-3C42-49B4-AD44-36D46286B1D2}" name="Listopad"/>
    <tableColumn id="14" xr3:uid="{CCA7649A-8547-4084-8D21-5D4464165CD7}" name="Grudzień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C926-32A1-4884-B237-0EF650F0BA4B}">
  <dimension ref="A1:AA5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0" customWidth="1"/>
    <col min="5" max="5" width="10.140625" customWidth="1"/>
  </cols>
  <sheetData>
    <row r="1" spans="1:10" x14ac:dyDescent="0.25">
      <c r="A1" t="s">
        <v>0</v>
      </c>
      <c r="B1" t="s">
        <v>3</v>
      </c>
      <c r="D1" t="s">
        <v>19</v>
      </c>
      <c r="E1" t="s">
        <v>27</v>
      </c>
      <c r="H1" t="s">
        <v>21</v>
      </c>
      <c r="I1" t="s">
        <v>22</v>
      </c>
      <c r="J1" t="s">
        <v>30</v>
      </c>
    </row>
    <row r="2" spans="1:10" x14ac:dyDescent="0.25">
      <c r="A2" t="s">
        <v>1</v>
      </c>
      <c r="B2" t="s">
        <v>10</v>
      </c>
      <c r="D2" t="s">
        <v>21</v>
      </c>
      <c r="E2" t="s">
        <v>20</v>
      </c>
      <c r="H2" t="s">
        <v>20</v>
      </c>
      <c r="I2" t="s">
        <v>20</v>
      </c>
      <c r="J2" t="s">
        <v>31</v>
      </c>
    </row>
    <row r="3" spans="1:10" x14ac:dyDescent="0.25">
      <c r="A3" t="s">
        <v>2</v>
      </c>
      <c r="B3" t="s">
        <v>10</v>
      </c>
      <c r="D3" t="s">
        <v>21</v>
      </c>
      <c r="E3" t="s">
        <v>23</v>
      </c>
      <c r="H3" t="s">
        <v>23</v>
      </c>
      <c r="I3" t="s">
        <v>25</v>
      </c>
      <c r="J3" t="s">
        <v>32</v>
      </c>
    </row>
    <row r="4" spans="1:10" x14ac:dyDescent="0.25">
      <c r="A4" t="s">
        <v>38</v>
      </c>
      <c r="B4" t="s">
        <v>10</v>
      </c>
      <c r="D4" t="s">
        <v>21</v>
      </c>
      <c r="E4" t="s">
        <v>24</v>
      </c>
      <c r="H4" t="s">
        <v>24</v>
      </c>
    </row>
    <row r="5" spans="1:10" x14ac:dyDescent="0.25">
      <c r="A5" t="s">
        <v>4</v>
      </c>
      <c r="B5" t="s">
        <v>10</v>
      </c>
      <c r="D5" t="s">
        <v>22</v>
      </c>
      <c r="E5" t="s">
        <v>20</v>
      </c>
    </row>
    <row r="6" spans="1:10" x14ac:dyDescent="0.25">
      <c r="A6" t="s">
        <v>5</v>
      </c>
      <c r="B6" t="s">
        <v>10</v>
      </c>
      <c r="D6" t="s">
        <v>22</v>
      </c>
      <c r="E6" t="s">
        <v>25</v>
      </c>
    </row>
    <row r="7" spans="1:10" x14ac:dyDescent="0.25">
      <c r="A7" t="s">
        <v>6</v>
      </c>
      <c r="B7" t="s">
        <v>10</v>
      </c>
      <c r="D7" t="s">
        <v>30</v>
      </c>
      <c r="E7" t="s">
        <v>31</v>
      </c>
    </row>
    <row r="8" spans="1:10" x14ac:dyDescent="0.25">
      <c r="A8" t="s">
        <v>7</v>
      </c>
      <c r="B8" t="s">
        <v>10</v>
      </c>
      <c r="D8" t="s">
        <v>30</v>
      </c>
      <c r="E8" t="s">
        <v>32</v>
      </c>
    </row>
    <row r="9" spans="1:10" x14ac:dyDescent="0.25">
      <c r="A9" t="s">
        <v>8</v>
      </c>
      <c r="B9" t="s">
        <v>10</v>
      </c>
    </row>
    <row r="10" spans="1:10" x14ac:dyDescent="0.25">
      <c r="A10" t="s">
        <v>9</v>
      </c>
      <c r="B10" t="s">
        <v>10</v>
      </c>
    </row>
    <row r="11" spans="1:10" x14ac:dyDescent="0.25">
      <c r="A11" t="s">
        <v>11</v>
      </c>
      <c r="B11" t="s">
        <v>18</v>
      </c>
    </row>
    <row r="12" spans="1:10" x14ac:dyDescent="0.25">
      <c r="A12" t="s">
        <v>12</v>
      </c>
      <c r="B12" t="s">
        <v>18</v>
      </c>
    </row>
    <row r="13" spans="1:10" x14ac:dyDescent="0.25">
      <c r="A13" t="s">
        <v>13</v>
      </c>
      <c r="B13" t="s">
        <v>18</v>
      </c>
    </row>
    <row r="14" spans="1:10" x14ac:dyDescent="0.25">
      <c r="A14" t="s">
        <v>14</v>
      </c>
      <c r="B14" t="s">
        <v>18</v>
      </c>
    </row>
    <row r="15" spans="1:10" x14ac:dyDescent="0.25">
      <c r="A15" t="s">
        <v>15</v>
      </c>
      <c r="B15" t="s">
        <v>18</v>
      </c>
    </row>
    <row r="16" spans="1:10" x14ac:dyDescent="0.25">
      <c r="A16" t="s">
        <v>16</v>
      </c>
      <c r="B16" t="s">
        <v>18</v>
      </c>
    </row>
    <row r="17" spans="1:27" x14ac:dyDescent="0.25">
      <c r="A17" t="s">
        <v>17</v>
      </c>
      <c r="B17" t="s">
        <v>18</v>
      </c>
    </row>
    <row r="18" spans="1:27" ht="15" customHeight="1" x14ac:dyDescent="0.25">
      <c r="A18" t="s">
        <v>39</v>
      </c>
      <c r="B18" t="s">
        <v>40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8:27" x14ac:dyDescent="0.25"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8:27" x14ac:dyDescent="0.25"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8:27" x14ac:dyDescent="0.25"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8:27" x14ac:dyDescent="0.25"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8:27" x14ac:dyDescent="0.25"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8:27" x14ac:dyDescent="0.25"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8:27" x14ac:dyDescent="0.25"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8:27" x14ac:dyDescent="0.25"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8:27" x14ac:dyDescent="0.25"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8:27" x14ac:dyDescent="0.25"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8:27" x14ac:dyDescent="0.25"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8:27" x14ac:dyDescent="0.25"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8:27" x14ac:dyDescent="0.25"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8:27" x14ac:dyDescent="0.25"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8:27" x14ac:dyDescent="0.25"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8:27" x14ac:dyDescent="0.25"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8:27" x14ac:dyDescent="0.25"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8:27" x14ac:dyDescent="0.25"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8:27" x14ac:dyDescent="0.25"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8:27" x14ac:dyDescent="0.25">
      <c r="R52" s="16"/>
      <c r="S52" s="16"/>
      <c r="T52" s="16"/>
      <c r="U52" s="16"/>
      <c r="V52" s="16"/>
      <c r="W52" s="16"/>
      <c r="X52" s="16"/>
      <c r="Y52" s="16"/>
      <c r="Z52" s="16"/>
      <c r="AA52" s="16"/>
    </row>
  </sheetData>
  <conditionalFormatting sqref="A2:B18">
    <cfRule type="expression" dxfId="108" priority="1">
      <formula>$B2="Wydatki"</formula>
    </cfRule>
    <cfRule type="expression" dxfId="107" priority="2">
      <formula>$B2="Wpływy"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65F7-A429-41BA-A6CB-498FEBC8A6AD}">
  <dimension ref="A1:I207"/>
  <sheetViews>
    <sheetView topLeftCell="A123" workbookViewId="0">
      <selection activeCell="F194" sqref="F194"/>
    </sheetView>
  </sheetViews>
  <sheetFormatPr defaultRowHeight="15" x14ac:dyDescent="0.25"/>
  <cols>
    <col min="1" max="1" width="10.5703125" bestFit="1" customWidth="1"/>
    <col min="3" max="3" width="11.7109375" customWidth="1"/>
    <col min="4" max="4" width="16.28515625" customWidth="1"/>
    <col min="6" max="6" width="10.140625" bestFit="1" customWidth="1"/>
    <col min="7" max="7" width="9.85546875" customWidth="1"/>
  </cols>
  <sheetData>
    <row r="1" spans="1:9" x14ac:dyDescent="0.25">
      <c r="A1" t="s">
        <v>26</v>
      </c>
      <c r="B1" t="s">
        <v>19</v>
      </c>
      <c r="C1" t="s">
        <v>27</v>
      </c>
      <c r="D1" t="s">
        <v>0</v>
      </c>
      <c r="E1" t="s">
        <v>3</v>
      </c>
      <c r="F1" t="s">
        <v>28</v>
      </c>
      <c r="G1" t="s">
        <v>29</v>
      </c>
    </row>
    <row r="2" spans="1:9" x14ac:dyDescent="0.25">
      <c r="B2" t="s">
        <v>22</v>
      </c>
      <c r="C2" t="s">
        <v>20</v>
      </c>
      <c r="D2" t="s">
        <v>6</v>
      </c>
      <c r="E2" t="str">
        <f>_xlfn.XLOOKUP(D2,Kategorie[Kategoria],Kategorie[Typ],"",0,1)</f>
        <v>Wydatki</v>
      </c>
      <c r="F2" s="1">
        <v>45661</v>
      </c>
      <c r="G2">
        <f>IF(ISBLANK(F2),"",MONTH(F2))</f>
        <v>1</v>
      </c>
    </row>
    <row r="3" spans="1:9" x14ac:dyDescent="0.25">
      <c r="B3" t="s">
        <v>21</v>
      </c>
      <c r="C3" t="s">
        <v>23</v>
      </c>
      <c r="D3" t="s">
        <v>2</v>
      </c>
      <c r="E3" t="str">
        <f>_xlfn.XLOOKUP(D3,Kategorie[Kategoria],Kategorie[Typ],"",0,1)</f>
        <v>Wydatki</v>
      </c>
      <c r="F3" s="1"/>
      <c r="G3" t="str">
        <f t="shared" ref="G3:G26" si="0">IF(ISBLANK(F3),"",MONTH(F3))</f>
        <v/>
      </c>
      <c r="I3" t="str" cm="1">
        <f t="array" ref="I3:I4">CHOOSE(MATCH(B2,Kategorie!$H$1:$J$1,0),Kategorie!$H$2:$H$4,Kategorie!$I$2:$I$3,Kategorie!$J$2:$J$3)</f>
        <v>Konto</v>
      </c>
    </row>
    <row r="4" spans="1:9" x14ac:dyDescent="0.25">
      <c r="B4" t="s">
        <v>22</v>
      </c>
      <c r="C4" t="s">
        <v>25</v>
      </c>
      <c r="D4" t="s">
        <v>2</v>
      </c>
      <c r="E4" t="str">
        <f>_xlfn.XLOOKUP(D4,Kategorie[Kategoria],Kategorie[Typ],"",0,1)</f>
        <v>Wydatki</v>
      </c>
      <c r="F4" s="1"/>
      <c r="I4" t="str">
        <v>Skarbonka</v>
      </c>
    </row>
    <row r="5" spans="1:9" x14ac:dyDescent="0.25">
      <c r="B5" t="s">
        <v>22</v>
      </c>
      <c r="C5" t="s">
        <v>20</v>
      </c>
      <c r="D5" t="s">
        <v>1</v>
      </c>
      <c r="E5" t="str">
        <f>_xlfn.XLOOKUP(D5,Kategorie[Kategoria],Kategorie[Typ],"",0,1)</f>
        <v>Wydatki</v>
      </c>
      <c r="F5" s="1"/>
      <c r="G5" t="str">
        <f t="shared" si="0"/>
        <v/>
      </c>
    </row>
    <row r="6" spans="1:9" x14ac:dyDescent="0.25">
      <c r="A6">
        <v>-2000</v>
      </c>
      <c r="B6" t="s">
        <v>21</v>
      </c>
      <c r="C6" t="s">
        <v>20</v>
      </c>
      <c r="D6" t="s">
        <v>4</v>
      </c>
      <c r="E6" t="str">
        <f>_xlfn.XLOOKUP(D6,Kategorie[Kategoria],Kategorie[Typ],"",0,1)</f>
        <v>Wydatki</v>
      </c>
      <c r="F6" s="1">
        <v>45423</v>
      </c>
      <c r="G6">
        <f t="shared" si="0"/>
        <v>5</v>
      </c>
    </row>
    <row r="7" spans="1:9" x14ac:dyDescent="0.25">
      <c r="A7">
        <v>-80</v>
      </c>
      <c r="B7" t="s">
        <v>21</v>
      </c>
      <c r="C7" t="s">
        <v>20</v>
      </c>
      <c r="D7" t="s">
        <v>2</v>
      </c>
      <c r="E7" t="str">
        <f>_xlfn.XLOOKUP(D7,Kategorie[Kategoria],Kategorie[Typ],"",0,1)</f>
        <v>Wydatki</v>
      </c>
      <c r="F7" s="1">
        <v>45422</v>
      </c>
      <c r="G7">
        <f t="shared" si="0"/>
        <v>5</v>
      </c>
    </row>
    <row r="8" spans="1:9" x14ac:dyDescent="0.25">
      <c r="A8">
        <v>4500</v>
      </c>
      <c r="B8" t="s">
        <v>21</v>
      </c>
      <c r="C8" t="s">
        <v>20</v>
      </c>
      <c r="D8" t="s">
        <v>11</v>
      </c>
      <c r="E8" t="str">
        <f>_xlfn.XLOOKUP(D8,Kategorie[Kategoria],Kategorie[Typ],"",0,1)</f>
        <v>Wpływy</v>
      </c>
      <c r="F8" s="1">
        <v>45422</v>
      </c>
      <c r="G8">
        <f t="shared" si="0"/>
        <v>5</v>
      </c>
    </row>
    <row r="9" spans="1:9" x14ac:dyDescent="0.25">
      <c r="A9">
        <v>-250</v>
      </c>
      <c r="B9" t="s">
        <v>21</v>
      </c>
      <c r="C9" t="s">
        <v>23</v>
      </c>
      <c r="D9" t="s">
        <v>1</v>
      </c>
      <c r="E9" t="str">
        <f>_xlfn.XLOOKUP(D9,Kategorie[Kategoria],Kategorie[Typ],"",0,1)</f>
        <v>Wydatki</v>
      </c>
      <c r="F9" s="1">
        <v>45419</v>
      </c>
      <c r="G9">
        <f t="shared" si="0"/>
        <v>5</v>
      </c>
    </row>
    <row r="10" spans="1:9" x14ac:dyDescent="0.25">
      <c r="A10">
        <v>-250</v>
      </c>
      <c r="B10" t="s">
        <v>21</v>
      </c>
      <c r="C10" t="s">
        <v>23</v>
      </c>
      <c r="D10" t="s">
        <v>1</v>
      </c>
      <c r="E10" t="str">
        <f>_xlfn.XLOOKUP(D10,Kategorie[Kategoria],Kategorie[Typ],"",0,1)</f>
        <v>Wydatki</v>
      </c>
      <c r="F10" s="1">
        <v>45426</v>
      </c>
      <c r="G10">
        <f t="shared" si="0"/>
        <v>5</v>
      </c>
    </row>
    <row r="11" spans="1:9" x14ac:dyDescent="0.25">
      <c r="A11">
        <v>-250</v>
      </c>
      <c r="B11" t="s">
        <v>21</v>
      </c>
      <c r="C11" t="s">
        <v>23</v>
      </c>
      <c r="D11" t="s">
        <v>1</v>
      </c>
      <c r="E11" t="str">
        <f>_xlfn.XLOOKUP(D11,Kategorie[Kategoria],Kategorie[Typ],"",0,1)</f>
        <v>Wydatki</v>
      </c>
      <c r="F11" s="1">
        <v>45433</v>
      </c>
      <c r="G11">
        <f t="shared" si="0"/>
        <v>5</v>
      </c>
    </row>
    <row r="12" spans="1:9" x14ac:dyDescent="0.25">
      <c r="A12">
        <v>-250</v>
      </c>
      <c r="B12" t="s">
        <v>21</v>
      </c>
      <c r="C12" t="s">
        <v>23</v>
      </c>
      <c r="D12" t="s">
        <v>1</v>
      </c>
      <c r="E12" t="str">
        <f>_xlfn.XLOOKUP(D12,Kategorie[Kategoria],Kategorie[Typ],"",0,1)</f>
        <v>Wydatki</v>
      </c>
      <c r="F12" s="1">
        <v>45440</v>
      </c>
      <c r="G12">
        <f t="shared" si="0"/>
        <v>5</v>
      </c>
    </row>
    <row r="13" spans="1:9" x14ac:dyDescent="0.25">
      <c r="A13">
        <v>-50</v>
      </c>
      <c r="B13" t="s">
        <v>22</v>
      </c>
      <c r="C13" t="s">
        <v>20</v>
      </c>
      <c r="D13" t="s">
        <v>38</v>
      </c>
      <c r="E13" t="str">
        <f>_xlfn.XLOOKUP(D13,Kategorie[Kategoria],Kategorie[Typ],"",0,1)</f>
        <v>Wydatki</v>
      </c>
      <c r="F13" s="1">
        <v>45441</v>
      </c>
      <c r="G13">
        <f t="shared" si="0"/>
        <v>5</v>
      </c>
    </row>
    <row r="14" spans="1:9" x14ac:dyDescent="0.25">
      <c r="A14">
        <v>-80</v>
      </c>
      <c r="B14" t="s">
        <v>30</v>
      </c>
      <c r="C14" t="s">
        <v>31</v>
      </c>
      <c r="D14" t="s">
        <v>6</v>
      </c>
      <c r="E14" t="str">
        <f>_xlfn.XLOOKUP(D14,Kategorie[Kategoria],Kategorie[Typ],"",0,1)</f>
        <v>Wydatki</v>
      </c>
      <c r="F14" s="1">
        <v>45442</v>
      </c>
      <c r="G14">
        <f t="shared" si="0"/>
        <v>5</v>
      </c>
    </row>
    <row r="15" spans="1:9" x14ac:dyDescent="0.25">
      <c r="A15">
        <v>-2000</v>
      </c>
      <c r="B15" t="s">
        <v>21</v>
      </c>
      <c r="C15" t="s">
        <v>20</v>
      </c>
      <c r="D15" t="s">
        <v>4</v>
      </c>
      <c r="E15" t="str">
        <f>_xlfn.XLOOKUP(D15,Kategorie[Kategoria],Kategorie[Typ],"",0,1)</f>
        <v>Wydatki</v>
      </c>
      <c r="F15" s="1">
        <v>45454</v>
      </c>
      <c r="G15">
        <f t="shared" ref="G15:G23" si="1">IF(ISBLANK(F15),"",MONTH(F15))</f>
        <v>6</v>
      </c>
    </row>
    <row r="16" spans="1:9" x14ac:dyDescent="0.25">
      <c r="A16">
        <v>-80</v>
      </c>
      <c r="B16" t="s">
        <v>21</v>
      </c>
      <c r="C16" t="s">
        <v>20</v>
      </c>
      <c r="D16" t="s">
        <v>2</v>
      </c>
      <c r="E16" t="str">
        <f>_xlfn.XLOOKUP(D16,Kategorie[Kategoria],Kategorie[Typ],"",0,1)</f>
        <v>Wydatki</v>
      </c>
      <c r="F16" s="1">
        <v>45453</v>
      </c>
      <c r="G16">
        <f t="shared" si="1"/>
        <v>6</v>
      </c>
    </row>
    <row r="17" spans="1:7" x14ac:dyDescent="0.25">
      <c r="A17">
        <v>4500</v>
      </c>
      <c r="B17" t="s">
        <v>21</v>
      </c>
      <c r="C17" t="s">
        <v>20</v>
      </c>
      <c r="D17" t="s">
        <v>11</v>
      </c>
      <c r="E17" t="str">
        <f>_xlfn.XLOOKUP(D17,Kategorie[Kategoria],Kategorie[Typ],"",0,1)</f>
        <v>Wpływy</v>
      </c>
      <c r="F17" s="1">
        <v>45453</v>
      </c>
      <c r="G17">
        <f t="shared" si="1"/>
        <v>6</v>
      </c>
    </row>
    <row r="18" spans="1:7" x14ac:dyDescent="0.25">
      <c r="A18">
        <v>-250</v>
      </c>
      <c r="B18" t="s">
        <v>21</v>
      </c>
      <c r="C18" t="s">
        <v>23</v>
      </c>
      <c r="D18" t="s">
        <v>1</v>
      </c>
      <c r="E18" t="str">
        <f>_xlfn.XLOOKUP(D18,Kategorie[Kategoria],Kategorie[Typ],"",0,1)</f>
        <v>Wydatki</v>
      </c>
      <c r="F18" s="1">
        <v>45450</v>
      </c>
      <c r="G18">
        <f t="shared" si="1"/>
        <v>6</v>
      </c>
    </row>
    <row r="19" spans="1:7" x14ac:dyDescent="0.25">
      <c r="A19">
        <v>-250</v>
      </c>
      <c r="B19" t="s">
        <v>21</v>
      </c>
      <c r="C19" t="s">
        <v>23</v>
      </c>
      <c r="D19" t="s">
        <v>1</v>
      </c>
      <c r="E19" t="str">
        <f>_xlfn.XLOOKUP(D19,Kategorie[Kategoria],Kategorie[Typ],"",0,1)</f>
        <v>Wydatki</v>
      </c>
      <c r="F19" s="1">
        <v>45457</v>
      </c>
      <c r="G19">
        <f t="shared" si="1"/>
        <v>6</v>
      </c>
    </row>
    <row r="20" spans="1:7" x14ac:dyDescent="0.25">
      <c r="A20">
        <v>-250</v>
      </c>
      <c r="B20" t="s">
        <v>21</v>
      </c>
      <c r="C20" t="s">
        <v>23</v>
      </c>
      <c r="D20" t="s">
        <v>1</v>
      </c>
      <c r="E20" t="str">
        <f>_xlfn.XLOOKUP(D20,Kategorie[Kategoria],Kategorie[Typ],"",0,1)</f>
        <v>Wydatki</v>
      </c>
      <c r="F20" s="1">
        <v>45464</v>
      </c>
      <c r="G20">
        <f t="shared" si="1"/>
        <v>6</v>
      </c>
    </row>
    <row r="21" spans="1:7" x14ac:dyDescent="0.25">
      <c r="A21">
        <v>-250</v>
      </c>
      <c r="B21" t="s">
        <v>21</v>
      </c>
      <c r="C21" t="s">
        <v>23</v>
      </c>
      <c r="D21" t="s">
        <v>1</v>
      </c>
      <c r="E21" t="str">
        <f>_xlfn.XLOOKUP(D21,Kategorie[Kategoria],Kategorie[Typ],"",0,1)</f>
        <v>Wydatki</v>
      </c>
      <c r="F21" s="1">
        <v>45471</v>
      </c>
      <c r="G21">
        <f t="shared" si="1"/>
        <v>6</v>
      </c>
    </row>
    <row r="22" spans="1:7" x14ac:dyDescent="0.25">
      <c r="A22">
        <v>-50</v>
      </c>
      <c r="B22" t="s">
        <v>22</v>
      </c>
      <c r="C22" t="s">
        <v>20</v>
      </c>
      <c r="D22" t="s">
        <v>38</v>
      </c>
      <c r="E22" t="str">
        <f>_xlfn.XLOOKUP(D22,Kategorie[Kategoria],Kategorie[Typ],"",0,1)</f>
        <v>Wydatki</v>
      </c>
      <c r="F22" s="1">
        <v>45472</v>
      </c>
      <c r="G22">
        <f t="shared" si="1"/>
        <v>6</v>
      </c>
    </row>
    <row r="23" spans="1:7" x14ac:dyDescent="0.25">
      <c r="A23">
        <v>-200</v>
      </c>
      <c r="B23" t="s">
        <v>30</v>
      </c>
      <c r="C23" t="s">
        <v>31</v>
      </c>
      <c r="D23" t="s">
        <v>6</v>
      </c>
      <c r="E23" t="str">
        <f>_xlfn.XLOOKUP(D23,Kategorie[Kategoria],Kategorie[Typ],"",0,1)</f>
        <v>Wydatki</v>
      </c>
      <c r="F23" s="1">
        <v>45473</v>
      </c>
      <c r="G23">
        <f t="shared" si="1"/>
        <v>6</v>
      </c>
    </row>
    <row r="24" spans="1:7" x14ac:dyDescent="0.25">
      <c r="A24">
        <v>-300</v>
      </c>
      <c r="B24" t="s">
        <v>21</v>
      </c>
      <c r="C24" t="s">
        <v>23</v>
      </c>
      <c r="D24" t="s">
        <v>8</v>
      </c>
      <c r="E24" t="str">
        <f>_xlfn.XLOOKUP(D24,Kategorie[Kategoria],Kategorie[Typ],"",0,1)</f>
        <v>Wydatki</v>
      </c>
      <c r="F24" s="1">
        <v>45471</v>
      </c>
      <c r="G24">
        <f t="shared" si="0"/>
        <v>6</v>
      </c>
    </row>
    <row r="25" spans="1:7" x14ac:dyDescent="0.25">
      <c r="A25">
        <v>-100</v>
      </c>
      <c r="B25" t="s">
        <v>22</v>
      </c>
      <c r="C25" t="s">
        <v>20</v>
      </c>
      <c r="D25" t="s">
        <v>7</v>
      </c>
      <c r="E25" t="str">
        <f>_xlfn.XLOOKUP(D25,Kategorie[Kategoria],Kategorie[Typ],"",0,1)</f>
        <v>Wydatki</v>
      </c>
      <c r="F25" s="1">
        <v>45458</v>
      </c>
      <c r="G25">
        <f t="shared" si="0"/>
        <v>6</v>
      </c>
    </row>
    <row r="26" spans="1:7" x14ac:dyDescent="0.25">
      <c r="A26">
        <v>400</v>
      </c>
      <c r="B26" t="s">
        <v>22</v>
      </c>
      <c r="C26" t="s">
        <v>20</v>
      </c>
      <c r="D26" t="s">
        <v>12</v>
      </c>
      <c r="E26" t="str">
        <f>_xlfn.XLOOKUP(D26,Kategorie[Kategoria],Kategorie[Typ],"",0,1)</f>
        <v>Wpływy</v>
      </c>
      <c r="F26" s="1">
        <v>45472</v>
      </c>
      <c r="G26">
        <f t="shared" si="0"/>
        <v>6</v>
      </c>
    </row>
    <row r="27" spans="1:7" x14ac:dyDescent="0.25">
      <c r="A27">
        <v>-1500</v>
      </c>
      <c r="B27" t="s">
        <v>21</v>
      </c>
      <c r="C27" t="s">
        <v>20</v>
      </c>
      <c r="D27" t="s">
        <v>1</v>
      </c>
      <c r="E27" t="s">
        <v>10</v>
      </c>
      <c r="F27" s="1">
        <v>45296</v>
      </c>
      <c r="G27">
        <f t="shared" ref="G27:G38" si="2">IF(ISBLANK(F27),"",MONTH(F27))</f>
        <v>1</v>
      </c>
    </row>
    <row r="28" spans="1:7" x14ac:dyDescent="0.25">
      <c r="A28">
        <v>250</v>
      </c>
      <c r="B28" t="s">
        <v>22</v>
      </c>
      <c r="C28" t="s">
        <v>25</v>
      </c>
      <c r="D28" t="s">
        <v>12</v>
      </c>
      <c r="E28" t="s">
        <v>18</v>
      </c>
      <c r="F28" s="1">
        <v>45308</v>
      </c>
      <c r="G28">
        <f t="shared" si="2"/>
        <v>1</v>
      </c>
    </row>
    <row r="29" spans="1:7" x14ac:dyDescent="0.25">
      <c r="A29">
        <v>4500</v>
      </c>
      <c r="B29" t="s">
        <v>21</v>
      </c>
      <c r="C29" t="s">
        <v>20</v>
      </c>
      <c r="D29" t="s">
        <v>11</v>
      </c>
      <c r="E29" t="s">
        <v>18</v>
      </c>
      <c r="F29" s="1">
        <v>45301</v>
      </c>
      <c r="G29">
        <f t="shared" si="2"/>
        <v>1</v>
      </c>
    </row>
    <row r="30" spans="1:7" x14ac:dyDescent="0.25">
      <c r="A30">
        <v>-2000</v>
      </c>
      <c r="B30" t="s">
        <v>21</v>
      </c>
      <c r="C30" t="s">
        <v>20</v>
      </c>
      <c r="D30" t="s">
        <v>4</v>
      </c>
      <c r="E30" t="s">
        <v>10</v>
      </c>
      <c r="F30" s="1">
        <v>45302</v>
      </c>
      <c r="G30">
        <f t="shared" si="2"/>
        <v>1</v>
      </c>
    </row>
    <row r="31" spans="1:7" x14ac:dyDescent="0.25">
      <c r="A31">
        <v>-45</v>
      </c>
      <c r="B31" t="s">
        <v>22</v>
      </c>
      <c r="C31" t="s">
        <v>20</v>
      </c>
      <c r="D31" t="s">
        <v>1</v>
      </c>
      <c r="E31" t="s">
        <v>10</v>
      </c>
      <c r="F31" s="1">
        <v>45305</v>
      </c>
      <c r="G31">
        <f t="shared" si="2"/>
        <v>1</v>
      </c>
    </row>
    <row r="32" spans="1:7" x14ac:dyDescent="0.25">
      <c r="A32">
        <v>-150</v>
      </c>
      <c r="B32" t="s">
        <v>21</v>
      </c>
      <c r="C32" t="s">
        <v>23</v>
      </c>
      <c r="D32" t="s">
        <v>38</v>
      </c>
      <c r="E32" t="s">
        <v>10</v>
      </c>
      <c r="F32" s="1">
        <v>45306</v>
      </c>
      <c r="G32">
        <f t="shared" si="2"/>
        <v>1</v>
      </c>
    </row>
    <row r="33" spans="1:7" x14ac:dyDescent="0.25">
      <c r="A33">
        <v>-120</v>
      </c>
      <c r="B33" t="s">
        <v>21</v>
      </c>
      <c r="C33" t="s">
        <v>20</v>
      </c>
      <c r="D33" t="s">
        <v>1</v>
      </c>
      <c r="E33" t="s">
        <v>10</v>
      </c>
      <c r="F33" s="1">
        <v>45307</v>
      </c>
      <c r="G33">
        <f t="shared" si="2"/>
        <v>1</v>
      </c>
    </row>
    <row r="34" spans="1:7" x14ac:dyDescent="0.25">
      <c r="A34">
        <v>-500</v>
      </c>
      <c r="B34" t="s">
        <v>21</v>
      </c>
      <c r="C34" t="s">
        <v>24</v>
      </c>
      <c r="D34" t="s">
        <v>9</v>
      </c>
      <c r="E34" t="s">
        <v>10</v>
      </c>
      <c r="F34" s="1">
        <v>45308</v>
      </c>
      <c r="G34">
        <f t="shared" si="2"/>
        <v>1</v>
      </c>
    </row>
    <row r="35" spans="1:7" x14ac:dyDescent="0.25">
      <c r="A35">
        <v>500</v>
      </c>
      <c r="B35" t="s">
        <v>21</v>
      </c>
      <c r="C35" t="s">
        <v>20</v>
      </c>
      <c r="D35" t="s">
        <v>17</v>
      </c>
      <c r="E35" t="s">
        <v>18</v>
      </c>
      <c r="F35" s="1">
        <v>45308</v>
      </c>
      <c r="G35">
        <f t="shared" si="2"/>
        <v>1</v>
      </c>
    </row>
    <row r="36" spans="1:7" x14ac:dyDescent="0.25">
      <c r="A36">
        <v>-25</v>
      </c>
      <c r="B36" t="s">
        <v>21</v>
      </c>
      <c r="C36" t="s">
        <v>23</v>
      </c>
      <c r="D36" t="s">
        <v>6</v>
      </c>
      <c r="E36" t="s">
        <v>10</v>
      </c>
      <c r="F36" s="1">
        <v>45310</v>
      </c>
      <c r="G36">
        <f t="shared" si="2"/>
        <v>1</v>
      </c>
    </row>
    <row r="37" spans="1:7" x14ac:dyDescent="0.25">
      <c r="A37">
        <v>-80</v>
      </c>
      <c r="B37" t="s">
        <v>21</v>
      </c>
      <c r="C37" t="s">
        <v>20</v>
      </c>
      <c r="D37" t="s">
        <v>2</v>
      </c>
      <c r="E37" t="s">
        <v>10</v>
      </c>
      <c r="F37" s="1">
        <v>45311</v>
      </c>
      <c r="G37">
        <f t="shared" si="2"/>
        <v>1</v>
      </c>
    </row>
    <row r="38" spans="1:7" x14ac:dyDescent="0.25">
      <c r="A38">
        <v>150</v>
      </c>
      <c r="B38" t="s">
        <v>22</v>
      </c>
      <c r="C38" t="s">
        <v>20</v>
      </c>
      <c r="D38" t="s">
        <v>17</v>
      </c>
      <c r="E38" t="s">
        <v>18</v>
      </c>
      <c r="F38" s="1">
        <v>45312</v>
      </c>
      <c r="G38">
        <f t="shared" si="2"/>
        <v>1</v>
      </c>
    </row>
    <row r="39" spans="1:7" x14ac:dyDescent="0.25">
      <c r="A39">
        <v>-80</v>
      </c>
      <c r="B39" t="s">
        <v>22</v>
      </c>
      <c r="C39" t="s">
        <v>20</v>
      </c>
      <c r="D39" t="s">
        <v>8</v>
      </c>
      <c r="E39" t="s">
        <v>10</v>
      </c>
      <c r="F39" s="1">
        <v>45313</v>
      </c>
      <c r="G39">
        <f t="shared" ref="G39:G40" si="3">IF(ISBLANK(F39),"",MONTH(F39))</f>
        <v>1</v>
      </c>
    </row>
    <row r="40" spans="1:7" x14ac:dyDescent="0.25">
      <c r="A40">
        <v>-60</v>
      </c>
      <c r="B40" t="s">
        <v>22</v>
      </c>
      <c r="C40" t="s">
        <v>20</v>
      </c>
      <c r="D40" t="s">
        <v>6</v>
      </c>
      <c r="E40" t="s">
        <v>10</v>
      </c>
      <c r="F40" s="1">
        <v>45314</v>
      </c>
      <c r="G40">
        <f t="shared" si="3"/>
        <v>1</v>
      </c>
    </row>
    <row r="41" spans="1:7" x14ac:dyDescent="0.25">
      <c r="A41">
        <v>-100</v>
      </c>
      <c r="B41" t="s">
        <v>21</v>
      </c>
      <c r="C41" t="s">
        <v>20</v>
      </c>
      <c r="D41" t="s">
        <v>5</v>
      </c>
      <c r="E41" t="s">
        <v>10</v>
      </c>
      <c r="F41" s="1">
        <v>45315</v>
      </c>
      <c r="G41">
        <f t="shared" ref="G41:G64" si="4">IF(ISBLANK(F41),"",MONTH(F41))</f>
        <v>1</v>
      </c>
    </row>
    <row r="42" spans="1:7" x14ac:dyDescent="0.25">
      <c r="A42">
        <v>-50</v>
      </c>
      <c r="B42" t="s">
        <v>30</v>
      </c>
      <c r="C42" t="s">
        <v>32</v>
      </c>
      <c r="D42" t="s">
        <v>1</v>
      </c>
      <c r="E42" t="s">
        <v>10</v>
      </c>
      <c r="F42" s="1">
        <v>45316</v>
      </c>
      <c r="G42">
        <f t="shared" si="4"/>
        <v>1</v>
      </c>
    </row>
    <row r="43" spans="1:7" x14ac:dyDescent="0.25">
      <c r="A43">
        <v>150</v>
      </c>
      <c r="B43" t="s">
        <v>30</v>
      </c>
      <c r="C43" t="s">
        <v>31</v>
      </c>
      <c r="D43" t="s">
        <v>17</v>
      </c>
      <c r="E43" t="s">
        <v>18</v>
      </c>
      <c r="F43" s="1">
        <v>45316</v>
      </c>
      <c r="G43">
        <f t="shared" si="4"/>
        <v>1</v>
      </c>
    </row>
    <row r="44" spans="1:7" x14ac:dyDescent="0.25">
      <c r="A44">
        <v>5.5</v>
      </c>
      <c r="B44" t="s">
        <v>22</v>
      </c>
      <c r="C44" t="s">
        <v>25</v>
      </c>
      <c r="D44" t="s">
        <v>15</v>
      </c>
      <c r="E44" t="s">
        <v>18</v>
      </c>
      <c r="F44" s="1">
        <v>45317</v>
      </c>
      <c r="G44">
        <f t="shared" si="4"/>
        <v>1</v>
      </c>
    </row>
    <row r="45" spans="1:7" x14ac:dyDescent="0.25">
      <c r="A45">
        <v>100</v>
      </c>
      <c r="B45" t="s">
        <v>21</v>
      </c>
      <c r="C45" t="s">
        <v>24</v>
      </c>
      <c r="D45" t="s">
        <v>15</v>
      </c>
      <c r="E45" t="s">
        <v>18</v>
      </c>
      <c r="F45" s="1">
        <v>45318</v>
      </c>
      <c r="G45">
        <f t="shared" si="4"/>
        <v>1</v>
      </c>
    </row>
    <row r="46" spans="1:7" x14ac:dyDescent="0.25">
      <c r="A46">
        <v>-100</v>
      </c>
      <c r="B46" t="s">
        <v>21</v>
      </c>
      <c r="C46" t="s">
        <v>20</v>
      </c>
      <c r="D46" t="s">
        <v>7</v>
      </c>
      <c r="E46" t="s">
        <v>10</v>
      </c>
      <c r="F46" s="1">
        <v>45319</v>
      </c>
      <c r="G46">
        <f t="shared" si="4"/>
        <v>1</v>
      </c>
    </row>
    <row r="47" spans="1:7" x14ac:dyDescent="0.25">
      <c r="A47">
        <v>200</v>
      </c>
      <c r="B47" t="s">
        <v>22</v>
      </c>
      <c r="C47" t="s">
        <v>20</v>
      </c>
      <c r="D47" t="s">
        <v>17</v>
      </c>
      <c r="E47" t="s">
        <v>18</v>
      </c>
      <c r="F47" s="1">
        <v>45324</v>
      </c>
      <c r="G47">
        <f t="shared" si="4"/>
        <v>2</v>
      </c>
    </row>
    <row r="48" spans="1:7" x14ac:dyDescent="0.25">
      <c r="A48">
        <v>-15</v>
      </c>
      <c r="B48" t="s">
        <v>22</v>
      </c>
      <c r="C48" t="s">
        <v>20</v>
      </c>
      <c r="D48" t="s">
        <v>9</v>
      </c>
      <c r="E48" t="s">
        <v>10</v>
      </c>
      <c r="F48" s="1">
        <v>45326</v>
      </c>
      <c r="G48">
        <f t="shared" si="4"/>
        <v>2</v>
      </c>
    </row>
    <row r="49" spans="1:7" x14ac:dyDescent="0.25">
      <c r="A49">
        <v>-5.5</v>
      </c>
      <c r="B49" t="s">
        <v>21</v>
      </c>
      <c r="C49" t="s">
        <v>20</v>
      </c>
      <c r="D49" t="s">
        <v>1</v>
      </c>
      <c r="E49" t="s">
        <v>10</v>
      </c>
      <c r="F49" s="1">
        <v>45328</v>
      </c>
      <c r="G49">
        <f t="shared" si="4"/>
        <v>2</v>
      </c>
    </row>
    <row r="50" spans="1:7" x14ac:dyDescent="0.25">
      <c r="A50">
        <v>4500</v>
      </c>
      <c r="B50" t="s">
        <v>21</v>
      </c>
      <c r="C50" t="s">
        <v>20</v>
      </c>
      <c r="D50" t="s">
        <v>11</v>
      </c>
      <c r="E50" t="s">
        <v>18</v>
      </c>
      <c r="F50" s="1">
        <v>45332</v>
      </c>
      <c r="G50">
        <f t="shared" si="4"/>
        <v>2</v>
      </c>
    </row>
    <row r="51" spans="1:7" x14ac:dyDescent="0.25">
      <c r="A51">
        <v>-2000</v>
      </c>
      <c r="B51" t="s">
        <v>21</v>
      </c>
      <c r="C51" t="s">
        <v>20</v>
      </c>
      <c r="D51" t="s">
        <v>4</v>
      </c>
      <c r="E51" t="s">
        <v>10</v>
      </c>
      <c r="F51" s="1">
        <v>45333</v>
      </c>
      <c r="G51">
        <f t="shared" si="4"/>
        <v>2</v>
      </c>
    </row>
    <row r="52" spans="1:7" x14ac:dyDescent="0.25">
      <c r="A52">
        <v>-150</v>
      </c>
      <c r="B52" t="s">
        <v>21</v>
      </c>
      <c r="C52" t="s">
        <v>20</v>
      </c>
      <c r="D52" t="s">
        <v>6</v>
      </c>
      <c r="E52" t="s">
        <v>10</v>
      </c>
      <c r="F52" s="1">
        <v>45335</v>
      </c>
      <c r="G52">
        <f t="shared" si="4"/>
        <v>2</v>
      </c>
    </row>
    <row r="53" spans="1:7" x14ac:dyDescent="0.25">
      <c r="A53">
        <v>-200</v>
      </c>
      <c r="B53" t="s">
        <v>30</v>
      </c>
      <c r="C53" t="s">
        <v>31</v>
      </c>
      <c r="D53" t="s">
        <v>9</v>
      </c>
      <c r="E53" t="s">
        <v>10</v>
      </c>
      <c r="F53" s="1">
        <v>45336</v>
      </c>
      <c r="G53">
        <f t="shared" si="4"/>
        <v>2</v>
      </c>
    </row>
    <row r="54" spans="1:7" x14ac:dyDescent="0.25">
      <c r="A54">
        <v>-500</v>
      </c>
      <c r="B54" t="s">
        <v>21</v>
      </c>
      <c r="C54" t="s">
        <v>24</v>
      </c>
      <c r="D54" t="s">
        <v>9</v>
      </c>
      <c r="E54" t="s">
        <v>10</v>
      </c>
      <c r="F54" s="1">
        <v>45336</v>
      </c>
      <c r="G54">
        <f t="shared" si="4"/>
        <v>2</v>
      </c>
    </row>
    <row r="55" spans="1:7" x14ac:dyDescent="0.25">
      <c r="A55">
        <v>500</v>
      </c>
      <c r="B55" t="s">
        <v>21</v>
      </c>
      <c r="C55" t="s">
        <v>20</v>
      </c>
      <c r="D55" t="s">
        <v>17</v>
      </c>
      <c r="E55" t="s">
        <v>18</v>
      </c>
      <c r="F55" s="1">
        <v>45336</v>
      </c>
      <c r="G55">
        <f t="shared" si="4"/>
        <v>2</v>
      </c>
    </row>
    <row r="56" spans="1:7" x14ac:dyDescent="0.25">
      <c r="A56">
        <v>-300</v>
      </c>
      <c r="B56" t="s">
        <v>21</v>
      </c>
      <c r="C56" t="s">
        <v>20</v>
      </c>
      <c r="D56" t="s">
        <v>1</v>
      </c>
      <c r="E56" t="s">
        <v>10</v>
      </c>
      <c r="F56" s="1">
        <v>45336</v>
      </c>
      <c r="G56">
        <f t="shared" si="4"/>
        <v>2</v>
      </c>
    </row>
    <row r="57" spans="1:7" x14ac:dyDescent="0.25">
      <c r="A57">
        <v>-100</v>
      </c>
      <c r="B57" t="s">
        <v>21</v>
      </c>
      <c r="C57" t="s">
        <v>20</v>
      </c>
      <c r="D57" t="s">
        <v>5</v>
      </c>
      <c r="E57" t="s">
        <v>10</v>
      </c>
      <c r="F57" s="1">
        <v>45339</v>
      </c>
      <c r="G57">
        <f t="shared" si="4"/>
        <v>2</v>
      </c>
    </row>
    <row r="58" spans="1:7" x14ac:dyDescent="0.25">
      <c r="A58">
        <v>-80</v>
      </c>
      <c r="B58" t="s">
        <v>21</v>
      </c>
      <c r="C58" t="s">
        <v>20</v>
      </c>
      <c r="D58" t="s">
        <v>2</v>
      </c>
      <c r="E58" t="s">
        <v>10</v>
      </c>
      <c r="F58" s="1">
        <v>45342</v>
      </c>
      <c r="G58">
        <f t="shared" si="4"/>
        <v>2</v>
      </c>
    </row>
    <row r="59" spans="1:7" x14ac:dyDescent="0.25">
      <c r="A59">
        <v>150</v>
      </c>
      <c r="B59" t="s">
        <v>30</v>
      </c>
      <c r="C59" t="s">
        <v>31</v>
      </c>
      <c r="D59" t="s">
        <v>17</v>
      </c>
      <c r="E59" t="s">
        <v>18</v>
      </c>
      <c r="F59" s="1">
        <v>45344</v>
      </c>
      <c r="G59">
        <f t="shared" si="4"/>
        <v>2</v>
      </c>
    </row>
    <row r="60" spans="1:7" x14ac:dyDescent="0.25">
      <c r="A60">
        <v>100</v>
      </c>
      <c r="B60" t="s">
        <v>30</v>
      </c>
      <c r="C60" t="s">
        <v>32</v>
      </c>
      <c r="D60" t="s">
        <v>17</v>
      </c>
      <c r="E60" t="s">
        <v>18</v>
      </c>
      <c r="F60" s="1">
        <v>45345</v>
      </c>
      <c r="G60">
        <f t="shared" si="4"/>
        <v>2</v>
      </c>
    </row>
    <row r="61" spans="1:7" x14ac:dyDescent="0.25">
      <c r="A61">
        <v>-200</v>
      </c>
      <c r="B61" t="s">
        <v>30</v>
      </c>
      <c r="C61" t="s">
        <v>31</v>
      </c>
      <c r="D61" t="s">
        <v>6</v>
      </c>
      <c r="E61" t="s">
        <v>10</v>
      </c>
      <c r="F61" s="1">
        <v>45346</v>
      </c>
      <c r="G61">
        <f t="shared" si="4"/>
        <v>2</v>
      </c>
    </row>
    <row r="62" spans="1:7" x14ac:dyDescent="0.25">
      <c r="A62">
        <v>1000</v>
      </c>
      <c r="B62" t="s">
        <v>30</v>
      </c>
      <c r="C62" t="s">
        <v>31</v>
      </c>
      <c r="D62" t="s">
        <v>17</v>
      </c>
      <c r="E62" t="s">
        <v>18</v>
      </c>
      <c r="F62" s="1">
        <v>45347</v>
      </c>
      <c r="G62">
        <f t="shared" si="4"/>
        <v>2</v>
      </c>
    </row>
    <row r="63" spans="1:7" x14ac:dyDescent="0.25">
      <c r="A63">
        <v>-250</v>
      </c>
      <c r="B63" t="s">
        <v>30</v>
      </c>
      <c r="C63" t="s">
        <v>31</v>
      </c>
      <c r="D63" t="s">
        <v>7</v>
      </c>
      <c r="E63" t="s">
        <v>10</v>
      </c>
      <c r="F63" s="1">
        <v>45347</v>
      </c>
      <c r="G63">
        <f t="shared" si="4"/>
        <v>2</v>
      </c>
    </row>
    <row r="64" spans="1:7" x14ac:dyDescent="0.25">
      <c r="A64">
        <v>-100</v>
      </c>
      <c r="B64" t="s">
        <v>22</v>
      </c>
      <c r="C64" t="s">
        <v>20</v>
      </c>
      <c r="D64" t="s">
        <v>1</v>
      </c>
      <c r="E64" t="s">
        <v>10</v>
      </c>
      <c r="F64" s="1">
        <v>45348</v>
      </c>
      <c r="G64">
        <f t="shared" si="4"/>
        <v>2</v>
      </c>
    </row>
    <row r="65" spans="1:7" x14ac:dyDescent="0.25">
      <c r="A65">
        <v>-50</v>
      </c>
      <c r="B65" t="s">
        <v>22</v>
      </c>
      <c r="C65" t="s">
        <v>20</v>
      </c>
      <c r="D65" t="s">
        <v>9</v>
      </c>
      <c r="E65" t="s">
        <v>10</v>
      </c>
      <c r="F65" s="1">
        <v>45348</v>
      </c>
      <c r="G65">
        <f t="shared" ref="G65:G72" si="5">IF(ISBLANK(F65),"",MONTH(F65))</f>
        <v>2</v>
      </c>
    </row>
    <row r="66" spans="1:7" x14ac:dyDescent="0.25">
      <c r="A66">
        <v>15</v>
      </c>
      <c r="B66" t="s">
        <v>22</v>
      </c>
      <c r="C66" t="s">
        <v>25</v>
      </c>
      <c r="D66" t="s">
        <v>15</v>
      </c>
      <c r="E66" t="s">
        <v>18</v>
      </c>
      <c r="F66" s="1">
        <v>45349</v>
      </c>
      <c r="G66">
        <f t="shared" si="5"/>
        <v>2</v>
      </c>
    </row>
    <row r="67" spans="1:7" x14ac:dyDescent="0.25">
      <c r="A67">
        <v>100</v>
      </c>
      <c r="B67" t="s">
        <v>21</v>
      </c>
      <c r="C67" t="s">
        <v>24</v>
      </c>
      <c r="D67" t="s">
        <v>15</v>
      </c>
      <c r="E67" t="s">
        <v>18</v>
      </c>
      <c r="F67" s="1">
        <v>45350</v>
      </c>
      <c r="G67">
        <f t="shared" si="5"/>
        <v>2</v>
      </c>
    </row>
    <row r="68" spans="1:7" x14ac:dyDescent="0.25">
      <c r="A68">
        <v>-150</v>
      </c>
      <c r="B68" t="s">
        <v>21</v>
      </c>
      <c r="C68" t="s">
        <v>20</v>
      </c>
      <c r="D68" t="s">
        <v>38</v>
      </c>
      <c r="E68" t="s">
        <v>10</v>
      </c>
      <c r="F68" s="1">
        <v>45350</v>
      </c>
      <c r="G68">
        <f t="shared" si="5"/>
        <v>2</v>
      </c>
    </row>
    <row r="69" spans="1:7" x14ac:dyDescent="0.25">
      <c r="A69">
        <v>175</v>
      </c>
      <c r="B69" t="s">
        <v>21</v>
      </c>
      <c r="C69" t="s">
        <v>23</v>
      </c>
      <c r="D69" t="s">
        <v>39</v>
      </c>
      <c r="E69" t="str">
        <f>_xlfn.XLOOKUP(D69,Kategorie[Kategoria],Kategorie[Typ],"",0,1)</f>
        <v>Transakcja</v>
      </c>
      <c r="F69" s="1">
        <v>45337</v>
      </c>
      <c r="G69">
        <f t="shared" si="5"/>
        <v>2</v>
      </c>
    </row>
    <row r="70" spans="1:7" x14ac:dyDescent="0.25">
      <c r="A70">
        <v>-175</v>
      </c>
      <c r="B70" t="s">
        <v>21</v>
      </c>
      <c r="C70" t="s">
        <v>20</v>
      </c>
      <c r="D70" t="s">
        <v>39</v>
      </c>
      <c r="E70" t="str">
        <f>_xlfn.XLOOKUP(D70,Kategorie[Kategoria],Kategorie[Typ],"",0,1)</f>
        <v>Transakcja</v>
      </c>
      <c r="F70" s="1">
        <v>45337</v>
      </c>
      <c r="G70">
        <f t="shared" si="5"/>
        <v>2</v>
      </c>
    </row>
    <row r="71" spans="1:7" x14ac:dyDescent="0.25">
      <c r="A71">
        <v>-25</v>
      </c>
      <c r="B71" t="s">
        <v>21</v>
      </c>
      <c r="C71" t="s">
        <v>23</v>
      </c>
      <c r="D71" t="s">
        <v>1</v>
      </c>
      <c r="E71" t="s">
        <v>10</v>
      </c>
      <c r="F71" s="1">
        <v>45352</v>
      </c>
      <c r="G71">
        <f t="shared" si="5"/>
        <v>3</v>
      </c>
    </row>
    <row r="72" spans="1:7" x14ac:dyDescent="0.25">
      <c r="A72">
        <v>-135.5</v>
      </c>
      <c r="B72" t="s">
        <v>21</v>
      </c>
      <c r="C72" t="s">
        <v>20</v>
      </c>
      <c r="D72" t="s">
        <v>1</v>
      </c>
      <c r="E72" t="s">
        <v>10</v>
      </c>
      <c r="F72" s="1">
        <v>45353</v>
      </c>
      <c r="G72">
        <f t="shared" si="5"/>
        <v>3</v>
      </c>
    </row>
    <row r="73" spans="1:7" x14ac:dyDescent="0.25">
      <c r="A73">
        <v>-82.5</v>
      </c>
      <c r="B73" t="s">
        <v>22</v>
      </c>
      <c r="C73" t="s">
        <v>20</v>
      </c>
      <c r="D73" t="s">
        <v>2</v>
      </c>
      <c r="E73" t="s">
        <v>10</v>
      </c>
      <c r="F73" s="1">
        <v>45353</v>
      </c>
      <c r="G73">
        <f t="shared" ref="G73:G87" si="6">IF(ISBLANK(F73),"",MONTH(F73))</f>
        <v>3</v>
      </c>
    </row>
    <row r="74" spans="1:7" x14ac:dyDescent="0.25">
      <c r="A74">
        <v>-200</v>
      </c>
      <c r="B74" t="s">
        <v>21</v>
      </c>
      <c r="C74" t="s">
        <v>20</v>
      </c>
      <c r="D74" t="s">
        <v>6</v>
      </c>
      <c r="E74" t="s">
        <v>10</v>
      </c>
      <c r="F74" s="1">
        <v>45355</v>
      </c>
      <c r="G74">
        <f t="shared" si="6"/>
        <v>3</v>
      </c>
    </row>
    <row r="75" spans="1:7" x14ac:dyDescent="0.25">
      <c r="A75">
        <v>150</v>
      </c>
      <c r="B75" t="s">
        <v>22</v>
      </c>
      <c r="C75" t="s">
        <v>20</v>
      </c>
      <c r="D75" t="s">
        <v>15</v>
      </c>
      <c r="E75" t="s">
        <v>18</v>
      </c>
      <c r="F75" s="1">
        <v>45357</v>
      </c>
      <c r="G75">
        <f t="shared" si="6"/>
        <v>3</v>
      </c>
    </row>
    <row r="76" spans="1:7" x14ac:dyDescent="0.25">
      <c r="A76">
        <v>-24.49</v>
      </c>
      <c r="B76" t="s">
        <v>30</v>
      </c>
      <c r="C76" t="s">
        <v>32</v>
      </c>
      <c r="D76" t="s">
        <v>1</v>
      </c>
      <c r="E76" t="s">
        <v>10</v>
      </c>
      <c r="F76" s="1">
        <v>45359</v>
      </c>
      <c r="G76">
        <f t="shared" si="6"/>
        <v>3</v>
      </c>
    </row>
    <row r="77" spans="1:7" x14ac:dyDescent="0.25">
      <c r="A77">
        <v>4500</v>
      </c>
      <c r="B77" t="s">
        <v>21</v>
      </c>
      <c r="C77" t="s">
        <v>20</v>
      </c>
      <c r="D77" t="s">
        <v>11</v>
      </c>
      <c r="E77" t="s">
        <v>18</v>
      </c>
      <c r="F77" s="1">
        <v>45361</v>
      </c>
      <c r="G77">
        <f t="shared" si="6"/>
        <v>3</v>
      </c>
    </row>
    <row r="78" spans="1:7" x14ac:dyDescent="0.25">
      <c r="A78">
        <v>-2000</v>
      </c>
      <c r="B78" t="s">
        <v>21</v>
      </c>
      <c r="C78" t="s">
        <v>20</v>
      </c>
      <c r="D78" t="s">
        <v>4</v>
      </c>
      <c r="E78" t="s">
        <v>10</v>
      </c>
      <c r="F78" s="1">
        <v>45362</v>
      </c>
      <c r="G78">
        <f t="shared" si="6"/>
        <v>3</v>
      </c>
    </row>
    <row r="79" spans="1:7" x14ac:dyDescent="0.25">
      <c r="A79">
        <v>-200</v>
      </c>
      <c r="B79" t="s">
        <v>21</v>
      </c>
      <c r="C79" t="s">
        <v>20</v>
      </c>
      <c r="D79" t="s">
        <v>1</v>
      </c>
      <c r="E79" t="s">
        <v>10</v>
      </c>
      <c r="F79" s="1">
        <v>45363</v>
      </c>
      <c r="G79">
        <f t="shared" si="6"/>
        <v>3</v>
      </c>
    </row>
    <row r="80" spans="1:7" x14ac:dyDescent="0.25">
      <c r="A80">
        <v>-469.9</v>
      </c>
      <c r="B80" t="s">
        <v>21</v>
      </c>
      <c r="C80" t="s">
        <v>20</v>
      </c>
      <c r="D80" t="s">
        <v>8</v>
      </c>
      <c r="E80" t="s">
        <v>10</v>
      </c>
      <c r="F80" s="1">
        <v>45364</v>
      </c>
      <c r="G80">
        <f t="shared" si="6"/>
        <v>3</v>
      </c>
    </row>
    <row r="81" spans="1:7" x14ac:dyDescent="0.25">
      <c r="A81">
        <v>-9.5</v>
      </c>
      <c r="B81" t="s">
        <v>30</v>
      </c>
      <c r="C81" t="s">
        <v>31</v>
      </c>
      <c r="D81" t="s">
        <v>7</v>
      </c>
      <c r="E81" t="s">
        <v>10</v>
      </c>
      <c r="F81" s="1">
        <v>45368</v>
      </c>
      <c r="G81">
        <f t="shared" si="6"/>
        <v>3</v>
      </c>
    </row>
    <row r="82" spans="1:7" x14ac:dyDescent="0.25">
      <c r="A82">
        <v>-23</v>
      </c>
      <c r="B82" t="s">
        <v>21</v>
      </c>
      <c r="C82" t="s">
        <v>20</v>
      </c>
      <c r="D82" t="s">
        <v>38</v>
      </c>
      <c r="E82" t="s">
        <v>10</v>
      </c>
      <c r="F82" s="1">
        <v>45371</v>
      </c>
      <c r="G82">
        <f t="shared" si="6"/>
        <v>3</v>
      </c>
    </row>
    <row r="83" spans="1:7" x14ac:dyDescent="0.25">
      <c r="A83">
        <v>-150</v>
      </c>
      <c r="B83" t="s">
        <v>21</v>
      </c>
      <c r="C83" t="s">
        <v>20</v>
      </c>
      <c r="D83" t="s">
        <v>1</v>
      </c>
      <c r="E83" t="s">
        <v>10</v>
      </c>
      <c r="F83" s="1">
        <v>45373</v>
      </c>
      <c r="G83">
        <f t="shared" si="6"/>
        <v>3</v>
      </c>
    </row>
    <row r="84" spans="1:7" x14ac:dyDescent="0.25">
      <c r="A84">
        <v>-300</v>
      </c>
      <c r="B84" t="s">
        <v>21</v>
      </c>
      <c r="C84" t="s">
        <v>20</v>
      </c>
      <c r="D84" t="s">
        <v>9</v>
      </c>
      <c r="E84" t="s">
        <v>10</v>
      </c>
      <c r="F84" s="1">
        <v>45375</v>
      </c>
      <c r="G84">
        <f t="shared" si="6"/>
        <v>3</v>
      </c>
    </row>
    <row r="85" spans="1:7" x14ac:dyDescent="0.25">
      <c r="A85">
        <v>5</v>
      </c>
      <c r="B85" t="s">
        <v>22</v>
      </c>
      <c r="C85" t="s">
        <v>25</v>
      </c>
      <c r="D85" t="s">
        <v>14</v>
      </c>
      <c r="E85" t="s">
        <v>18</v>
      </c>
      <c r="F85" s="1">
        <v>45377</v>
      </c>
      <c r="G85">
        <f t="shared" si="6"/>
        <v>3</v>
      </c>
    </row>
    <row r="86" spans="1:7" x14ac:dyDescent="0.25">
      <c r="A86">
        <v>-79.5</v>
      </c>
      <c r="B86" t="s">
        <v>21</v>
      </c>
      <c r="C86" t="s">
        <v>23</v>
      </c>
      <c r="D86" t="s">
        <v>5</v>
      </c>
      <c r="E86" t="s">
        <v>10</v>
      </c>
      <c r="F86" s="1">
        <v>45379</v>
      </c>
      <c r="G86">
        <f t="shared" si="6"/>
        <v>3</v>
      </c>
    </row>
    <row r="87" spans="1:7" x14ac:dyDescent="0.25">
      <c r="A87">
        <v>-200</v>
      </c>
      <c r="B87" t="s">
        <v>21</v>
      </c>
      <c r="C87" t="s">
        <v>20</v>
      </c>
      <c r="D87" t="s">
        <v>1</v>
      </c>
      <c r="E87" t="s">
        <v>10</v>
      </c>
      <c r="F87" s="1">
        <v>45381</v>
      </c>
      <c r="G87">
        <f t="shared" si="6"/>
        <v>3</v>
      </c>
    </row>
    <row r="88" spans="1:7" x14ac:dyDescent="0.25">
      <c r="A88">
        <v>-23.5</v>
      </c>
      <c r="B88" t="s">
        <v>21</v>
      </c>
      <c r="C88" t="s">
        <v>23</v>
      </c>
      <c r="D88" t="s">
        <v>7</v>
      </c>
      <c r="E88" t="s">
        <v>10</v>
      </c>
      <c r="F88" s="1">
        <v>45383</v>
      </c>
      <c r="G88">
        <f t="shared" ref="G88:G94" si="7">IF(ISBLANK(F88),"",MONTH(F88))</f>
        <v>4</v>
      </c>
    </row>
    <row r="89" spans="1:7" x14ac:dyDescent="0.25">
      <c r="A89">
        <v>-82.5</v>
      </c>
      <c r="B89" t="s">
        <v>21</v>
      </c>
      <c r="C89" t="s">
        <v>20</v>
      </c>
      <c r="D89" t="s">
        <v>2</v>
      </c>
      <c r="E89" t="s">
        <v>10</v>
      </c>
      <c r="F89" s="1">
        <v>45384</v>
      </c>
      <c r="G89">
        <f t="shared" si="7"/>
        <v>4</v>
      </c>
    </row>
    <row r="90" spans="1:7" x14ac:dyDescent="0.25">
      <c r="A90">
        <v>150</v>
      </c>
      <c r="B90" t="s">
        <v>22</v>
      </c>
      <c r="C90" t="s">
        <v>20</v>
      </c>
      <c r="D90" t="s">
        <v>15</v>
      </c>
      <c r="E90" t="s">
        <v>10</v>
      </c>
      <c r="F90" s="1">
        <v>45388</v>
      </c>
      <c r="G90">
        <f t="shared" si="7"/>
        <v>4</v>
      </c>
    </row>
    <row r="91" spans="1:7" x14ac:dyDescent="0.25">
      <c r="A91">
        <v>-99.97</v>
      </c>
      <c r="B91" t="s">
        <v>21</v>
      </c>
      <c r="C91" t="s">
        <v>20</v>
      </c>
      <c r="D91" t="s">
        <v>1</v>
      </c>
      <c r="E91" t="s">
        <v>10</v>
      </c>
      <c r="F91" s="1">
        <v>45389</v>
      </c>
      <c r="G91">
        <f t="shared" si="7"/>
        <v>4</v>
      </c>
    </row>
    <row r="92" spans="1:7" x14ac:dyDescent="0.25">
      <c r="A92">
        <v>4500</v>
      </c>
      <c r="B92" t="s">
        <v>21</v>
      </c>
      <c r="C92" t="s">
        <v>20</v>
      </c>
      <c r="D92" t="s">
        <v>11</v>
      </c>
      <c r="E92" t="s">
        <v>18</v>
      </c>
      <c r="F92" s="1">
        <v>45392</v>
      </c>
      <c r="G92">
        <f t="shared" si="7"/>
        <v>4</v>
      </c>
    </row>
    <row r="93" spans="1:7" x14ac:dyDescent="0.25">
      <c r="A93">
        <v>-2000</v>
      </c>
      <c r="B93" t="s">
        <v>21</v>
      </c>
      <c r="C93" t="s">
        <v>20</v>
      </c>
      <c r="D93" t="s">
        <v>4</v>
      </c>
      <c r="E93" t="s">
        <v>10</v>
      </c>
      <c r="F93" s="1">
        <v>45393</v>
      </c>
      <c r="G93">
        <f t="shared" si="7"/>
        <v>4</v>
      </c>
    </row>
    <row r="94" spans="1:7" x14ac:dyDescent="0.25">
      <c r="A94">
        <v>-149</v>
      </c>
      <c r="B94" t="s">
        <v>21</v>
      </c>
      <c r="C94" t="s">
        <v>20</v>
      </c>
      <c r="D94" t="s">
        <v>8</v>
      </c>
      <c r="E94" t="s">
        <v>10</v>
      </c>
      <c r="F94" s="1">
        <v>45395</v>
      </c>
      <c r="G94">
        <f t="shared" si="7"/>
        <v>4</v>
      </c>
    </row>
    <row r="95" spans="1:7" x14ac:dyDescent="0.25">
      <c r="A95">
        <v>-49</v>
      </c>
      <c r="B95" t="s">
        <v>22</v>
      </c>
      <c r="C95" t="s">
        <v>20</v>
      </c>
      <c r="D95" t="s">
        <v>38</v>
      </c>
      <c r="E95" t="str">
        <f>_xlfn.XLOOKUP(D95,Kategorie[Kategoria],Kategorie[Typ],"",0,1)</f>
        <v>Wydatki</v>
      </c>
      <c r="F95" s="1">
        <v>45397</v>
      </c>
      <c r="G95">
        <f t="shared" ref="G95:G114" si="8">IF(ISBLANK(F95),"",MONTH(F95))</f>
        <v>4</v>
      </c>
    </row>
    <row r="96" spans="1:7" x14ac:dyDescent="0.25">
      <c r="A96">
        <v>-9.99</v>
      </c>
      <c r="B96" t="s">
        <v>21</v>
      </c>
      <c r="C96" t="s">
        <v>23</v>
      </c>
      <c r="D96" t="s">
        <v>1</v>
      </c>
      <c r="E96" t="s">
        <v>10</v>
      </c>
      <c r="F96" s="1">
        <v>45398</v>
      </c>
      <c r="G96">
        <f t="shared" si="8"/>
        <v>4</v>
      </c>
    </row>
    <row r="97" spans="1:7" x14ac:dyDescent="0.25">
      <c r="A97">
        <v>-100</v>
      </c>
      <c r="B97" t="s">
        <v>21</v>
      </c>
      <c r="C97" t="s">
        <v>20</v>
      </c>
      <c r="D97" t="s">
        <v>9</v>
      </c>
      <c r="E97" t="s">
        <v>10</v>
      </c>
      <c r="F97" s="1">
        <v>45399</v>
      </c>
      <c r="G97">
        <f t="shared" si="8"/>
        <v>4</v>
      </c>
    </row>
    <row r="98" spans="1:7" x14ac:dyDescent="0.25">
      <c r="A98">
        <v>-57.9</v>
      </c>
      <c r="B98" t="s">
        <v>21</v>
      </c>
      <c r="C98" t="s">
        <v>23</v>
      </c>
      <c r="D98" t="s">
        <v>6</v>
      </c>
      <c r="E98" t="s">
        <v>10</v>
      </c>
      <c r="F98" s="1">
        <v>45401</v>
      </c>
      <c r="G98">
        <f t="shared" si="8"/>
        <v>4</v>
      </c>
    </row>
    <row r="99" spans="1:7" x14ac:dyDescent="0.25">
      <c r="A99">
        <v>-159.9</v>
      </c>
      <c r="B99" t="s">
        <v>21</v>
      </c>
      <c r="C99" t="s">
        <v>20</v>
      </c>
      <c r="D99" t="s">
        <v>1</v>
      </c>
      <c r="E99" t="s">
        <v>10</v>
      </c>
      <c r="F99" s="1">
        <v>45403</v>
      </c>
      <c r="G99">
        <f t="shared" si="8"/>
        <v>4</v>
      </c>
    </row>
    <row r="100" spans="1:7" x14ac:dyDescent="0.25">
      <c r="A100">
        <v>-1000</v>
      </c>
      <c r="B100" t="s">
        <v>21</v>
      </c>
      <c r="C100" t="s">
        <v>20</v>
      </c>
      <c r="D100" t="s">
        <v>6</v>
      </c>
      <c r="E100" t="s">
        <v>10</v>
      </c>
      <c r="F100" s="1">
        <v>45405</v>
      </c>
      <c r="G100">
        <f t="shared" si="8"/>
        <v>4</v>
      </c>
    </row>
    <row r="101" spans="1:7" x14ac:dyDescent="0.25">
      <c r="A101">
        <v>50</v>
      </c>
      <c r="B101" t="s">
        <v>22</v>
      </c>
      <c r="C101" t="s">
        <v>25</v>
      </c>
      <c r="D101" t="s">
        <v>14</v>
      </c>
      <c r="E101" t="s">
        <v>18</v>
      </c>
      <c r="F101" s="1">
        <v>45407</v>
      </c>
      <c r="G101">
        <f t="shared" si="8"/>
        <v>4</v>
      </c>
    </row>
    <row r="102" spans="1:7" x14ac:dyDescent="0.25">
      <c r="A102">
        <v>-69.900000000000006</v>
      </c>
      <c r="B102" t="s">
        <v>21</v>
      </c>
      <c r="C102" t="s">
        <v>20</v>
      </c>
      <c r="D102" t="s">
        <v>1</v>
      </c>
      <c r="E102" t="s">
        <v>10</v>
      </c>
      <c r="F102" s="1">
        <v>45409</v>
      </c>
      <c r="G102">
        <f t="shared" si="8"/>
        <v>4</v>
      </c>
    </row>
    <row r="103" spans="1:7" x14ac:dyDescent="0.25">
      <c r="A103">
        <v>-32.5</v>
      </c>
      <c r="B103" t="s">
        <v>21</v>
      </c>
      <c r="C103" t="s">
        <v>20</v>
      </c>
      <c r="D103" t="s">
        <v>1</v>
      </c>
      <c r="E103" t="s">
        <v>10</v>
      </c>
      <c r="F103" s="1">
        <v>45410</v>
      </c>
      <c r="G103">
        <f t="shared" si="8"/>
        <v>4</v>
      </c>
    </row>
    <row r="104" spans="1:7" x14ac:dyDescent="0.25">
      <c r="A104">
        <v>-139</v>
      </c>
      <c r="B104" t="s">
        <v>21</v>
      </c>
      <c r="C104" t="s">
        <v>20</v>
      </c>
      <c r="D104" t="s">
        <v>5</v>
      </c>
      <c r="E104" t="s">
        <v>10</v>
      </c>
      <c r="F104" s="1">
        <v>45411</v>
      </c>
      <c r="G104">
        <f t="shared" si="8"/>
        <v>4</v>
      </c>
    </row>
    <row r="105" spans="1:7" x14ac:dyDescent="0.25">
      <c r="A105">
        <v>104.5</v>
      </c>
      <c r="B105" t="s">
        <v>21</v>
      </c>
      <c r="C105" t="s">
        <v>23</v>
      </c>
      <c r="D105" t="s">
        <v>39</v>
      </c>
      <c r="E105" t="str">
        <f>_xlfn.XLOOKUP(D105,Kategorie[Kategoria],Kategorie[Typ],"",0,1)</f>
        <v>Transakcja</v>
      </c>
      <c r="F105" s="1">
        <v>45397</v>
      </c>
      <c r="G105">
        <f t="shared" si="8"/>
        <v>4</v>
      </c>
    </row>
    <row r="106" spans="1:7" x14ac:dyDescent="0.25">
      <c r="A106">
        <v>-104.5</v>
      </c>
      <c r="B106" t="s">
        <v>21</v>
      </c>
      <c r="C106" t="s">
        <v>20</v>
      </c>
      <c r="D106" t="s">
        <v>39</v>
      </c>
      <c r="E106" t="str">
        <f>_xlfn.XLOOKUP(D106,Kategorie[Kategoria],Kategorie[Typ],"",0,1)</f>
        <v>Transakcja</v>
      </c>
      <c r="F106" s="1">
        <v>45397</v>
      </c>
      <c r="G106">
        <f t="shared" si="8"/>
        <v>4</v>
      </c>
    </row>
    <row r="107" spans="1:7" x14ac:dyDescent="0.25">
      <c r="A107">
        <v>91.39</v>
      </c>
      <c r="B107" t="s">
        <v>21</v>
      </c>
      <c r="C107" t="s">
        <v>23</v>
      </c>
      <c r="D107" t="s">
        <v>39</v>
      </c>
      <c r="E107" t="str">
        <f>_xlfn.XLOOKUP(D107,Kategorie[Kategoria],Kategorie[Typ],"",0,1)</f>
        <v>Transakcja</v>
      </c>
      <c r="F107" s="1">
        <v>45427</v>
      </c>
      <c r="G107">
        <f t="shared" si="8"/>
        <v>5</v>
      </c>
    </row>
    <row r="108" spans="1:7" x14ac:dyDescent="0.25">
      <c r="A108">
        <v>-91.39</v>
      </c>
      <c r="B108" t="s">
        <v>21</v>
      </c>
      <c r="C108" t="s">
        <v>20</v>
      </c>
      <c r="D108" t="s">
        <v>39</v>
      </c>
      <c r="E108" t="str">
        <f>_xlfn.XLOOKUP(D108,Kategorie[Kategoria],Kategorie[Typ],"",0,1)</f>
        <v>Transakcja</v>
      </c>
      <c r="F108" s="1">
        <v>45427</v>
      </c>
      <c r="G108">
        <f t="shared" si="8"/>
        <v>5</v>
      </c>
    </row>
    <row r="109" spans="1:7" x14ac:dyDescent="0.25">
      <c r="A109">
        <v>1000</v>
      </c>
      <c r="B109" t="s">
        <v>21</v>
      </c>
      <c r="C109" t="s">
        <v>23</v>
      </c>
      <c r="D109" t="s">
        <v>39</v>
      </c>
      <c r="E109" t="str">
        <f>_xlfn.XLOOKUP(D109,Kategorie[Kategoria],Kategorie[Typ],"",0,1)</f>
        <v>Transakcja</v>
      </c>
      <c r="F109" s="1">
        <v>45458</v>
      </c>
      <c r="G109">
        <f t="shared" si="8"/>
        <v>6</v>
      </c>
    </row>
    <row r="110" spans="1:7" x14ac:dyDescent="0.25">
      <c r="A110">
        <v>-1000</v>
      </c>
      <c r="B110" t="s">
        <v>21</v>
      </c>
      <c r="C110" t="s">
        <v>20</v>
      </c>
      <c r="D110" t="s">
        <v>39</v>
      </c>
      <c r="E110" t="str">
        <f>_xlfn.XLOOKUP(D110,Kategorie[Kategoria],Kategorie[Typ],"",0,1)</f>
        <v>Transakcja</v>
      </c>
      <c r="F110" s="1">
        <v>45458</v>
      </c>
      <c r="G110">
        <f t="shared" si="8"/>
        <v>6</v>
      </c>
    </row>
    <row r="111" spans="1:7" x14ac:dyDescent="0.25">
      <c r="A111">
        <v>-30</v>
      </c>
      <c r="B111" t="s">
        <v>30</v>
      </c>
      <c r="C111" t="s">
        <v>32</v>
      </c>
      <c r="D111" t="s">
        <v>1</v>
      </c>
      <c r="E111" t="s">
        <v>10</v>
      </c>
      <c r="F111" s="1">
        <v>45476</v>
      </c>
      <c r="G111">
        <f t="shared" si="8"/>
        <v>7</v>
      </c>
    </row>
    <row r="112" spans="1:7" x14ac:dyDescent="0.25">
      <c r="A112">
        <v>-100</v>
      </c>
      <c r="B112" t="s">
        <v>21</v>
      </c>
      <c r="C112" t="s">
        <v>20</v>
      </c>
      <c r="D112" t="s">
        <v>6</v>
      </c>
      <c r="E112" t="s">
        <v>10</v>
      </c>
      <c r="F112" s="1">
        <v>45480</v>
      </c>
      <c r="G112">
        <f t="shared" si="8"/>
        <v>7</v>
      </c>
    </row>
    <row r="113" spans="1:7" x14ac:dyDescent="0.25">
      <c r="A113">
        <v>4500</v>
      </c>
      <c r="B113" t="s">
        <v>21</v>
      </c>
      <c r="C113" t="s">
        <v>20</v>
      </c>
      <c r="D113" t="s">
        <v>11</v>
      </c>
      <c r="E113" t="s">
        <v>18</v>
      </c>
      <c r="F113" s="1">
        <v>45483</v>
      </c>
      <c r="G113">
        <f t="shared" si="8"/>
        <v>7</v>
      </c>
    </row>
    <row r="114" spans="1:7" x14ac:dyDescent="0.25">
      <c r="A114">
        <v>-2000</v>
      </c>
      <c r="B114" t="s">
        <v>21</v>
      </c>
      <c r="C114" t="s">
        <v>20</v>
      </c>
      <c r="D114" t="s">
        <v>4</v>
      </c>
      <c r="E114" t="s">
        <v>10</v>
      </c>
      <c r="F114" s="1">
        <v>45484</v>
      </c>
      <c r="G114">
        <f t="shared" si="8"/>
        <v>7</v>
      </c>
    </row>
    <row r="115" spans="1:7" x14ac:dyDescent="0.25">
      <c r="A115">
        <v>-40</v>
      </c>
      <c r="B115" t="s">
        <v>21</v>
      </c>
      <c r="C115" t="s">
        <v>23</v>
      </c>
      <c r="D115" t="s">
        <v>1</v>
      </c>
      <c r="E115" t="s">
        <v>10</v>
      </c>
      <c r="F115" s="1">
        <v>45487</v>
      </c>
      <c r="G115">
        <f t="shared" ref="G115:G116" si="9">IF(ISBLANK(F115),"",MONTH(F115))</f>
        <v>7</v>
      </c>
    </row>
    <row r="116" spans="1:7" x14ac:dyDescent="0.25">
      <c r="A116">
        <v>-300</v>
      </c>
      <c r="B116" t="s">
        <v>21</v>
      </c>
      <c r="C116" t="s">
        <v>24</v>
      </c>
      <c r="D116" t="s">
        <v>7</v>
      </c>
      <c r="E116" t="s">
        <v>10</v>
      </c>
      <c r="F116" s="1">
        <v>45489</v>
      </c>
      <c r="G116">
        <f t="shared" si="9"/>
        <v>7</v>
      </c>
    </row>
    <row r="117" spans="1:7" x14ac:dyDescent="0.25">
      <c r="A117">
        <v>800</v>
      </c>
      <c r="B117" t="s">
        <v>22</v>
      </c>
      <c r="C117" t="s">
        <v>25</v>
      </c>
      <c r="D117" t="s">
        <v>14</v>
      </c>
      <c r="E117" t="s">
        <v>18</v>
      </c>
      <c r="F117" s="1">
        <v>45491</v>
      </c>
      <c r="G117">
        <f t="shared" ref="G117:G140" si="10">IF(ISBLANK(F117),"",MONTH(F117))</f>
        <v>7</v>
      </c>
    </row>
    <row r="118" spans="1:7" x14ac:dyDescent="0.25">
      <c r="A118">
        <v>-600</v>
      </c>
      <c r="B118" t="s">
        <v>22</v>
      </c>
      <c r="C118" t="s">
        <v>20</v>
      </c>
      <c r="D118" t="s">
        <v>6</v>
      </c>
      <c r="E118" t="s">
        <v>10</v>
      </c>
      <c r="F118" s="1">
        <v>45494</v>
      </c>
      <c r="G118">
        <f t="shared" si="10"/>
        <v>7</v>
      </c>
    </row>
    <row r="119" spans="1:7" x14ac:dyDescent="0.25">
      <c r="A119">
        <v>120</v>
      </c>
      <c r="B119" t="s">
        <v>21</v>
      </c>
      <c r="C119" t="s">
        <v>24</v>
      </c>
      <c r="D119" t="s">
        <v>15</v>
      </c>
      <c r="E119" t="s">
        <v>18</v>
      </c>
      <c r="F119" s="1">
        <v>45495</v>
      </c>
      <c r="G119">
        <f t="shared" si="10"/>
        <v>7</v>
      </c>
    </row>
    <row r="120" spans="1:7" x14ac:dyDescent="0.25">
      <c r="A120">
        <v>-90</v>
      </c>
      <c r="B120" t="s">
        <v>21</v>
      </c>
      <c r="C120" t="s">
        <v>20</v>
      </c>
      <c r="D120" t="s">
        <v>2</v>
      </c>
      <c r="E120" t="s">
        <v>10</v>
      </c>
      <c r="F120" s="1">
        <v>45497</v>
      </c>
      <c r="G120">
        <f t="shared" si="10"/>
        <v>7</v>
      </c>
    </row>
    <row r="121" spans="1:7" x14ac:dyDescent="0.25">
      <c r="A121">
        <v>-50</v>
      </c>
      <c r="B121" t="s">
        <v>21</v>
      </c>
      <c r="C121" t="s">
        <v>23</v>
      </c>
      <c r="D121" t="s">
        <v>1</v>
      </c>
      <c r="E121" t="s">
        <v>10</v>
      </c>
      <c r="F121" s="1">
        <v>45499</v>
      </c>
      <c r="G121">
        <f t="shared" si="10"/>
        <v>7</v>
      </c>
    </row>
    <row r="122" spans="1:7" x14ac:dyDescent="0.25">
      <c r="A122">
        <v>250</v>
      </c>
      <c r="B122" t="s">
        <v>22</v>
      </c>
      <c r="C122" t="s">
        <v>25</v>
      </c>
      <c r="D122" t="s">
        <v>8</v>
      </c>
      <c r="E122" t="s">
        <v>10</v>
      </c>
      <c r="F122" s="1">
        <v>45502</v>
      </c>
      <c r="G122">
        <f t="shared" si="10"/>
        <v>7</v>
      </c>
    </row>
    <row r="123" spans="1:7" x14ac:dyDescent="0.25">
      <c r="A123">
        <v>500</v>
      </c>
      <c r="B123" t="s">
        <v>22</v>
      </c>
      <c r="C123" t="s">
        <v>20</v>
      </c>
      <c r="D123" t="s">
        <v>16</v>
      </c>
      <c r="E123" t="s">
        <v>18</v>
      </c>
      <c r="F123" s="1">
        <v>45503</v>
      </c>
      <c r="G123">
        <f t="shared" si="10"/>
        <v>7</v>
      </c>
    </row>
    <row r="124" spans="1:7" x14ac:dyDescent="0.25">
      <c r="A124">
        <v>-45</v>
      </c>
      <c r="B124" t="s">
        <v>21</v>
      </c>
      <c r="C124" t="s">
        <v>23</v>
      </c>
      <c r="D124" t="s">
        <v>1</v>
      </c>
      <c r="E124" t="s">
        <v>10</v>
      </c>
      <c r="F124" s="1">
        <v>45504</v>
      </c>
      <c r="G124">
        <f t="shared" si="10"/>
        <v>7</v>
      </c>
    </row>
    <row r="125" spans="1:7" x14ac:dyDescent="0.25">
      <c r="A125">
        <v>-1200</v>
      </c>
      <c r="B125" t="s">
        <v>21</v>
      </c>
      <c r="C125" t="s">
        <v>24</v>
      </c>
      <c r="D125" t="s">
        <v>9</v>
      </c>
      <c r="E125" t="s">
        <v>10</v>
      </c>
      <c r="F125" s="1">
        <v>45505</v>
      </c>
      <c r="G125">
        <f t="shared" si="10"/>
        <v>8</v>
      </c>
    </row>
    <row r="126" spans="1:7" x14ac:dyDescent="0.25">
      <c r="A126">
        <v>-600</v>
      </c>
      <c r="B126" t="s">
        <v>21</v>
      </c>
      <c r="C126" t="s">
        <v>20</v>
      </c>
      <c r="D126" t="s">
        <v>1</v>
      </c>
      <c r="E126" t="s">
        <v>10</v>
      </c>
      <c r="F126" s="1">
        <v>45505</v>
      </c>
      <c r="G126">
        <f t="shared" si="10"/>
        <v>8</v>
      </c>
    </row>
    <row r="127" spans="1:7" x14ac:dyDescent="0.25">
      <c r="A127">
        <v>-200</v>
      </c>
      <c r="B127" t="s">
        <v>22</v>
      </c>
      <c r="C127" t="s">
        <v>20</v>
      </c>
      <c r="D127" t="s">
        <v>2</v>
      </c>
      <c r="E127" t="s">
        <v>10</v>
      </c>
      <c r="F127" s="1">
        <v>45505</v>
      </c>
      <c r="G127">
        <f t="shared" si="10"/>
        <v>8</v>
      </c>
    </row>
    <row r="128" spans="1:7" x14ac:dyDescent="0.25">
      <c r="A128">
        <v>-70</v>
      </c>
      <c r="B128" t="s">
        <v>21</v>
      </c>
      <c r="C128" t="s">
        <v>23</v>
      </c>
      <c r="D128" t="s">
        <v>1</v>
      </c>
      <c r="E128" t="s">
        <v>10</v>
      </c>
      <c r="F128" s="1">
        <v>45513</v>
      </c>
      <c r="G128">
        <f t="shared" si="10"/>
        <v>8</v>
      </c>
    </row>
    <row r="129" spans="1:7" x14ac:dyDescent="0.25">
      <c r="A129">
        <v>4500</v>
      </c>
      <c r="B129" t="s">
        <v>21</v>
      </c>
      <c r="C129" t="s">
        <v>20</v>
      </c>
      <c r="D129" t="s">
        <v>11</v>
      </c>
      <c r="E129" t="s">
        <v>18</v>
      </c>
      <c r="F129" s="1">
        <v>45514</v>
      </c>
      <c r="G129">
        <f t="shared" si="10"/>
        <v>8</v>
      </c>
    </row>
    <row r="130" spans="1:7" x14ac:dyDescent="0.25">
      <c r="A130">
        <v>-2000</v>
      </c>
      <c r="B130" t="s">
        <v>21</v>
      </c>
      <c r="C130" t="s">
        <v>20</v>
      </c>
      <c r="D130" t="s">
        <v>4</v>
      </c>
      <c r="E130" t="s">
        <v>10</v>
      </c>
      <c r="F130" s="1">
        <v>45515</v>
      </c>
      <c r="G130">
        <f t="shared" si="10"/>
        <v>8</v>
      </c>
    </row>
    <row r="131" spans="1:7" x14ac:dyDescent="0.25">
      <c r="A131">
        <v>-100</v>
      </c>
      <c r="B131" t="s">
        <v>22</v>
      </c>
      <c r="C131" t="s">
        <v>20</v>
      </c>
      <c r="D131" t="s">
        <v>6</v>
      </c>
      <c r="E131" t="s">
        <v>10</v>
      </c>
      <c r="F131" s="1">
        <v>45518</v>
      </c>
      <c r="G131">
        <f t="shared" si="10"/>
        <v>8</v>
      </c>
    </row>
    <row r="132" spans="1:7" x14ac:dyDescent="0.25">
      <c r="A132">
        <v>-400</v>
      </c>
      <c r="B132" t="s">
        <v>21</v>
      </c>
      <c r="C132" t="s">
        <v>20</v>
      </c>
      <c r="D132" t="s">
        <v>7</v>
      </c>
      <c r="E132" t="s">
        <v>10</v>
      </c>
      <c r="F132" s="1">
        <v>45520</v>
      </c>
      <c r="G132">
        <f t="shared" si="10"/>
        <v>8</v>
      </c>
    </row>
    <row r="133" spans="1:7" x14ac:dyDescent="0.25">
      <c r="A133">
        <v>-32</v>
      </c>
      <c r="B133" t="s">
        <v>21</v>
      </c>
      <c r="C133" t="s">
        <v>23</v>
      </c>
      <c r="D133" t="s">
        <v>1</v>
      </c>
      <c r="E133" t="s">
        <v>10</v>
      </c>
      <c r="F133" s="1">
        <v>45522</v>
      </c>
      <c r="G133">
        <f t="shared" si="10"/>
        <v>8</v>
      </c>
    </row>
    <row r="134" spans="1:7" x14ac:dyDescent="0.25">
      <c r="A134">
        <v>200</v>
      </c>
      <c r="B134" t="s">
        <v>30</v>
      </c>
      <c r="C134" t="s">
        <v>31</v>
      </c>
      <c r="D134" t="s">
        <v>14</v>
      </c>
      <c r="E134" t="s">
        <v>18</v>
      </c>
      <c r="F134" s="1">
        <v>45524</v>
      </c>
      <c r="G134">
        <f t="shared" si="10"/>
        <v>8</v>
      </c>
    </row>
    <row r="135" spans="1:7" x14ac:dyDescent="0.25">
      <c r="A135">
        <v>-150</v>
      </c>
      <c r="B135" t="s">
        <v>30</v>
      </c>
      <c r="C135" t="s">
        <v>31</v>
      </c>
      <c r="D135" t="s">
        <v>6</v>
      </c>
      <c r="E135" t="s">
        <v>10</v>
      </c>
      <c r="F135" s="1">
        <v>45526</v>
      </c>
      <c r="G135">
        <f t="shared" si="10"/>
        <v>8</v>
      </c>
    </row>
    <row r="136" spans="1:7" x14ac:dyDescent="0.25">
      <c r="A136">
        <v>-47</v>
      </c>
      <c r="B136" t="s">
        <v>30</v>
      </c>
      <c r="C136" t="s">
        <v>31</v>
      </c>
      <c r="D136" t="s">
        <v>1</v>
      </c>
      <c r="E136" t="s">
        <v>10</v>
      </c>
      <c r="F136" s="1">
        <v>45527</v>
      </c>
      <c r="G136">
        <f t="shared" si="10"/>
        <v>8</v>
      </c>
    </row>
    <row r="137" spans="1:7" x14ac:dyDescent="0.25">
      <c r="A137">
        <v>-90</v>
      </c>
      <c r="B137" t="s">
        <v>21</v>
      </c>
      <c r="C137" t="s">
        <v>20</v>
      </c>
      <c r="D137" t="s">
        <v>2</v>
      </c>
      <c r="E137" t="s">
        <v>10</v>
      </c>
      <c r="F137" s="1">
        <v>45528</v>
      </c>
      <c r="G137">
        <f t="shared" si="10"/>
        <v>8</v>
      </c>
    </row>
    <row r="138" spans="1:7" x14ac:dyDescent="0.25">
      <c r="A138">
        <v>-300</v>
      </c>
      <c r="B138" t="s">
        <v>22</v>
      </c>
      <c r="C138" t="s">
        <v>25</v>
      </c>
      <c r="D138" t="s">
        <v>8</v>
      </c>
      <c r="E138" t="s">
        <v>10</v>
      </c>
      <c r="F138" s="1">
        <v>45531</v>
      </c>
      <c r="G138">
        <f t="shared" si="10"/>
        <v>8</v>
      </c>
    </row>
    <row r="139" spans="1:7" x14ac:dyDescent="0.25">
      <c r="A139">
        <v>500</v>
      </c>
      <c r="B139" t="s">
        <v>22</v>
      </c>
      <c r="C139" t="s">
        <v>20</v>
      </c>
      <c r="D139" t="s">
        <v>16</v>
      </c>
      <c r="E139" t="s">
        <v>18</v>
      </c>
      <c r="F139" s="1">
        <v>45534</v>
      </c>
      <c r="G139">
        <f t="shared" si="10"/>
        <v>8</v>
      </c>
    </row>
    <row r="140" spans="1:7" x14ac:dyDescent="0.25">
      <c r="A140">
        <v>200</v>
      </c>
      <c r="B140" t="s">
        <v>21</v>
      </c>
      <c r="C140" t="s">
        <v>23</v>
      </c>
      <c r="D140" t="s">
        <v>14</v>
      </c>
      <c r="E140" t="s">
        <v>18</v>
      </c>
      <c r="F140" s="1">
        <v>45535</v>
      </c>
      <c r="G140">
        <f t="shared" si="10"/>
        <v>8</v>
      </c>
    </row>
    <row r="141" spans="1:7" x14ac:dyDescent="0.25">
      <c r="A141">
        <v>-150</v>
      </c>
      <c r="B141" t="s">
        <v>21</v>
      </c>
      <c r="C141" t="s">
        <v>20</v>
      </c>
      <c r="D141" t="s">
        <v>2</v>
      </c>
      <c r="E141" t="s">
        <v>10</v>
      </c>
      <c r="F141" s="1">
        <v>45536</v>
      </c>
      <c r="G141">
        <f t="shared" ref="G141:G155" si="11">IF(ISBLANK(F141),"",MONTH(F141))</f>
        <v>9</v>
      </c>
    </row>
    <row r="142" spans="1:7" x14ac:dyDescent="0.25">
      <c r="A142">
        <v>-20</v>
      </c>
      <c r="B142" t="s">
        <v>22</v>
      </c>
      <c r="C142" t="s">
        <v>20</v>
      </c>
      <c r="D142" t="s">
        <v>1</v>
      </c>
      <c r="E142" t="s">
        <v>10</v>
      </c>
      <c r="F142" s="1">
        <v>45539</v>
      </c>
      <c r="G142">
        <f t="shared" si="11"/>
        <v>9</v>
      </c>
    </row>
    <row r="143" spans="1:7" x14ac:dyDescent="0.25">
      <c r="A143">
        <v>-40</v>
      </c>
      <c r="B143" t="s">
        <v>21</v>
      </c>
      <c r="C143" t="s">
        <v>20</v>
      </c>
      <c r="D143" t="s">
        <v>38</v>
      </c>
      <c r="E143" t="s">
        <v>10</v>
      </c>
      <c r="F143" s="1">
        <v>45542</v>
      </c>
      <c r="G143">
        <f t="shared" si="11"/>
        <v>9</v>
      </c>
    </row>
    <row r="144" spans="1:7" x14ac:dyDescent="0.25">
      <c r="A144">
        <v>-500</v>
      </c>
      <c r="B144" t="s">
        <v>21</v>
      </c>
      <c r="C144" t="s">
        <v>20</v>
      </c>
      <c r="D144" t="s">
        <v>1</v>
      </c>
      <c r="E144" t="s">
        <v>10</v>
      </c>
      <c r="F144" s="1">
        <v>45543</v>
      </c>
      <c r="G144">
        <f t="shared" si="11"/>
        <v>9</v>
      </c>
    </row>
    <row r="145" spans="1:7" x14ac:dyDescent="0.25">
      <c r="A145">
        <v>4500</v>
      </c>
      <c r="B145" t="s">
        <v>21</v>
      </c>
      <c r="C145" t="s">
        <v>20</v>
      </c>
      <c r="D145" t="s">
        <v>11</v>
      </c>
      <c r="E145" t="s">
        <v>18</v>
      </c>
      <c r="F145" s="1">
        <v>45545</v>
      </c>
      <c r="G145">
        <f t="shared" si="11"/>
        <v>9</v>
      </c>
    </row>
    <row r="146" spans="1:7" x14ac:dyDescent="0.25">
      <c r="A146">
        <v>-2000</v>
      </c>
      <c r="B146" t="s">
        <v>21</v>
      </c>
      <c r="C146" t="s">
        <v>20</v>
      </c>
      <c r="D146" t="s">
        <v>4</v>
      </c>
      <c r="E146" t="s">
        <v>10</v>
      </c>
      <c r="F146" s="1">
        <v>45546</v>
      </c>
      <c r="G146">
        <f t="shared" si="11"/>
        <v>9</v>
      </c>
    </row>
    <row r="147" spans="1:7" x14ac:dyDescent="0.25">
      <c r="A147">
        <v>-20</v>
      </c>
      <c r="B147" t="s">
        <v>21</v>
      </c>
      <c r="C147" t="s">
        <v>23</v>
      </c>
      <c r="D147" t="s">
        <v>6</v>
      </c>
      <c r="E147" t="s">
        <v>10</v>
      </c>
      <c r="F147" s="1">
        <v>45546</v>
      </c>
      <c r="G147">
        <f t="shared" si="11"/>
        <v>9</v>
      </c>
    </row>
    <row r="148" spans="1:7" x14ac:dyDescent="0.25">
      <c r="A148">
        <v>-18.5</v>
      </c>
      <c r="B148" t="s">
        <v>21</v>
      </c>
      <c r="C148" t="s">
        <v>20</v>
      </c>
      <c r="D148" t="s">
        <v>1</v>
      </c>
      <c r="E148" t="s">
        <v>10</v>
      </c>
      <c r="F148" s="1">
        <v>45553</v>
      </c>
      <c r="G148">
        <f t="shared" si="11"/>
        <v>9</v>
      </c>
    </row>
    <row r="149" spans="1:7" x14ac:dyDescent="0.25">
      <c r="A149">
        <v>-150</v>
      </c>
      <c r="B149" t="s">
        <v>21</v>
      </c>
      <c r="C149" t="s">
        <v>20</v>
      </c>
      <c r="D149" t="s">
        <v>2</v>
      </c>
      <c r="E149" t="s">
        <v>10</v>
      </c>
      <c r="F149" s="1">
        <v>45566</v>
      </c>
      <c r="G149">
        <f t="shared" si="11"/>
        <v>10</v>
      </c>
    </row>
    <row r="150" spans="1:7" x14ac:dyDescent="0.25">
      <c r="A150">
        <v>-40</v>
      </c>
      <c r="B150" t="s">
        <v>21</v>
      </c>
      <c r="C150" t="s">
        <v>20</v>
      </c>
      <c r="D150" t="s">
        <v>38</v>
      </c>
      <c r="E150" t="s">
        <v>10</v>
      </c>
      <c r="F150" s="1">
        <v>45572</v>
      </c>
      <c r="G150">
        <f t="shared" si="11"/>
        <v>10</v>
      </c>
    </row>
    <row r="151" spans="1:7" x14ac:dyDescent="0.25">
      <c r="A151">
        <v>-600</v>
      </c>
      <c r="B151" t="s">
        <v>21</v>
      </c>
      <c r="C151" t="s">
        <v>20</v>
      </c>
      <c r="D151" t="s">
        <v>1</v>
      </c>
      <c r="E151" t="s">
        <v>10</v>
      </c>
      <c r="F151" s="1">
        <v>45573</v>
      </c>
      <c r="G151">
        <f t="shared" si="11"/>
        <v>10</v>
      </c>
    </row>
    <row r="152" spans="1:7" x14ac:dyDescent="0.25">
      <c r="A152">
        <v>4500</v>
      </c>
      <c r="B152" t="s">
        <v>21</v>
      </c>
      <c r="C152" t="s">
        <v>20</v>
      </c>
      <c r="D152" t="s">
        <v>11</v>
      </c>
      <c r="E152" t="s">
        <v>18</v>
      </c>
      <c r="F152" s="1">
        <v>45575</v>
      </c>
      <c r="G152">
        <f t="shared" si="11"/>
        <v>10</v>
      </c>
    </row>
    <row r="153" spans="1:7" x14ac:dyDescent="0.25">
      <c r="A153">
        <v>-2000</v>
      </c>
      <c r="B153" t="s">
        <v>21</v>
      </c>
      <c r="C153" t="s">
        <v>20</v>
      </c>
      <c r="D153" t="s">
        <v>4</v>
      </c>
      <c r="E153" t="s">
        <v>10</v>
      </c>
      <c r="F153" s="1">
        <v>45576</v>
      </c>
      <c r="G153">
        <f t="shared" si="11"/>
        <v>10</v>
      </c>
    </row>
    <row r="154" spans="1:7" x14ac:dyDescent="0.25">
      <c r="A154">
        <v>-40</v>
      </c>
      <c r="B154" t="s">
        <v>21</v>
      </c>
      <c r="C154" t="s">
        <v>23</v>
      </c>
      <c r="D154" t="s">
        <v>6</v>
      </c>
      <c r="E154" t="s">
        <v>10</v>
      </c>
      <c r="F154" s="1">
        <v>45576</v>
      </c>
      <c r="G154">
        <f t="shared" si="11"/>
        <v>10</v>
      </c>
    </row>
    <row r="155" spans="1:7" x14ac:dyDescent="0.25">
      <c r="A155">
        <v>4500</v>
      </c>
      <c r="B155" t="s">
        <v>21</v>
      </c>
      <c r="C155" t="s">
        <v>20</v>
      </c>
      <c r="D155" t="s">
        <v>11</v>
      </c>
      <c r="E155" t="s">
        <v>18</v>
      </c>
      <c r="F155" s="1">
        <v>45606</v>
      </c>
      <c r="G155">
        <f t="shared" si="11"/>
        <v>11</v>
      </c>
    </row>
    <row r="156" spans="1:7" x14ac:dyDescent="0.25">
      <c r="A156">
        <v>-2000</v>
      </c>
      <c r="B156" t="s">
        <v>21</v>
      </c>
      <c r="C156" t="s">
        <v>20</v>
      </c>
      <c r="D156" t="s">
        <v>4</v>
      </c>
      <c r="E156" t="s">
        <v>10</v>
      </c>
      <c r="F156" s="1">
        <v>45607</v>
      </c>
      <c r="G156">
        <f t="shared" ref="G156:G179" si="12">IF(ISBLANK(F156),"",MONTH(F156))</f>
        <v>11</v>
      </c>
    </row>
    <row r="157" spans="1:7" x14ac:dyDescent="0.25">
      <c r="A157">
        <v>-82</v>
      </c>
      <c r="B157" t="s">
        <v>21</v>
      </c>
      <c r="C157" t="s">
        <v>20</v>
      </c>
      <c r="D157" t="s">
        <v>2</v>
      </c>
      <c r="E157" t="s">
        <v>10</v>
      </c>
      <c r="F157" s="1">
        <v>45607</v>
      </c>
      <c r="G157">
        <f t="shared" si="12"/>
        <v>11</v>
      </c>
    </row>
    <row r="158" spans="1:7" x14ac:dyDescent="0.25">
      <c r="A158">
        <v>-200</v>
      </c>
      <c r="B158" t="s">
        <v>21</v>
      </c>
      <c r="C158" t="s">
        <v>20</v>
      </c>
      <c r="D158" t="s">
        <v>1</v>
      </c>
      <c r="E158" t="s">
        <v>10</v>
      </c>
      <c r="F158" s="1">
        <v>45607</v>
      </c>
      <c r="G158">
        <f t="shared" si="12"/>
        <v>11</v>
      </c>
    </row>
    <row r="159" spans="1:7" x14ac:dyDescent="0.25">
      <c r="A159">
        <v>-12</v>
      </c>
      <c r="B159" t="s">
        <v>21</v>
      </c>
      <c r="C159" t="s">
        <v>20</v>
      </c>
      <c r="D159" t="s">
        <v>38</v>
      </c>
      <c r="E159" t="s">
        <v>10</v>
      </c>
      <c r="F159" s="1">
        <v>45608</v>
      </c>
      <c r="G159">
        <f t="shared" si="12"/>
        <v>11</v>
      </c>
    </row>
    <row r="160" spans="1:7" x14ac:dyDescent="0.25">
      <c r="A160">
        <v>-90</v>
      </c>
      <c r="B160" t="s">
        <v>21</v>
      </c>
      <c r="C160" t="s">
        <v>20</v>
      </c>
      <c r="D160" t="s">
        <v>6</v>
      </c>
      <c r="E160" t="s">
        <v>10</v>
      </c>
      <c r="F160" s="1">
        <v>45610</v>
      </c>
      <c r="G160">
        <f t="shared" si="12"/>
        <v>11</v>
      </c>
    </row>
    <row r="161" spans="1:7" x14ac:dyDescent="0.25">
      <c r="A161">
        <v>-28</v>
      </c>
      <c r="B161" t="s">
        <v>21</v>
      </c>
      <c r="C161" t="s">
        <v>20</v>
      </c>
      <c r="D161" t="s">
        <v>1</v>
      </c>
      <c r="E161" t="s">
        <v>10</v>
      </c>
      <c r="F161" s="1">
        <v>45612</v>
      </c>
      <c r="G161">
        <f t="shared" si="12"/>
        <v>11</v>
      </c>
    </row>
    <row r="162" spans="1:7" x14ac:dyDescent="0.25">
      <c r="A162">
        <v>-63</v>
      </c>
      <c r="B162" t="s">
        <v>21</v>
      </c>
      <c r="C162" t="s">
        <v>20</v>
      </c>
      <c r="D162" t="s">
        <v>7</v>
      </c>
      <c r="E162" t="s">
        <v>10</v>
      </c>
      <c r="F162" s="1">
        <v>45613</v>
      </c>
      <c r="G162">
        <f t="shared" si="12"/>
        <v>11</v>
      </c>
    </row>
    <row r="163" spans="1:7" x14ac:dyDescent="0.25">
      <c r="A163">
        <v>-15</v>
      </c>
      <c r="B163" t="s">
        <v>21</v>
      </c>
      <c r="C163" t="s">
        <v>20</v>
      </c>
      <c r="D163" t="s">
        <v>2</v>
      </c>
      <c r="E163" t="s">
        <v>10</v>
      </c>
      <c r="F163" s="1">
        <v>45613</v>
      </c>
      <c r="G163">
        <f t="shared" si="12"/>
        <v>11</v>
      </c>
    </row>
    <row r="164" spans="1:7" x14ac:dyDescent="0.25">
      <c r="A164">
        <v>-44</v>
      </c>
      <c r="B164" t="s">
        <v>21</v>
      </c>
      <c r="C164" t="s">
        <v>20</v>
      </c>
      <c r="D164" t="s">
        <v>1</v>
      </c>
      <c r="E164" t="s">
        <v>10</v>
      </c>
      <c r="F164" s="1">
        <v>45615</v>
      </c>
      <c r="G164">
        <f t="shared" si="12"/>
        <v>11</v>
      </c>
    </row>
    <row r="165" spans="1:7" x14ac:dyDescent="0.25">
      <c r="A165">
        <v>-107</v>
      </c>
      <c r="B165" t="s">
        <v>21</v>
      </c>
      <c r="C165" t="s">
        <v>20</v>
      </c>
      <c r="D165" t="s">
        <v>8</v>
      </c>
      <c r="E165" t="s">
        <v>10</v>
      </c>
      <c r="F165" s="1">
        <v>45616</v>
      </c>
      <c r="G165">
        <f t="shared" si="12"/>
        <v>11</v>
      </c>
    </row>
    <row r="166" spans="1:7" x14ac:dyDescent="0.25">
      <c r="A166">
        <v>-169</v>
      </c>
      <c r="B166" t="s">
        <v>21</v>
      </c>
      <c r="C166" t="s">
        <v>20</v>
      </c>
      <c r="D166" t="s">
        <v>9</v>
      </c>
      <c r="E166" t="s">
        <v>10</v>
      </c>
      <c r="F166" s="1">
        <v>45617</v>
      </c>
      <c r="G166">
        <f t="shared" si="12"/>
        <v>11</v>
      </c>
    </row>
    <row r="167" spans="1:7" x14ac:dyDescent="0.25">
      <c r="A167">
        <v>-51</v>
      </c>
      <c r="B167" t="s">
        <v>21</v>
      </c>
      <c r="C167" t="s">
        <v>20</v>
      </c>
      <c r="D167" t="s">
        <v>8</v>
      </c>
      <c r="E167" t="s">
        <v>10</v>
      </c>
      <c r="F167" s="1">
        <v>45618</v>
      </c>
      <c r="G167">
        <f t="shared" si="12"/>
        <v>11</v>
      </c>
    </row>
    <row r="168" spans="1:7" x14ac:dyDescent="0.25">
      <c r="A168">
        <v>-80</v>
      </c>
      <c r="B168" t="s">
        <v>21</v>
      </c>
      <c r="C168" t="s">
        <v>20</v>
      </c>
      <c r="D168" t="s">
        <v>1</v>
      </c>
      <c r="E168" t="s">
        <v>10</v>
      </c>
      <c r="F168" s="1">
        <v>45618</v>
      </c>
      <c r="G168">
        <f t="shared" si="12"/>
        <v>11</v>
      </c>
    </row>
    <row r="169" spans="1:7" x14ac:dyDescent="0.25">
      <c r="A169">
        <v>-70</v>
      </c>
      <c r="B169" t="s">
        <v>21</v>
      </c>
      <c r="C169" t="s">
        <v>20</v>
      </c>
      <c r="D169" t="s">
        <v>7</v>
      </c>
      <c r="E169" t="s">
        <v>10</v>
      </c>
      <c r="F169" s="1">
        <v>45618</v>
      </c>
      <c r="G169">
        <f t="shared" si="12"/>
        <v>11</v>
      </c>
    </row>
    <row r="170" spans="1:7" x14ac:dyDescent="0.25">
      <c r="A170">
        <v>-35</v>
      </c>
      <c r="B170" t="s">
        <v>21</v>
      </c>
      <c r="C170" t="s">
        <v>20</v>
      </c>
      <c r="D170" t="s">
        <v>38</v>
      </c>
      <c r="E170" t="s">
        <v>10</v>
      </c>
      <c r="F170" s="1">
        <v>45619</v>
      </c>
      <c r="G170">
        <f t="shared" si="12"/>
        <v>11</v>
      </c>
    </row>
    <row r="171" spans="1:7" x14ac:dyDescent="0.25">
      <c r="A171">
        <v>-11</v>
      </c>
      <c r="B171" t="s">
        <v>21</v>
      </c>
      <c r="C171" t="s">
        <v>20</v>
      </c>
      <c r="D171" t="s">
        <v>2</v>
      </c>
      <c r="E171" t="s">
        <v>10</v>
      </c>
      <c r="F171" s="1">
        <v>45619</v>
      </c>
      <c r="G171">
        <f t="shared" si="12"/>
        <v>11</v>
      </c>
    </row>
    <row r="172" spans="1:7" x14ac:dyDescent="0.25">
      <c r="A172">
        <v>-80</v>
      </c>
      <c r="B172" t="s">
        <v>21</v>
      </c>
      <c r="C172" t="s">
        <v>20</v>
      </c>
      <c r="D172" t="s">
        <v>6</v>
      </c>
      <c r="E172" t="s">
        <v>10</v>
      </c>
      <c r="F172" s="1">
        <v>45621</v>
      </c>
      <c r="G172">
        <f t="shared" si="12"/>
        <v>11</v>
      </c>
    </row>
    <row r="173" spans="1:7" x14ac:dyDescent="0.25">
      <c r="A173">
        <v>-58</v>
      </c>
      <c r="B173" t="s">
        <v>21</v>
      </c>
      <c r="C173" t="s">
        <v>20</v>
      </c>
      <c r="D173" t="s">
        <v>1</v>
      </c>
      <c r="E173" t="s">
        <v>10</v>
      </c>
      <c r="F173" s="1">
        <v>45622</v>
      </c>
      <c r="G173">
        <f t="shared" si="12"/>
        <v>11</v>
      </c>
    </row>
    <row r="174" spans="1:7" x14ac:dyDescent="0.25">
      <c r="A174">
        <v>-52</v>
      </c>
      <c r="B174" t="s">
        <v>21</v>
      </c>
      <c r="C174" t="s">
        <v>20</v>
      </c>
      <c r="D174" t="s">
        <v>2</v>
      </c>
      <c r="E174" t="s">
        <v>10</v>
      </c>
      <c r="F174" s="1">
        <v>45623</v>
      </c>
      <c r="G174">
        <f t="shared" si="12"/>
        <v>11</v>
      </c>
    </row>
    <row r="175" spans="1:7" x14ac:dyDescent="0.25">
      <c r="A175">
        <v>-44</v>
      </c>
      <c r="B175" t="s">
        <v>21</v>
      </c>
      <c r="C175" t="s">
        <v>20</v>
      </c>
      <c r="D175" t="s">
        <v>6</v>
      </c>
      <c r="E175" t="s">
        <v>10</v>
      </c>
      <c r="F175" s="1">
        <v>45623</v>
      </c>
      <c r="G175">
        <f t="shared" si="12"/>
        <v>11</v>
      </c>
    </row>
    <row r="176" spans="1:7" x14ac:dyDescent="0.25">
      <c r="A176">
        <v>-48</v>
      </c>
      <c r="B176" t="s">
        <v>21</v>
      </c>
      <c r="C176" t="s">
        <v>20</v>
      </c>
      <c r="D176" t="s">
        <v>2</v>
      </c>
      <c r="E176" t="s">
        <v>10</v>
      </c>
      <c r="F176" s="1">
        <v>45623</v>
      </c>
      <c r="G176">
        <f t="shared" si="12"/>
        <v>11</v>
      </c>
    </row>
    <row r="177" spans="1:7" x14ac:dyDescent="0.25">
      <c r="A177">
        <v>-65</v>
      </c>
      <c r="B177" t="s">
        <v>21</v>
      </c>
      <c r="C177" t="s">
        <v>20</v>
      </c>
      <c r="D177" t="s">
        <v>9</v>
      </c>
      <c r="E177" t="s">
        <v>10</v>
      </c>
      <c r="F177" s="1">
        <v>45624</v>
      </c>
      <c r="G177">
        <f t="shared" si="12"/>
        <v>11</v>
      </c>
    </row>
    <row r="178" spans="1:7" x14ac:dyDescent="0.25">
      <c r="A178">
        <v>400</v>
      </c>
      <c r="B178" t="s">
        <v>30</v>
      </c>
      <c r="C178" t="s">
        <v>31</v>
      </c>
      <c r="D178" t="s">
        <v>14</v>
      </c>
      <c r="E178" t="s">
        <v>18</v>
      </c>
      <c r="F178" s="1">
        <v>45625</v>
      </c>
      <c r="G178">
        <f t="shared" si="12"/>
        <v>11</v>
      </c>
    </row>
    <row r="179" spans="1:7" x14ac:dyDescent="0.25">
      <c r="A179">
        <v>-96</v>
      </c>
      <c r="B179" t="s">
        <v>21</v>
      </c>
      <c r="C179" t="s">
        <v>20</v>
      </c>
      <c r="D179" t="s">
        <v>1</v>
      </c>
      <c r="E179" t="s">
        <v>10</v>
      </c>
      <c r="F179" s="1">
        <v>45626</v>
      </c>
      <c r="G179">
        <f t="shared" si="12"/>
        <v>11</v>
      </c>
    </row>
    <row r="180" spans="1:7" x14ac:dyDescent="0.25">
      <c r="A180">
        <v>-50</v>
      </c>
      <c r="B180" t="s">
        <v>21</v>
      </c>
      <c r="C180" t="s">
        <v>20</v>
      </c>
      <c r="D180" t="s">
        <v>1</v>
      </c>
      <c r="E180" t="s">
        <v>10</v>
      </c>
      <c r="F180" s="1">
        <v>45627</v>
      </c>
      <c r="G180">
        <f t="shared" ref="G180:G200" si="13">IF(ISBLANK(F180),"",MONTH(F180))</f>
        <v>12</v>
      </c>
    </row>
    <row r="181" spans="1:7" x14ac:dyDescent="0.25">
      <c r="A181">
        <v>-5</v>
      </c>
      <c r="B181" t="s">
        <v>21</v>
      </c>
      <c r="C181" t="s">
        <v>20</v>
      </c>
      <c r="D181" t="s">
        <v>7</v>
      </c>
      <c r="E181" t="s">
        <v>10</v>
      </c>
      <c r="F181" s="1">
        <v>45628</v>
      </c>
      <c r="G181">
        <f t="shared" si="13"/>
        <v>12</v>
      </c>
    </row>
    <row r="182" spans="1:7" x14ac:dyDescent="0.25">
      <c r="A182">
        <v>-100</v>
      </c>
      <c r="B182" t="s">
        <v>21</v>
      </c>
      <c r="C182" t="s">
        <v>20</v>
      </c>
      <c r="D182" t="s">
        <v>9</v>
      </c>
      <c r="E182" t="s">
        <v>10</v>
      </c>
      <c r="F182" s="1">
        <v>45628</v>
      </c>
      <c r="G182">
        <f t="shared" si="13"/>
        <v>12</v>
      </c>
    </row>
    <row r="183" spans="1:7" x14ac:dyDescent="0.25">
      <c r="A183">
        <v>-60</v>
      </c>
      <c r="B183" t="s">
        <v>21</v>
      </c>
      <c r="C183" t="s">
        <v>20</v>
      </c>
      <c r="D183" t="s">
        <v>8</v>
      </c>
      <c r="E183" t="s">
        <v>10</v>
      </c>
      <c r="F183" s="1">
        <v>45628</v>
      </c>
      <c r="G183">
        <f t="shared" si="13"/>
        <v>12</v>
      </c>
    </row>
    <row r="184" spans="1:7" x14ac:dyDescent="0.25">
      <c r="A184">
        <v>-150</v>
      </c>
      <c r="B184" t="s">
        <v>21</v>
      </c>
      <c r="C184" t="s">
        <v>20</v>
      </c>
      <c r="D184" t="s">
        <v>6</v>
      </c>
      <c r="E184" t="s">
        <v>10</v>
      </c>
      <c r="F184" s="1">
        <v>45629</v>
      </c>
      <c r="G184">
        <f t="shared" si="13"/>
        <v>12</v>
      </c>
    </row>
    <row r="185" spans="1:7" x14ac:dyDescent="0.25">
      <c r="A185">
        <v>-100</v>
      </c>
      <c r="B185" t="s">
        <v>21</v>
      </c>
      <c r="C185" t="s">
        <v>20</v>
      </c>
      <c r="D185" t="s">
        <v>1</v>
      </c>
      <c r="E185" t="s">
        <v>10</v>
      </c>
      <c r="F185" s="1">
        <v>45632</v>
      </c>
      <c r="G185">
        <f t="shared" si="13"/>
        <v>12</v>
      </c>
    </row>
    <row r="186" spans="1:7" x14ac:dyDescent="0.25">
      <c r="A186">
        <v>-50</v>
      </c>
      <c r="B186" t="s">
        <v>21</v>
      </c>
      <c r="C186" t="s">
        <v>20</v>
      </c>
      <c r="D186" t="s">
        <v>1</v>
      </c>
      <c r="E186" t="s">
        <v>10</v>
      </c>
      <c r="F186" s="1">
        <v>45627</v>
      </c>
      <c r="G186">
        <f t="shared" si="13"/>
        <v>12</v>
      </c>
    </row>
    <row r="187" spans="1:7" x14ac:dyDescent="0.25">
      <c r="A187">
        <v>-5</v>
      </c>
      <c r="B187" t="s">
        <v>21</v>
      </c>
      <c r="C187" t="s">
        <v>20</v>
      </c>
      <c r="D187" t="s">
        <v>7</v>
      </c>
      <c r="E187" t="s">
        <v>10</v>
      </c>
      <c r="F187" s="1">
        <v>45628</v>
      </c>
      <c r="G187">
        <f t="shared" si="13"/>
        <v>12</v>
      </c>
    </row>
    <row r="188" spans="1:7" x14ac:dyDescent="0.25">
      <c r="A188">
        <v>-100</v>
      </c>
      <c r="B188" t="s">
        <v>21</v>
      </c>
      <c r="C188" t="s">
        <v>20</v>
      </c>
      <c r="D188" t="s">
        <v>9</v>
      </c>
      <c r="E188" t="s">
        <v>10</v>
      </c>
      <c r="F188" s="1">
        <v>45628</v>
      </c>
      <c r="G188">
        <f t="shared" si="13"/>
        <v>12</v>
      </c>
    </row>
    <row r="189" spans="1:7" x14ac:dyDescent="0.25">
      <c r="A189">
        <v>-60</v>
      </c>
      <c r="B189" t="s">
        <v>21</v>
      </c>
      <c r="C189" t="s">
        <v>20</v>
      </c>
      <c r="D189" t="s">
        <v>8</v>
      </c>
      <c r="E189" t="s">
        <v>10</v>
      </c>
      <c r="F189" s="1">
        <v>45628</v>
      </c>
      <c r="G189">
        <f t="shared" si="13"/>
        <v>12</v>
      </c>
    </row>
    <row r="190" spans="1:7" x14ac:dyDescent="0.25">
      <c r="A190">
        <v>-150</v>
      </c>
      <c r="B190" t="s">
        <v>21</v>
      </c>
      <c r="C190" t="s">
        <v>20</v>
      </c>
      <c r="D190" t="s">
        <v>6</v>
      </c>
      <c r="E190" t="s">
        <v>10</v>
      </c>
      <c r="F190" s="1">
        <v>45629</v>
      </c>
      <c r="G190">
        <f t="shared" si="13"/>
        <v>12</v>
      </c>
    </row>
    <row r="191" spans="1:7" x14ac:dyDescent="0.25">
      <c r="A191">
        <v>-100</v>
      </c>
      <c r="B191" t="s">
        <v>21</v>
      </c>
      <c r="C191" t="s">
        <v>20</v>
      </c>
      <c r="D191" t="s">
        <v>1</v>
      </c>
      <c r="E191" t="s">
        <v>10</v>
      </c>
      <c r="F191" s="1">
        <v>45632</v>
      </c>
      <c r="G191">
        <f t="shared" si="13"/>
        <v>12</v>
      </c>
    </row>
    <row r="192" spans="1:7" x14ac:dyDescent="0.25">
      <c r="A192">
        <v>4500</v>
      </c>
      <c r="B192" t="s">
        <v>21</v>
      </c>
      <c r="C192" t="s">
        <v>20</v>
      </c>
      <c r="D192" t="s">
        <v>11</v>
      </c>
      <c r="E192" t="s">
        <v>18</v>
      </c>
      <c r="F192" s="1">
        <v>45636</v>
      </c>
      <c r="G192">
        <f t="shared" si="13"/>
        <v>12</v>
      </c>
    </row>
    <row r="193" spans="1:7" x14ac:dyDescent="0.25">
      <c r="A193">
        <v>-2000</v>
      </c>
      <c r="B193" t="s">
        <v>21</v>
      </c>
      <c r="C193" t="s">
        <v>20</v>
      </c>
      <c r="D193" t="s">
        <v>4</v>
      </c>
      <c r="E193" t="s">
        <v>10</v>
      </c>
      <c r="F193" s="1">
        <v>45637</v>
      </c>
      <c r="G193">
        <f t="shared" si="13"/>
        <v>12</v>
      </c>
    </row>
    <row r="194" spans="1:7" x14ac:dyDescent="0.25">
      <c r="A194">
        <v>-50</v>
      </c>
      <c r="B194" t="s">
        <v>21</v>
      </c>
      <c r="C194" t="s">
        <v>20</v>
      </c>
      <c r="D194" t="s">
        <v>6</v>
      </c>
      <c r="E194" t="s">
        <v>10</v>
      </c>
      <c r="F194" s="1">
        <v>45640</v>
      </c>
      <c r="G194">
        <f t="shared" si="13"/>
        <v>12</v>
      </c>
    </row>
    <row r="195" spans="1:7" x14ac:dyDescent="0.25">
      <c r="A195">
        <v>-100</v>
      </c>
      <c r="B195" t="s">
        <v>21</v>
      </c>
      <c r="C195" t="s">
        <v>20</v>
      </c>
      <c r="D195" t="s">
        <v>5</v>
      </c>
      <c r="E195" t="s">
        <v>10</v>
      </c>
      <c r="F195" s="1">
        <v>45641</v>
      </c>
      <c r="G195">
        <f t="shared" si="13"/>
        <v>12</v>
      </c>
    </row>
    <row r="196" spans="1:7" x14ac:dyDescent="0.25">
      <c r="A196">
        <v>-100</v>
      </c>
      <c r="B196" t="s">
        <v>21</v>
      </c>
      <c r="C196" t="s">
        <v>20</v>
      </c>
      <c r="D196" t="s">
        <v>1</v>
      </c>
      <c r="E196" t="s">
        <v>10</v>
      </c>
      <c r="F196" s="1">
        <v>45644</v>
      </c>
      <c r="G196">
        <f t="shared" si="13"/>
        <v>12</v>
      </c>
    </row>
    <row r="197" spans="1:7" x14ac:dyDescent="0.25">
      <c r="A197">
        <v>500</v>
      </c>
      <c r="B197" t="s">
        <v>30</v>
      </c>
      <c r="C197" t="s">
        <v>31</v>
      </c>
      <c r="D197" t="s">
        <v>14</v>
      </c>
      <c r="E197" t="s">
        <v>18</v>
      </c>
      <c r="F197" s="1">
        <v>45648</v>
      </c>
      <c r="G197">
        <f t="shared" si="13"/>
        <v>12</v>
      </c>
    </row>
    <row r="198" spans="1:7" x14ac:dyDescent="0.25">
      <c r="A198">
        <v>-100</v>
      </c>
      <c r="B198" t="s">
        <v>30</v>
      </c>
      <c r="C198" t="s">
        <v>31</v>
      </c>
      <c r="D198" t="s">
        <v>6</v>
      </c>
      <c r="E198" t="s">
        <v>10</v>
      </c>
      <c r="F198" s="1">
        <v>45649</v>
      </c>
      <c r="G198">
        <f t="shared" si="13"/>
        <v>12</v>
      </c>
    </row>
    <row r="199" spans="1:7" x14ac:dyDescent="0.25">
      <c r="A199">
        <v>1500</v>
      </c>
      <c r="B199" t="s">
        <v>30</v>
      </c>
      <c r="C199" t="s">
        <v>31</v>
      </c>
      <c r="D199" t="s">
        <v>14</v>
      </c>
      <c r="E199" t="s">
        <v>18</v>
      </c>
      <c r="F199" s="1">
        <v>45650</v>
      </c>
      <c r="G199">
        <f t="shared" si="13"/>
        <v>12</v>
      </c>
    </row>
    <row r="200" spans="1:7" x14ac:dyDescent="0.25">
      <c r="A200">
        <v>-500</v>
      </c>
      <c r="B200" t="s">
        <v>30</v>
      </c>
      <c r="C200" t="s">
        <v>31</v>
      </c>
      <c r="D200" t="s">
        <v>9</v>
      </c>
      <c r="E200" t="s">
        <v>10</v>
      </c>
      <c r="F200" s="1">
        <v>45654</v>
      </c>
      <c r="G200">
        <f t="shared" si="13"/>
        <v>12</v>
      </c>
    </row>
    <row r="201" spans="1:7" x14ac:dyDescent="0.25">
      <c r="A201">
        <v>-300</v>
      </c>
      <c r="B201" t="s">
        <v>30</v>
      </c>
      <c r="C201" t="s">
        <v>31</v>
      </c>
      <c r="D201" t="s">
        <v>1</v>
      </c>
      <c r="E201" t="s">
        <v>10</v>
      </c>
      <c r="F201" s="1">
        <v>45656</v>
      </c>
      <c r="G201">
        <f>IF(ISBLANK(F201),"",MONTH(F201))</f>
        <v>12</v>
      </c>
    </row>
    <row r="202" spans="1:7" x14ac:dyDescent="0.25">
      <c r="A202">
        <v>1300</v>
      </c>
      <c r="B202" t="s">
        <v>21</v>
      </c>
      <c r="C202" t="s">
        <v>23</v>
      </c>
      <c r="D202" t="s">
        <v>39</v>
      </c>
      <c r="E202" t="str">
        <f>_xlfn.XLOOKUP(D202,Kategorie[Kategoria],Kategorie[Typ],"",0,1)</f>
        <v>Transakcja</v>
      </c>
      <c r="F202" s="1">
        <v>45488</v>
      </c>
      <c r="G202">
        <f t="shared" ref="G202:G251" si="14">IF(ISBLANK(F202),"",MONTH(F202))</f>
        <v>7</v>
      </c>
    </row>
    <row r="203" spans="1:7" x14ac:dyDescent="0.25">
      <c r="A203">
        <v>-1300</v>
      </c>
      <c r="B203" t="s">
        <v>21</v>
      </c>
      <c r="C203" t="s">
        <v>20</v>
      </c>
      <c r="D203" t="s">
        <v>39</v>
      </c>
      <c r="E203" t="str">
        <f>_xlfn.XLOOKUP(D203,Kategorie[Kategoria],Kategorie[Typ],"",0,1)</f>
        <v>Transakcja</v>
      </c>
      <c r="F203" s="1">
        <v>45488</v>
      </c>
      <c r="G203">
        <f t="shared" si="14"/>
        <v>7</v>
      </c>
    </row>
    <row r="204" spans="1:7" x14ac:dyDescent="0.25">
      <c r="A204">
        <v>135</v>
      </c>
      <c r="B204" t="s">
        <v>21</v>
      </c>
      <c r="C204" t="s">
        <v>23</v>
      </c>
      <c r="D204" t="s">
        <v>39</v>
      </c>
      <c r="E204" t="str">
        <f>_xlfn.XLOOKUP(D204,Kategorie[Kategoria],Kategorie[Typ],"",0,1)</f>
        <v>Transakcja</v>
      </c>
      <c r="F204" s="1">
        <v>45519</v>
      </c>
      <c r="G204">
        <f t="shared" si="14"/>
        <v>8</v>
      </c>
    </row>
    <row r="205" spans="1:7" x14ac:dyDescent="0.25">
      <c r="A205">
        <v>-135</v>
      </c>
      <c r="B205" t="s">
        <v>21</v>
      </c>
      <c r="C205" t="s">
        <v>20</v>
      </c>
      <c r="D205" t="s">
        <v>39</v>
      </c>
      <c r="E205" t="str">
        <f>_xlfn.XLOOKUP(D205,Kategorie[Kategoria],Kategorie[Typ],"",0,1)</f>
        <v>Transakcja</v>
      </c>
      <c r="F205" s="1">
        <v>45519</v>
      </c>
      <c r="G205">
        <f t="shared" si="14"/>
        <v>8</v>
      </c>
    </row>
    <row r="206" spans="1:7" x14ac:dyDescent="0.25">
      <c r="A206">
        <v>102</v>
      </c>
      <c r="B206" t="s">
        <v>21</v>
      </c>
      <c r="C206" t="s">
        <v>23</v>
      </c>
      <c r="D206" t="s">
        <v>39</v>
      </c>
      <c r="E206" t="str">
        <f>_xlfn.XLOOKUP(D206,Kategorie[Kategoria],Kategorie[Typ],"",0,1)</f>
        <v>Transakcja</v>
      </c>
      <c r="F206" s="1">
        <v>45519</v>
      </c>
      <c r="G206">
        <f t="shared" si="14"/>
        <v>8</v>
      </c>
    </row>
    <row r="207" spans="1:7" x14ac:dyDescent="0.25">
      <c r="A207">
        <v>-102</v>
      </c>
      <c r="B207" t="s">
        <v>21</v>
      </c>
      <c r="C207" t="s">
        <v>20</v>
      </c>
      <c r="D207" t="s">
        <v>39</v>
      </c>
      <c r="E207" t="str">
        <f>_xlfn.XLOOKUP(D207,Kategorie[Kategoria],Kategorie[Typ],"",0,1)</f>
        <v>Transakcja</v>
      </c>
      <c r="F207" s="1">
        <v>45519</v>
      </c>
      <c r="G207">
        <f t="shared" si="14"/>
        <v>8</v>
      </c>
    </row>
  </sheetData>
  <conditionalFormatting sqref="A1:A1048576">
    <cfRule type="cellIs" dxfId="51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602A26-922A-487B-8E0B-255859B29749}">
          <x14:formula1>
            <xm:f>Kategorie!$H$1:$J$1</xm:f>
          </x14:formula1>
          <xm:sqref>B2:B1048576</xm:sqref>
        </x14:dataValidation>
        <x14:dataValidation type="list" allowBlank="1" showInputMessage="1" showErrorMessage="1" xr:uid="{AB3CEC11-6698-46C9-815F-655CB7168961}">
          <x14:formula1>
            <xm:f>CHOOSE(MATCH(B2,Kategorie!$H$1:$J$1,0),Kategorie!$H$2:$H$4,Kategorie!$I$2:$I$3,Kategorie!$J$2:$J$3)</xm:f>
          </x14:formula1>
          <xm:sqref>C2:C1048576</xm:sqref>
        </x14:dataValidation>
        <x14:dataValidation type="list" allowBlank="1" showInputMessage="1" showErrorMessage="1" xr:uid="{5720B735-F5C4-4E53-8F33-563D75C6C323}">
          <x14:formula1>
            <xm:f>Kategorie!$A$1:$A$18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D917-8CE5-4880-9166-20FBF0B46970}">
  <dimension ref="A1:H18"/>
  <sheetViews>
    <sheetView workbookViewId="0">
      <selection activeCell="G18" sqref="G1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>
        <v>600</v>
      </c>
      <c r="D2" s="2">
        <f>SUMIFS(Operacje[Kwota],Operacje[Bank],styczeń_saldo[[#This Row],[Bank]],Operacje[Produkt],styczeń_saldo[[#This Row],[Produkt]],Operacje[Miesiąc],$B$11)</f>
        <v>1100</v>
      </c>
      <c r="E2" s="2">
        <f>styczeń_saldo[[#This Row],[Saldo Początkowe]]+styczeń_saldo[[#This Row],[Operacje]]</f>
        <v>1700</v>
      </c>
      <c r="G2" s="3" t="s">
        <v>1</v>
      </c>
      <c r="H2" s="2">
        <f>SUMIFS(Operacje[Kwota],Operacje[Kategoria],G2,Operacje[Miesiąc],$B$11)</f>
        <v>-1715</v>
      </c>
    </row>
    <row r="3" spans="1:8" x14ac:dyDescent="0.25">
      <c r="A3" t="s">
        <v>21</v>
      </c>
      <c r="B3" t="s">
        <v>23</v>
      </c>
      <c r="C3" s="2">
        <v>0</v>
      </c>
      <c r="D3" s="2">
        <f>SUMIFS(Operacje[Kwota],Operacje[Bank],styczeń_saldo[[#This Row],[Bank]],Operacje[Produkt],styczeń_saldo[[#This Row],[Produkt]],Operacje[Miesiąc],$B$11)</f>
        <v>-175</v>
      </c>
      <c r="E3" s="2">
        <f>styczeń_saldo[[#This Row],[Saldo Początkowe]]+styczeń_saldo[[#This Row],[Operacje]]</f>
        <v>-175</v>
      </c>
      <c r="G3" t="s">
        <v>2</v>
      </c>
      <c r="H3" s="2">
        <f>SUMIFS(Operacje[Kwota],Operacje[Kategoria],G3,Operacje[Miesiąc],$B$11)</f>
        <v>-80</v>
      </c>
    </row>
    <row r="4" spans="1:8" x14ac:dyDescent="0.25">
      <c r="A4" t="s">
        <v>21</v>
      </c>
      <c r="B4" t="s">
        <v>24</v>
      </c>
      <c r="C4" s="2">
        <v>2000</v>
      </c>
      <c r="D4" s="2">
        <f>SUMIFS(Operacje[Kwota],Operacje[Bank],styczeń_saldo[[#This Row],[Bank]],Operacje[Produkt],styczeń_saldo[[#This Row],[Produkt]],Operacje[Miesiąc],$B$11)</f>
        <v>-400</v>
      </c>
      <c r="E4" s="2">
        <f>styczeń_saldo[[#This Row],[Saldo Początkowe]]+styczeń_saldo[[#This Row],[Operacje]]</f>
        <v>1600</v>
      </c>
      <c r="G4" s="3" t="s">
        <v>38</v>
      </c>
      <c r="H4" s="2">
        <f>SUMIFS(Operacje[Kwota],Operacje[Kategoria],G4,Operacje[Miesiąc],$B$11)</f>
        <v>-150</v>
      </c>
    </row>
    <row r="5" spans="1:8" x14ac:dyDescent="0.25">
      <c r="A5" t="s">
        <v>22</v>
      </c>
      <c r="B5" t="s">
        <v>20</v>
      </c>
      <c r="C5" s="2">
        <v>100</v>
      </c>
      <c r="D5" s="2">
        <f>SUMIFS(Operacje[Kwota],Operacje[Bank],styczeń_saldo[[#This Row],[Bank]],Operacje[Produkt],styczeń_saldo[[#This Row],[Produkt]],Operacje[Miesiąc],$B$11)</f>
        <v>-35</v>
      </c>
      <c r="E5" s="2">
        <f>styczeń_saldo[[#This Row],[Saldo Początkowe]]+styczeń_saldo[[#This Row],[Operacje]]</f>
        <v>65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>
        <v>25</v>
      </c>
      <c r="D6" s="2">
        <f>SUMIFS(Operacje[Kwota],Operacje[Bank],styczeń_saldo[[#This Row],[Bank]],Operacje[Produkt],styczeń_saldo[[#This Row],[Produkt]],Operacje[Miesiąc],$B$11)</f>
        <v>255.5</v>
      </c>
      <c r="E6" s="2">
        <f>styczeń_saldo[[#This Row],[Saldo Początkowe]]+styczeń_saldo[[#This Row],[Operacje]]</f>
        <v>280.5</v>
      </c>
      <c r="G6" s="3" t="s">
        <v>5</v>
      </c>
      <c r="H6" s="2">
        <f>SUMIFS(Operacje[Kwota],Operacje[Kategoria],G6,Operacje[Miesiąc],$B$11)</f>
        <v>-100</v>
      </c>
    </row>
    <row r="7" spans="1:8" x14ac:dyDescent="0.25">
      <c r="A7" t="s">
        <v>30</v>
      </c>
      <c r="B7" t="s">
        <v>31</v>
      </c>
      <c r="C7" s="2">
        <v>9.5</v>
      </c>
      <c r="D7" s="2">
        <f>SUMIFS(Operacje[Kwota],Operacje[Bank],styczeń_saldo[[#This Row],[Bank]],Operacje[Produkt],styczeń_saldo[[#This Row],[Produkt]],Operacje[Miesiąc],$B$11)</f>
        <v>150</v>
      </c>
      <c r="E7" s="2">
        <f>styczeń_saldo[[#This Row],[Saldo Początkowe]]+styczeń_saldo[[#This Row],[Operacje]]</f>
        <v>159.5</v>
      </c>
      <c r="G7" t="s">
        <v>6</v>
      </c>
      <c r="H7" s="2">
        <f>SUMIFS(Operacje[Kwota],Operacje[Kategoria],G7,Operacje[Miesiąc],$B$11)</f>
        <v>-85</v>
      </c>
    </row>
    <row r="8" spans="1:8" x14ac:dyDescent="0.25">
      <c r="A8" t="s">
        <v>30</v>
      </c>
      <c r="B8" t="s">
        <v>32</v>
      </c>
      <c r="C8" s="2">
        <v>50</v>
      </c>
      <c r="D8" s="2">
        <f>SUMIFS(Operacje[Kwota],Operacje[Bank],styczeń_saldo[[#This Row],[Bank]],Operacje[Produkt],styczeń_saldo[[#This Row],[Produkt]],Operacje[Miesiąc],$B$11)</f>
        <v>-50</v>
      </c>
      <c r="E8" s="2">
        <f>styczeń_saldo[[#This Row],[Saldo Początkowe]]+styczeń_saldo[[#This Row],[Operacje]]</f>
        <v>0</v>
      </c>
      <c r="G8" s="3" t="s">
        <v>7</v>
      </c>
      <c r="H8" s="2">
        <f>SUMIFS(Operacje[Kwota],Operacje[Kategoria],G8,Operacje[Miesiąc],$B$11)</f>
        <v>-100</v>
      </c>
    </row>
    <row r="9" spans="1:8" x14ac:dyDescent="0.25">
      <c r="A9" t="s">
        <v>36</v>
      </c>
      <c r="C9" s="2">
        <f>SUM(C2:C8)</f>
        <v>2784.5</v>
      </c>
      <c r="D9" s="2">
        <f t="shared" ref="D9:E9" si="0">SUM(D2:D8)</f>
        <v>845.5</v>
      </c>
      <c r="E9" s="2">
        <f t="shared" si="0"/>
        <v>3630</v>
      </c>
      <c r="G9" t="s">
        <v>8</v>
      </c>
      <c r="H9" s="2">
        <f>SUMIFS(Operacje[Kwota],Operacje[Kategoria],G9,Operacje[Miesiąc],$B$11)</f>
        <v>-80</v>
      </c>
    </row>
    <row r="10" spans="1:8" ht="15.75" thickBot="1" x14ac:dyDescent="0.3">
      <c r="G10" s="3" t="s">
        <v>9</v>
      </c>
      <c r="H10" s="2">
        <f>SUMIFS(Operacje[Kwota],Operacje[Kategoria],G10,Operacje[Miesiąc],$B$11)</f>
        <v>-500</v>
      </c>
    </row>
    <row r="11" spans="1:8" ht="15.75" thickBot="1" x14ac:dyDescent="0.3">
      <c r="A11" s="14" t="s">
        <v>29</v>
      </c>
      <c r="B11" s="12">
        <v>1</v>
      </c>
      <c r="C11" s="13" t="str">
        <f>TEXT(DATE(2025,B11,1),"mmmm")</f>
        <v>styczeń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250</v>
      </c>
    </row>
    <row r="13" spans="1:8" x14ac:dyDescent="0.25">
      <c r="A13" s="8" t="s">
        <v>18</v>
      </c>
      <c r="B13" s="4">
        <f>SUMIFS(Operacje[Kwota],Operacje[Typ],A13,Operacje[Miesiąc],B11)</f>
        <v>5655.5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-4810</v>
      </c>
      <c r="G14" s="3" t="s">
        <v>14</v>
      </c>
      <c r="H14" s="2">
        <f>SUMIFS(Operacje[Kwota],Operacje[Kategoria],G14,Operacje[Miesiąc],$B$11)</f>
        <v>0</v>
      </c>
    </row>
    <row r="15" spans="1:8" ht="15.75" thickBot="1" x14ac:dyDescent="0.3">
      <c r="A15" s="10" t="s">
        <v>37</v>
      </c>
      <c r="B15" s="6">
        <f>SUM(B13:B14)</f>
        <v>845.5</v>
      </c>
      <c r="G15" t="s">
        <v>15</v>
      </c>
      <c r="H15" s="2">
        <f>SUMIFS(Operacje[Kwota],Operacje[Kategoria],G15,Operacje[Miesiąc],$B$11)</f>
        <v>105.5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800</v>
      </c>
    </row>
    <row r="18" spans="7:8" x14ac:dyDescent="0.25">
      <c r="G18" s="11" t="s">
        <v>36</v>
      </c>
      <c r="H18" s="2">
        <f>SUM(H2:H17)</f>
        <v>845.5</v>
      </c>
    </row>
  </sheetData>
  <conditionalFormatting sqref="G2:G18">
    <cfRule type="expression" dxfId="106" priority="1">
      <formula>$B2="Wydatki"</formula>
    </cfRule>
    <cfRule type="expression" dxfId="105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8BB-0F29-4EBC-A964-6D1E5CD40D71}">
  <dimension ref="A1:H18"/>
  <sheetViews>
    <sheetView workbookViewId="0">
      <selection activeCell="H18" sqref="H1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1700</v>
      </c>
      <c r="D2" s="2">
        <f>SUMIFS(Operacje[Kwota],Operacje[Bank],luty_saldo[[#This Row],[Bank]],Operacje[Produkt],luty_saldo[[#This Row],[Produkt]],Operacje[Miesiąc],$B$11)</f>
        <v>2039.5</v>
      </c>
      <c r="E2" s="2">
        <f ca="1">luty_saldo[[#This Row],[Saldo Początkowe]]+luty_saldo[[#This Row],[Operacje]]</f>
        <v>3739.5</v>
      </c>
      <c r="G2" s="3" t="s">
        <v>1</v>
      </c>
      <c r="H2" s="2">
        <f>SUMIFS(Operacje[Kwota],Operacje[Kategoria],G2,Operacje[Miesiąc],$B$11)</f>
        <v>-405.5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-175</v>
      </c>
      <c r="D3" s="2">
        <f>SUMIFS(Operacje[Kwota],Operacje[Bank],luty_saldo[[#This Row],[Bank]],Operacje[Produkt],luty_saldo[[#This Row],[Produkt]],Operacje[Miesiąc],$B$11)</f>
        <v>175</v>
      </c>
      <c r="E3" s="2">
        <f ca="1">luty_saldo[[#This Row],[Saldo Początkowe]]+luty_saldo[[#This Row],[Operacje]]</f>
        <v>0</v>
      </c>
      <c r="G3" t="s">
        <v>2</v>
      </c>
      <c r="H3" s="2">
        <f>SUMIFS(Operacje[Kwota],Operacje[Kategoria],G3,Operacje[Miesiąc],$B$11)</f>
        <v>-80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1600</v>
      </c>
      <c r="D4" s="2">
        <f>SUMIFS(Operacje[Kwota],Operacje[Bank],luty_saldo[[#This Row],[Bank]],Operacje[Produkt],luty_saldo[[#This Row],[Produkt]],Operacje[Miesiąc],$B$11)</f>
        <v>-400</v>
      </c>
      <c r="E4" s="2">
        <f ca="1">luty_saldo[[#This Row],[Saldo Początkowe]]+luty_saldo[[#This Row],[Operacje]]</f>
        <v>1200</v>
      </c>
      <c r="G4" s="3" t="s">
        <v>38</v>
      </c>
      <c r="H4" s="2">
        <f>SUMIFS(Operacje[Kwota],Operacje[Kategoria],G4,Operacje[Miesiąc],$B$11)</f>
        <v>-150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65</v>
      </c>
      <c r="D5" s="2">
        <f>SUMIFS(Operacje[Kwota],Operacje[Bank],luty_saldo[[#This Row],[Bank]],Operacje[Produkt],luty_saldo[[#This Row],[Produkt]],Operacje[Miesiąc],$B$11)</f>
        <v>35</v>
      </c>
      <c r="E5" s="2">
        <f ca="1">luty_saldo[[#This Row],[Saldo Początkowe]]+luty_saldo[[#This Row],[Operacje]]</f>
        <v>100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280.5</v>
      </c>
      <c r="D6" s="2">
        <f>SUMIFS(Operacje[Kwota],Operacje[Bank],luty_saldo[[#This Row],[Bank]],Operacje[Produkt],luty_saldo[[#This Row],[Produkt]],Operacje[Miesiąc],$B$11)</f>
        <v>15</v>
      </c>
      <c r="E6" s="2">
        <f ca="1">luty_saldo[[#This Row],[Saldo Początkowe]]+luty_saldo[[#This Row],[Operacje]]</f>
        <v>295.5</v>
      </c>
      <c r="G6" s="3" t="s">
        <v>5</v>
      </c>
      <c r="H6" s="2">
        <f>SUMIFS(Operacje[Kwota],Operacje[Kategoria],G6,Operacje[Miesiąc],$B$11)</f>
        <v>-100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159.5</v>
      </c>
      <c r="D7" s="2">
        <f>SUMIFS(Operacje[Kwota],Operacje[Bank],luty_saldo[[#This Row],[Bank]],Operacje[Produkt],luty_saldo[[#This Row],[Produkt]],Operacje[Miesiąc],$B$11)</f>
        <v>500</v>
      </c>
      <c r="E7" s="2">
        <f ca="1">luty_saldo[[#This Row],[Saldo Początkowe]]+luty_saldo[[#This Row],[Operacje]]</f>
        <v>659.5</v>
      </c>
      <c r="G7" t="s">
        <v>6</v>
      </c>
      <c r="H7" s="2">
        <f>SUMIFS(Operacje[Kwota],Operacje[Kategoria],G7,Operacje[Miesiąc],$B$11)</f>
        <v>-350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SUMIFS(Operacje[Kwota],Operacje[Bank],luty_saldo[[#This Row],[Bank]],Operacje[Produkt],luty_saldo[[#This Row],[Produkt]],Operacje[Miesiąc],$B$11)</f>
        <v>100</v>
      </c>
      <c r="E8" s="2">
        <f ca="1">luty_saldo[[#This Row],[Saldo Początkowe]]+luty_saldo[[#This Row],[Operacje]]</f>
        <v>100</v>
      </c>
      <c r="G8" s="3" t="s">
        <v>7</v>
      </c>
      <c r="H8" s="2">
        <f>SUMIFS(Operacje[Kwota],Operacje[Kategoria],G8,Operacje[Miesiąc],$B$11)</f>
        <v>-250</v>
      </c>
    </row>
    <row r="9" spans="1:8" x14ac:dyDescent="0.25">
      <c r="A9" t="s">
        <v>36</v>
      </c>
      <c r="C9" s="2">
        <f ca="1">SUM(C2:C8)</f>
        <v>3630</v>
      </c>
      <c r="D9" s="2">
        <f t="shared" ref="D9:E9" si="0">SUM(D2:D8)</f>
        <v>2464.5</v>
      </c>
      <c r="E9" s="2">
        <f t="shared" ca="1" si="0"/>
        <v>6094.5</v>
      </c>
      <c r="G9" t="s">
        <v>8</v>
      </c>
      <c r="H9" s="2">
        <f>SUMIFS(Operacje[Kwota],Operacje[Kategoria],G9,Operacje[Miesiąc],$B$11)</f>
        <v>0</v>
      </c>
    </row>
    <row r="10" spans="1:8" x14ac:dyDescent="0.25">
      <c r="G10" s="3" t="s">
        <v>9</v>
      </c>
      <c r="H10" s="2">
        <f>SUMIFS(Operacje[Kwota],Operacje[Kategoria],G10,Operacje[Miesiąc],$B$11)</f>
        <v>-765</v>
      </c>
    </row>
    <row r="11" spans="1:8" x14ac:dyDescent="0.25">
      <c r="A11" t="s">
        <v>29</v>
      </c>
      <c r="B11">
        <v>2</v>
      </c>
      <c r="C11" t="str">
        <f>TEXT(DATE(2025,B11,1),"mmmm")</f>
        <v>luty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6565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-4100.5</v>
      </c>
      <c r="G14" s="3" t="s">
        <v>14</v>
      </c>
      <c r="H14" s="2">
        <f>SUMIFS(Operacje[Kwota],Operacje[Kategoria],G14,Operacje[Miesiąc],$B$11)</f>
        <v>0</v>
      </c>
    </row>
    <row r="15" spans="1:8" ht="15.75" thickBot="1" x14ac:dyDescent="0.3">
      <c r="A15" s="10" t="s">
        <v>37</v>
      </c>
      <c r="B15" s="6">
        <f>SUM(B13:B14)</f>
        <v>2464.5</v>
      </c>
      <c r="G15" t="s">
        <v>15</v>
      </c>
      <c r="H15" s="2">
        <f>SUMIFS(Operacje[Kwota],Operacje[Kategoria],G15,Operacje[Miesiąc],$B$11)</f>
        <v>115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1950</v>
      </c>
    </row>
    <row r="18" spans="7:8" x14ac:dyDescent="0.25">
      <c r="G18" s="11" t="s">
        <v>36</v>
      </c>
      <c r="H18" s="2">
        <f>SUM(H2:H17)</f>
        <v>2464.5</v>
      </c>
    </row>
  </sheetData>
  <conditionalFormatting sqref="G2:G18">
    <cfRule type="expression" dxfId="104" priority="3">
      <formula>$B2="Wydatki"</formula>
    </cfRule>
    <cfRule type="expression" dxfId="103" priority="4">
      <formula>$B2="Wpływy"</formula>
    </cfRule>
  </conditionalFormatting>
  <conditionalFormatting sqref="G18">
    <cfRule type="expression" dxfId="49" priority="1">
      <formula>$B18="Wydatki"</formula>
    </cfRule>
    <cfRule type="expression" dxfId="48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53F9-8CBD-4A2D-9424-54788CC5137B}">
  <dimension ref="A1:H18"/>
  <sheetViews>
    <sheetView workbookViewId="0">
      <selection activeCell="H2" sqref="H2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3739.5</v>
      </c>
      <c r="D2" s="2">
        <f>SUMIFS(Operacje[Kwota],Operacje[Bank],marzec_saldo[[#This Row],[Bank]],Operacje[Produkt],marzec_saldo[[#This Row],[Produkt]],Operacje[Miesiąc],$B$11)</f>
        <v>821.59999999999991</v>
      </c>
      <c r="E2" s="2">
        <f ca="1">marzec_saldo[[#This Row],[Saldo Początkowe]]+marzec_saldo[[#This Row],[Operacje]]</f>
        <v>4561.1000000000004</v>
      </c>
      <c r="G2" s="3" t="s">
        <v>1</v>
      </c>
      <c r="H2" s="2">
        <f>SUMIFS(Operacje[Kwota],Operacje[Kategoria],G2,Operacje[Miesiąc],$B$11)</f>
        <v>-734.99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0</v>
      </c>
      <c r="D3" s="2">
        <f>SUMIFS(Operacje[Kwota],Operacje[Bank],marzec_saldo[[#This Row],[Bank]],Operacje[Produkt],marzec_saldo[[#This Row],[Produkt]],Operacje[Miesiąc],$B$11)</f>
        <v>-104.5</v>
      </c>
      <c r="E3" s="2">
        <f ca="1">marzec_saldo[[#This Row],[Saldo Początkowe]]+marzec_saldo[[#This Row],[Operacje]]</f>
        <v>-104.5</v>
      </c>
      <c r="G3" t="s">
        <v>2</v>
      </c>
      <c r="H3" s="2">
        <f>SUMIFS(Operacje[Kwota],Operacje[Kategoria],G3,Operacje[Miesiąc],$B$11)</f>
        <v>-82.5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SUMIFS(Operacje[Kwota],Operacje[Bank],marzec_saldo[[#This Row],[Bank]],Operacje[Produkt],marzec_saldo[[#This Row],[Produkt]],Operacje[Miesiąc],$B$11)</f>
        <v>0</v>
      </c>
      <c r="E4" s="2">
        <f ca="1">marzec_saldo[[#This Row],[Saldo Początkowe]]+marzec_saldo[[#This Row],[Operacje]]</f>
        <v>1200</v>
      </c>
      <c r="G4" s="3" t="s">
        <v>38</v>
      </c>
      <c r="H4" s="2">
        <f>SUMIFS(Operacje[Kwota],Operacje[Kategoria],G4,Operacje[Miesiąc],$B$11)</f>
        <v>-23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100</v>
      </c>
      <c r="D5" s="2">
        <f>SUMIFS(Operacje[Kwota],Operacje[Bank],marzec_saldo[[#This Row],[Bank]],Operacje[Produkt],marzec_saldo[[#This Row],[Produkt]],Operacje[Miesiąc],$B$11)</f>
        <v>67.5</v>
      </c>
      <c r="E5" s="2">
        <f ca="1">marzec_saldo[[#This Row],[Saldo Początkowe]]+marzec_saldo[[#This Row],[Operacje]]</f>
        <v>167.5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295.5</v>
      </c>
      <c r="D6" s="2">
        <f>SUMIFS(Operacje[Kwota],Operacje[Bank],marzec_saldo[[#This Row],[Bank]],Operacje[Produkt],marzec_saldo[[#This Row],[Produkt]],Operacje[Miesiąc],$B$11)</f>
        <v>5</v>
      </c>
      <c r="E6" s="2">
        <f ca="1">marzec_saldo[[#This Row],[Saldo Początkowe]]+marzec_saldo[[#This Row],[Operacje]]</f>
        <v>300.5</v>
      </c>
      <c r="G6" s="3" t="s">
        <v>5</v>
      </c>
      <c r="H6" s="2">
        <f>SUMIFS(Operacje[Kwota],Operacje[Kategoria],G6,Operacje[Miesiąc],$B$11)</f>
        <v>-79.5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659.5</v>
      </c>
      <c r="D7" s="2">
        <f>SUMIFS(Operacje[Kwota],Operacje[Bank],marzec_saldo[[#This Row],[Bank]],Operacje[Produkt],marzec_saldo[[#This Row],[Produkt]],Operacje[Miesiąc],$B$11)</f>
        <v>-9.5</v>
      </c>
      <c r="E7" s="2">
        <f ca="1">marzec_saldo[[#This Row],[Saldo Początkowe]]+marzec_saldo[[#This Row],[Operacje]]</f>
        <v>650</v>
      </c>
      <c r="G7" t="s">
        <v>6</v>
      </c>
      <c r="H7" s="2">
        <f>SUMIFS(Operacje[Kwota],Operacje[Kategoria],G7,Operacje[Miesiąc],$B$11)</f>
        <v>-200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100</v>
      </c>
      <c r="D8" s="2">
        <f>SUMIFS(Operacje[Kwota],Operacje[Bank],marzec_saldo[[#This Row],[Bank]],Operacje[Produkt],marzec_saldo[[#This Row],[Produkt]],Operacje[Miesiąc],$B$11)</f>
        <v>-24.49</v>
      </c>
      <c r="E8" s="2">
        <f ca="1">marzec_saldo[[#This Row],[Saldo Początkowe]]+marzec_saldo[[#This Row],[Operacje]]</f>
        <v>75.510000000000005</v>
      </c>
      <c r="G8" s="3" t="s">
        <v>7</v>
      </c>
      <c r="H8" s="2">
        <f>SUMIFS(Operacje[Kwota],Operacje[Kategoria],G8,Operacje[Miesiąc],$B$11)</f>
        <v>-9.5</v>
      </c>
    </row>
    <row r="9" spans="1:8" x14ac:dyDescent="0.25">
      <c r="A9" t="s">
        <v>36</v>
      </c>
      <c r="C9" s="2">
        <f ca="1">SUM(C2:C8)</f>
        <v>6094.5</v>
      </c>
      <c r="D9" s="2">
        <f t="shared" ref="D9:E9" si="0">SUM(D2:D8)</f>
        <v>755.6099999999999</v>
      </c>
      <c r="E9" s="2">
        <f t="shared" ca="1" si="0"/>
        <v>6850.1100000000006</v>
      </c>
      <c r="G9" t="s">
        <v>8</v>
      </c>
      <c r="H9" s="2">
        <f>SUMIFS(Operacje[Kwota],Operacje[Kategoria],G9,Operacje[Miesiąc],$B$11)</f>
        <v>-469.9</v>
      </c>
    </row>
    <row r="10" spans="1:8" x14ac:dyDescent="0.25">
      <c r="G10" s="3" t="s">
        <v>9</v>
      </c>
      <c r="H10" s="2">
        <f>SUMIFS(Operacje[Kwota],Operacje[Kategoria],G10,Operacje[Miesiąc],$B$11)</f>
        <v>-300</v>
      </c>
    </row>
    <row r="11" spans="1:8" x14ac:dyDescent="0.25">
      <c r="A11" t="s">
        <v>29</v>
      </c>
      <c r="B11">
        <v>3</v>
      </c>
      <c r="C11" t="str">
        <f>TEXT(DATE(2025,B11,1),"mmmm")</f>
        <v>marzec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4655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-3899.39</v>
      </c>
      <c r="G14" s="3" t="s">
        <v>14</v>
      </c>
      <c r="H14" s="2">
        <f>SUMIFS(Operacje[Kwota],Operacje[Kategoria],G14,Operacje[Miesiąc],$B$11)</f>
        <v>5</v>
      </c>
    </row>
    <row r="15" spans="1:8" ht="15.75" thickBot="1" x14ac:dyDescent="0.3">
      <c r="A15" s="10" t="s">
        <v>37</v>
      </c>
      <c r="B15" s="6">
        <f>SUM(B13:B14)</f>
        <v>755.61000000000013</v>
      </c>
      <c r="G15" t="s">
        <v>15</v>
      </c>
      <c r="H15" s="2">
        <f>SUMIFS(Operacje[Kwota],Operacje[Kategoria],G15,Operacje[Miesiąc],$B$11)</f>
        <v>150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755.61000000000013</v>
      </c>
    </row>
  </sheetData>
  <conditionalFormatting sqref="G2:G3 G5:G17">
    <cfRule type="expression" dxfId="102" priority="7">
      <formula>$B2="Wydatki"</formula>
    </cfRule>
    <cfRule type="expression" dxfId="101" priority="8">
      <formula>$B2="Wpływy"</formula>
    </cfRule>
  </conditionalFormatting>
  <conditionalFormatting sqref="G4">
    <cfRule type="expression" dxfId="100" priority="5">
      <formula>$B4="Wydatki"</formula>
    </cfRule>
    <cfRule type="expression" dxfId="99" priority="6">
      <formula>$B4="Wpływy"</formula>
    </cfRule>
  </conditionalFormatting>
  <conditionalFormatting sqref="G18">
    <cfRule type="expression" dxfId="44" priority="3">
      <formula>$B18="Wydatki"</formula>
    </cfRule>
    <cfRule type="expression" dxfId="43" priority="4">
      <formula>$B18="Wpływy"</formula>
    </cfRule>
  </conditionalFormatting>
  <conditionalFormatting sqref="G18">
    <cfRule type="expression" dxfId="42" priority="1">
      <formula>$B18="Wydatki"</formula>
    </cfRule>
    <cfRule type="expression" dxfId="41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760-B68B-42BB-8EAA-BEE3E7BA80F2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4561.1000000000004</v>
      </c>
      <c r="D2" s="2">
        <f>SUMIFS(Operacje[Kwota],Operacje[Bank],kwiecień_saldo[[#This Row],[Bank]],Operacje[Produkt],kwiecień_saldo[[#This Row],[Produkt]],Operacje[Miesiąc],$B$11)</f>
        <v>562.72999999999968</v>
      </c>
      <c r="E2" s="2">
        <f ca="1">kwiecień_saldo[[#This Row],[Saldo Początkowe]]+kwiecień_saldo[[#This Row],[Operacje]]</f>
        <v>5123.83</v>
      </c>
      <c r="G2" s="3" t="s">
        <v>1</v>
      </c>
      <c r="H2" s="2">
        <f>SUMIFS(Operacje[Kwota],Operacje[Kategoria],G2,Operacje[Miesiąc],$B$11)</f>
        <v>-372.26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-104.5</v>
      </c>
      <c r="D3" s="2">
        <f>SUMIFS(Operacje[Kwota],Operacje[Bank],kwiecień_saldo[[#This Row],[Bank]],Operacje[Produkt],kwiecień_saldo[[#This Row],[Produkt]],Operacje[Miesiąc],$B$11)</f>
        <v>13.11</v>
      </c>
      <c r="E3" s="2">
        <f ca="1">kwiecień_saldo[[#This Row],[Saldo Początkowe]]+kwiecień_saldo[[#This Row],[Operacje]]</f>
        <v>-91.39</v>
      </c>
      <c r="G3" t="s">
        <v>2</v>
      </c>
      <c r="H3" s="2">
        <f>SUMIFS(Operacje[Kwota],Operacje[Kategoria],G3,Operacje[Miesiąc],$B$11)</f>
        <v>-82.5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SUMIFS(Operacje[Kwota],Operacje[Bank],kwiecień_saldo[[#This Row],[Bank]],Operacje[Produkt],kwiecień_saldo[[#This Row],[Produkt]],Operacje[Miesiąc],$B$11)</f>
        <v>0</v>
      </c>
      <c r="E4" s="2">
        <f ca="1">kwiecień_saldo[[#This Row],[Saldo Początkowe]]+kwiecień_saldo[[#This Row],[Operacje]]</f>
        <v>1200</v>
      </c>
      <c r="G4" s="3" t="s">
        <v>38</v>
      </c>
      <c r="H4" s="2">
        <f>SUMIFS(Operacje[Kwota],Operacje[Kategoria],G4,Operacje[Miesiąc],$B$11)</f>
        <v>-49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167.5</v>
      </c>
      <c r="D5" s="2">
        <f>SUMIFS(Operacje[Kwota],Operacje[Bank],kwiecień_saldo[[#This Row],[Bank]],Operacje[Produkt],kwiecień_saldo[[#This Row],[Produkt]],Operacje[Miesiąc],$B$11)</f>
        <v>101</v>
      </c>
      <c r="E5" s="2">
        <f ca="1">kwiecień_saldo[[#This Row],[Saldo Początkowe]]+kwiecień_saldo[[#This Row],[Operacje]]</f>
        <v>268.5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300.5</v>
      </c>
      <c r="D6" s="2">
        <f>SUMIFS(Operacje[Kwota],Operacje[Bank],kwiecień_saldo[[#This Row],[Bank]],Operacje[Produkt],kwiecień_saldo[[#This Row],[Produkt]],Operacje[Miesiąc],$B$11)</f>
        <v>50</v>
      </c>
      <c r="E6" s="2">
        <f ca="1">kwiecień_saldo[[#This Row],[Saldo Początkowe]]+kwiecień_saldo[[#This Row],[Operacje]]</f>
        <v>350.5</v>
      </c>
      <c r="G6" s="3" t="s">
        <v>5</v>
      </c>
      <c r="H6" s="2">
        <f>SUMIFS(Operacje[Kwota],Operacje[Kategoria],G6,Operacje[Miesiąc],$B$11)</f>
        <v>-139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650</v>
      </c>
      <c r="D7" s="2">
        <f>SUMIFS(Operacje[Kwota],Operacje[Bank],kwiecień_saldo[[#This Row],[Bank]],Operacje[Produkt],kwiecień_saldo[[#This Row],[Produkt]],Operacje[Miesiąc],$B$11)</f>
        <v>0</v>
      </c>
      <c r="E7" s="2">
        <f ca="1">kwiecień_saldo[[#This Row],[Saldo Początkowe]]+kwiecień_saldo[[#This Row],[Operacje]]</f>
        <v>650</v>
      </c>
      <c r="G7" t="s">
        <v>6</v>
      </c>
      <c r="H7" s="2">
        <f>SUMIFS(Operacje[Kwota],Operacje[Kategoria],G7,Operacje[Miesiąc],$B$11)</f>
        <v>-1057.9000000000001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75.510000000000005</v>
      </c>
      <c r="D8" s="2">
        <f>SUMIFS(Operacje[Kwota],Operacje[Bank],kwiecień_saldo[[#This Row],[Bank]],Operacje[Produkt],kwiecień_saldo[[#This Row],[Produkt]],Operacje[Miesiąc],$B$11)</f>
        <v>0</v>
      </c>
      <c r="E8" s="2">
        <f ca="1">kwiecień_saldo[[#This Row],[Saldo Początkowe]]+kwiecień_saldo[[#This Row],[Operacje]]</f>
        <v>75.510000000000005</v>
      </c>
      <c r="G8" s="3" t="s">
        <v>7</v>
      </c>
      <c r="H8" s="2">
        <f>SUMIFS(Operacje[Kwota],Operacje[Kategoria],G8,Operacje[Miesiąc],$B$11)</f>
        <v>-23.5</v>
      </c>
    </row>
    <row r="9" spans="1:8" x14ac:dyDescent="0.25">
      <c r="A9" t="s">
        <v>36</v>
      </c>
      <c r="C9" s="2">
        <f ca="1">SUM(C2:C8)</f>
        <v>6850.1100000000006</v>
      </c>
      <c r="D9" s="2">
        <f t="shared" ref="D9:E9" si="0">SUM(D2:D8)</f>
        <v>726.83999999999969</v>
      </c>
      <c r="E9" s="2">
        <f t="shared" ca="1" si="0"/>
        <v>7576.95</v>
      </c>
      <c r="G9" t="s">
        <v>8</v>
      </c>
      <c r="H9" s="2">
        <f>SUMIFS(Operacje[Kwota],Operacje[Kategoria],G9,Operacje[Miesiąc],$B$11)</f>
        <v>-149</v>
      </c>
    </row>
    <row r="10" spans="1:8" x14ac:dyDescent="0.25">
      <c r="G10" s="3" t="s">
        <v>9</v>
      </c>
      <c r="H10" s="2">
        <f>SUMIFS(Operacje[Kwota],Operacje[Kategoria],G10,Operacje[Miesiąc],$B$11)</f>
        <v>-100</v>
      </c>
    </row>
    <row r="11" spans="1:8" x14ac:dyDescent="0.25">
      <c r="A11" t="s">
        <v>29</v>
      </c>
      <c r="B11">
        <v>4</v>
      </c>
      <c r="C11" t="str">
        <f>TEXT(DATE(2025,B11,1),"mmmm")</f>
        <v>kwiecień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4550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-3823.16</v>
      </c>
      <c r="G14" s="3" t="s">
        <v>14</v>
      </c>
      <c r="H14" s="2">
        <f>SUMIFS(Operacje[Kwota],Operacje[Kategoria],G14,Operacje[Miesiąc],$B$11)</f>
        <v>50</v>
      </c>
    </row>
    <row r="15" spans="1:8" ht="15.75" thickBot="1" x14ac:dyDescent="0.3">
      <c r="A15" s="10" t="s">
        <v>37</v>
      </c>
      <c r="B15" s="6">
        <f>SUM(B13:B14)</f>
        <v>726.84000000000015</v>
      </c>
      <c r="G15" t="s">
        <v>15</v>
      </c>
      <c r="H15" s="2">
        <f>SUMIFS(Operacje[Kwota],Operacje[Kategoria],G15,Operacje[Miesiąc],$B$11)</f>
        <v>150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726.83999999999969</v>
      </c>
    </row>
  </sheetData>
  <conditionalFormatting sqref="G2:G3 G5:G17">
    <cfRule type="expression" dxfId="98" priority="7">
      <formula>$B2="Wydatki"</formula>
    </cfRule>
    <cfRule type="expression" dxfId="97" priority="8">
      <formula>$B2="Wpływy"</formula>
    </cfRule>
  </conditionalFormatting>
  <conditionalFormatting sqref="G4">
    <cfRule type="expression" dxfId="96" priority="5">
      <formula>$B4="Wydatki"</formula>
    </cfRule>
    <cfRule type="expression" dxfId="95" priority="6">
      <formula>$B4="Wpływy"</formula>
    </cfRule>
  </conditionalFormatting>
  <conditionalFormatting sqref="G18">
    <cfRule type="expression" dxfId="40" priority="3">
      <formula>$B18="Wydatki"</formula>
    </cfRule>
    <cfRule type="expression" dxfId="39" priority="4">
      <formula>$B18="Wpływy"</formula>
    </cfRule>
  </conditionalFormatting>
  <conditionalFormatting sqref="G18">
    <cfRule type="expression" dxfId="38" priority="1">
      <formula>$B18="Wydatki"</formula>
    </cfRule>
    <cfRule type="expression" dxfId="37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B1A2-DFF5-4523-9F76-9DF283151289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5123.83</v>
      </c>
      <c r="D2" s="2">
        <f>SUMIFS(Operacje[Kwota],Operacje[Bank],maj_saldo[[#This Row],[Bank]],Operacje[Produkt],maj_saldo[[#This Row],[Produkt]],Operacje[Miesiąc],$B$11)</f>
        <v>2328.61</v>
      </c>
      <c r="E2" s="2">
        <f ca="1">maj_saldo[[#This Row],[Saldo Początkowe]]+maj_saldo[[#This Row],[Operacje]]</f>
        <v>7452.4400000000005</v>
      </c>
      <c r="G2" s="3" t="s">
        <v>1</v>
      </c>
      <c r="H2" s="2">
        <f>SUMIFS(Operacje[Kwota],Operacje[Kategoria],G2,Operacje[Miesiąc],$B$11)</f>
        <v>-1000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-91.39</v>
      </c>
      <c r="D3" s="2">
        <f>SUMIFS(Operacje[Kwota],Operacje[Bank],maj_saldo[[#This Row],[Bank]],Operacje[Produkt],maj_saldo[[#This Row],[Produkt]],Operacje[Miesiąc],$B$11)</f>
        <v>-908.61</v>
      </c>
      <c r="E3" s="2">
        <f ca="1">maj_saldo[[#This Row],[Saldo Początkowe]]+maj_saldo[[#This Row],[Operacje]]</f>
        <v>-1000</v>
      </c>
      <c r="G3" t="s">
        <v>2</v>
      </c>
      <c r="H3" s="2">
        <f>SUMIFS(Operacje[Kwota],Operacje[Kategoria],G3,Operacje[Miesiąc],$B$11)</f>
        <v>-80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SUMIFS(Operacje[Kwota],Operacje[Bank],maj_saldo[[#This Row],[Bank]],Operacje[Produkt],maj_saldo[[#This Row],[Produkt]],Operacje[Miesiąc],$B$11)</f>
        <v>0</v>
      </c>
      <c r="E4" s="2">
        <f ca="1">maj_saldo[[#This Row],[Saldo Początkowe]]+maj_saldo[[#This Row],[Operacje]]</f>
        <v>1200</v>
      </c>
      <c r="G4" s="3" t="s">
        <v>38</v>
      </c>
      <c r="H4" s="2">
        <f>SUMIFS(Operacje[Kwota],Operacje[Kategoria],G4,Operacje[Miesiąc],$B$11)</f>
        <v>-50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268.5</v>
      </c>
      <c r="D5" s="2">
        <f>SUMIFS(Operacje[Kwota],Operacje[Bank],maj_saldo[[#This Row],[Bank]],Operacje[Produkt],maj_saldo[[#This Row],[Produkt]],Operacje[Miesiąc],$B$11)</f>
        <v>-50</v>
      </c>
      <c r="E5" s="2">
        <f ca="1">maj_saldo[[#This Row],[Saldo Początkowe]]+maj_saldo[[#This Row],[Operacje]]</f>
        <v>218.5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350.5</v>
      </c>
      <c r="D6" s="2">
        <f>SUMIFS(Operacje[Kwota],Operacje[Bank],maj_saldo[[#This Row],[Bank]],Operacje[Produkt],maj_saldo[[#This Row],[Produkt]],Operacje[Miesiąc],$B$11)</f>
        <v>0</v>
      </c>
      <c r="E6" s="2">
        <f ca="1">maj_saldo[[#This Row],[Saldo Początkowe]]+maj_saldo[[#This Row],[Operacje]]</f>
        <v>350.5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650</v>
      </c>
      <c r="D7" s="2">
        <f>SUMIFS(Operacje[Kwota],Operacje[Bank],maj_saldo[[#This Row],[Bank]],Operacje[Produkt],maj_saldo[[#This Row],[Produkt]],Operacje[Miesiąc],$B$11)</f>
        <v>-80</v>
      </c>
      <c r="E7" s="2">
        <f ca="1">maj_saldo[[#This Row],[Saldo Początkowe]]+maj_saldo[[#This Row],[Operacje]]</f>
        <v>570</v>
      </c>
      <c r="G7" t="s">
        <v>6</v>
      </c>
      <c r="H7" s="2">
        <f>SUMIFS(Operacje[Kwota],Operacje[Kategoria],G7,Operacje[Miesiąc],$B$11)</f>
        <v>-80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75.510000000000005</v>
      </c>
      <c r="D8" s="2">
        <f>SUMIFS(Operacje[Kwota],Operacje[Bank],maj_saldo[[#This Row],[Bank]],Operacje[Produkt],maj_saldo[[#This Row],[Produkt]],Operacje[Miesiąc],$B$11)</f>
        <v>0</v>
      </c>
      <c r="E8" s="2">
        <f ca="1">maj_saldo[[#This Row],[Saldo Początkowe]]+maj_saldo[[#This Row],[Operacje]]</f>
        <v>75.510000000000005</v>
      </c>
      <c r="G8" s="3" t="s">
        <v>7</v>
      </c>
      <c r="H8" s="2">
        <f>SUMIFS(Operacje[Kwota],Operacje[Kategoria],G8,Operacje[Miesiąc],$B$11)</f>
        <v>0</v>
      </c>
    </row>
    <row r="9" spans="1:8" x14ac:dyDescent="0.25">
      <c r="A9" t="s">
        <v>36</v>
      </c>
      <c r="C9" s="2">
        <f ca="1">SUM(C2:C8)</f>
        <v>7576.95</v>
      </c>
      <c r="D9" s="2">
        <f t="shared" ref="D9:E9" si="0">SUM(D2:D8)</f>
        <v>1290</v>
      </c>
      <c r="E9" s="2">
        <f t="shared" ca="1" si="0"/>
        <v>8866.9500000000007</v>
      </c>
      <c r="G9" t="s">
        <v>8</v>
      </c>
      <c r="H9" s="2">
        <f>SUMIFS(Operacje[Kwota],Operacje[Kategoria],G9,Operacje[Miesiąc],$B$11)</f>
        <v>0</v>
      </c>
    </row>
    <row r="10" spans="1:8" x14ac:dyDescent="0.25">
      <c r="G10" s="3" t="s">
        <v>9</v>
      </c>
      <c r="H10" s="2">
        <f>SUMIFS(Operacje[Kwota],Operacje[Kategoria],G10,Operacje[Miesiąc],$B$11)</f>
        <v>0</v>
      </c>
    </row>
    <row r="11" spans="1:8" x14ac:dyDescent="0.25">
      <c r="A11" t="s">
        <v>29</v>
      </c>
      <c r="B11">
        <v>5</v>
      </c>
      <c r="C11" t="str">
        <f>TEXT(DATE(2025,B11,1),"mmmm")</f>
        <v>maj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4500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-3210</v>
      </c>
      <c r="G14" s="3" t="s">
        <v>14</v>
      </c>
      <c r="H14" s="2">
        <f>SUMIFS(Operacje[Kwota],Operacje[Kategoria],G14,Operacje[Miesiąc],$B$11)</f>
        <v>0</v>
      </c>
    </row>
    <row r="15" spans="1:8" ht="15.75" thickBot="1" x14ac:dyDescent="0.3">
      <c r="A15" s="10" t="s">
        <v>37</v>
      </c>
      <c r="B15" s="6">
        <f>SUM(B13:B14)</f>
        <v>1290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1290</v>
      </c>
    </row>
  </sheetData>
  <conditionalFormatting sqref="G2:G3 G5:G17">
    <cfRule type="expression" dxfId="94" priority="7">
      <formula>$B2="Wydatki"</formula>
    </cfRule>
    <cfRule type="expression" dxfId="93" priority="8">
      <formula>$B2="Wpływy"</formula>
    </cfRule>
  </conditionalFormatting>
  <conditionalFormatting sqref="G4">
    <cfRule type="expression" dxfId="92" priority="5">
      <formula>$B4="Wydatki"</formula>
    </cfRule>
    <cfRule type="expression" dxfId="91" priority="6">
      <formula>$B4="Wpływy"</formula>
    </cfRule>
  </conditionalFormatting>
  <conditionalFormatting sqref="G18">
    <cfRule type="expression" dxfId="36" priority="3">
      <formula>$B18="Wydatki"</formula>
    </cfRule>
    <cfRule type="expression" dxfId="35" priority="4">
      <formula>$B18="Wpływy"</formula>
    </cfRule>
  </conditionalFormatting>
  <conditionalFormatting sqref="G18">
    <cfRule type="expression" dxfId="34" priority="1">
      <formula>$B18="Wydatki"</formula>
    </cfRule>
    <cfRule type="expression" dxfId="33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A5A5-9E7F-4095-8E19-5D800AC497F8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7452.4400000000005</v>
      </c>
      <c r="D2" s="2">
        <f>SUMIFS(Operacje[Kwota],Operacje[Bank],czerwiec_saldo[[#This Row],[Bank]],Operacje[Produkt],czerwiec_saldo[[#This Row],[Produkt]],Operacje[Miesiąc],$B$11)</f>
        <v>1420</v>
      </c>
      <c r="E2" s="2">
        <f ca="1">czerwiec_saldo[[#This Row],[Saldo Początkowe]]+czerwiec_saldo[[#This Row],[Operacje]]</f>
        <v>8872.44</v>
      </c>
      <c r="G2" s="3" t="s">
        <v>1</v>
      </c>
      <c r="H2" s="2">
        <f>SUMIFS(Operacje[Kwota],Operacje[Kategoria],G2,Operacje[Miesiąc],$B$11)</f>
        <v>-1000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-1000</v>
      </c>
      <c r="D3" s="2">
        <f>SUMIFS(Operacje[Kwota],Operacje[Bank],czerwiec_saldo[[#This Row],[Bank]],Operacje[Produkt],czerwiec_saldo[[#This Row],[Produkt]],Operacje[Miesiąc],$B$11)</f>
        <v>-300</v>
      </c>
      <c r="E3" s="2">
        <f ca="1">czerwiec_saldo[[#This Row],[Saldo Początkowe]]+czerwiec_saldo[[#This Row],[Operacje]]</f>
        <v>-1300</v>
      </c>
      <c r="G3" t="s">
        <v>2</v>
      </c>
      <c r="H3" s="2">
        <f>SUMIFS(Operacje[Kwota],Operacje[Kategoria],G3,Operacje[Miesiąc],$B$11)</f>
        <v>-80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SUMIFS(Operacje[Kwota],Operacje[Bank],czerwiec_saldo[[#This Row],[Bank]],Operacje[Produkt],czerwiec_saldo[[#This Row],[Produkt]],Operacje[Miesiąc],$B$11)</f>
        <v>0</v>
      </c>
      <c r="E4" s="2">
        <f ca="1">czerwiec_saldo[[#This Row],[Saldo Początkowe]]+czerwiec_saldo[[#This Row],[Operacje]]</f>
        <v>1200</v>
      </c>
      <c r="G4" s="3" t="s">
        <v>38</v>
      </c>
      <c r="H4" s="2">
        <f>SUMIFS(Operacje[Kwota],Operacje[Kategoria],G4,Operacje[Miesiąc],$B$11)</f>
        <v>-50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218.5</v>
      </c>
      <c r="D5" s="2">
        <f>SUMIFS(Operacje[Kwota],Operacje[Bank],czerwiec_saldo[[#This Row],[Bank]],Operacje[Produkt],czerwiec_saldo[[#This Row],[Produkt]],Operacje[Miesiąc],$B$11)</f>
        <v>250</v>
      </c>
      <c r="E5" s="2">
        <f ca="1">czerwiec_saldo[[#This Row],[Saldo Początkowe]]+czerwiec_saldo[[#This Row],[Operacje]]</f>
        <v>468.5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350.5</v>
      </c>
      <c r="D6" s="2">
        <f>SUMIFS(Operacje[Kwota],Operacje[Bank],czerwiec_saldo[[#This Row],[Bank]],Operacje[Produkt],czerwiec_saldo[[#This Row],[Produkt]],Operacje[Miesiąc],$B$11)</f>
        <v>0</v>
      </c>
      <c r="E6" s="2">
        <f ca="1">czerwiec_saldo[[#This Row],[Saldo Początkowe]]+czerwiec_saldo[[#This Row],[Operacje]]</f>
        <v>350.5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570</v>
      </c>
      <c r="D7" s="2">
        <f>SUMIFS(Operacje[Kwota],Operacje[Bank],czerwiec_saldo[[#This Row],[Bank]],Operacje[Produkt],czerwiec_saldo[[#This Row],[Produkt]],Operacje[Miesiąc],$B$11)</f>
        <v>-200</v>
      </c>
      <c r="E7" s="2">
        <f ca="1">czerwiec_saldo[[#This Row],[Saldo Początkowe]]+czerwiec_saldo[[#This Row],[Operacje]]</f>
        <v>370</v>
      </c>
      <c r="G7" t="s">
        <v>6</v>
      </c>
      <c r="H7" s="2">
        <f>SUMIFS(Operacje[Kwota],Operacje[Kategoria],G7,Operacje[Miesiąc],$B$11)</f>
        <v>-200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75.510000000000005</v>
      </c>
      <c r="D8" s="2">
        <f>SUMIFS(Operacje[Kwota],Operacje[Bank],czerwiec_saldo[[#This Row],[Bank]],Operacje[Produkt],czerwiec_saldo[[#This Row],[Produkt]],Operacje[Miesiąc],$B$11)</f>
        <v>0</v>
      </c>
      <c r="E8" s="2">
        <f ca="1">czerwiec_saldo[[#This Row],[Saldo Początkowe]]+czerwiec_saldo[[#This Row],[Operacje]]</f>
        <v>75.510000000000005</v>
      </c>
      <c r="G8" s="3" t="s">
        <v>7</v>
      </c>
      <c r="H8" s="2">
        <f>SUMIFS(Operacje[Kwota],Operacje[Kategoria],G8,Operacje[Miesiąc],$B$11)</f>
        <v>-100</v>
      </c>
    </row>
    <row r="9" spans="1:8" x14ac:dyDescent="0.25">
      <c r="A9" t="s">
        <v>36</v>
      </c>
      <c r="C9" s="2">
        <f ca="1">SUM(C2:C8)</f>
        <v>8866.9500000000007</v>
      </c>
      <c r="D9" s="2">
        <f t="shared" ref="D9:E9" si="0">SUM(D2:D8)</f>
        <v>1170</v>
      </c>
      <c r="E9" s="2">
        <f t="shared" ca="1" si="0"/>
        <v>10036.950000000001</v>
      </c>
      <c r="G9" t="s">
        <v>8</v>
      </c>
      <c r="H9" s="2">
        <f>SUMIFS(Operacje[Kwota],Operacje[Kategoria],G9,Operacje[Miesiąc],$B$11)</f>
        <v>-300</v>
      </c>
    </row>
    <row r="10" spans="1:8" x14ac:dyDescent="0.25">
      <c r="G10" s="3" t="s">
        <v>9</v>
      </c>
      <c r="H10" s="2">
        <f>SUMIFS(Operacje[Kwota],Operacje[Kategoria],G10,Operacje[Miesiąc],$B$11)</f>
        <v>0</v>
      </c>
    </row>
    <row r="11" spans="1:8" x14ac:dyDescent="0.25">
      <c r="A11" t="s">
        <v>29</v>
      </c>
      <c r="B11">
        <v>6</v>
      </c>
      <c r="C11" t="str">
        <f>TEXT(DATE(2025,B11,1),"mmmm")</f>
        <v>czerwiec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400</v>
      </c>
    </row>
    <row r="13" spans="1:8" x14ac:dyDescent="0.25">
      <c r="A13" s="8" t="s">
        <v>18</v>
      </c>
      <c r="B13" s="4">
        <f>SUMIFS(Operacje[Kwota],Operacje[Typ],A13,Operacje[Miesiąc],B11)</f>
        <v>4900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-3730</v>
      </c>
      <c r="G14" s="3" t="s">
        <v>14</v>
      </c>
      <c r="H14" s="2">
        <f>SUMIFS(Operacje[Kwota],Operacje[Kategoria],G14,Operacje[Miesiąc],$B$11)</f>
        <v>0</v>
      </c>
    </row>
    <row r="15" spans="1:8" ht="15.75" thickBot="1" x14ac:dyDescent="0.3">
      <c r="A15" s="10" t="s">
        <v>37</v>
      </c>
      <c r="B15" s="6">
        <f>SUM(B13:B14)</f>
        <v>1170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1170</v>
      </c>
    </row>
  </sheetData>
  <conditionalFormatting sqref="G2:G3 G5:G17">
    <cfRule type="expression" dxfId="90" priority="7">
      <formula>$B2="Wydatki"</formula>
    </cfRule>
    <cfRule type="expression" dxfId="89" priority="8">
      <formula>$B2="Wpływy"</formula>
    </cfRule>
  </conditionalFormatting>
  <conditionalFormatting sqref="G4">
    <cfRule type="expression" dxfId="88" priority="5">
      <formula>$B4="Wydatki"</formula>
    </cfRule>
    <cfRule type="expression" dxfId="87" priority="6">
      <formula>$B4="Wpływy"</formula>
    </cfRule>
  </conditionalFormatting>
  <conditionalFormatting sqref="G18">
    <cfRule type="expression" dxfId="32" priority="3">
      <formula>$B18="Wydatki"</formula>
    </cfRule>
    <cfRule type="expression" dxfId="31" priority="4">
      <formula>$B18="Wpływy"</formula>
    </cfRule>
  </conditionalFormatting>
  <conditionalFormatting sqref="G18">
    <cfRule type="expression" dxfId="30" priority="1">
      <formula>$B18="Wydatki"</formula>
    </cfRule>
    <cfRule type="expression" dxfId="29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488E-BEAE-4790-A866-43629E65DFEE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8872.44</v>
      </c>
      <c r="D2" s="2">
        <f>SUMIFS(Operacje[Kwota],Operacje[Bank],lipiec_saldo[[#This Row],[Bank]],Operacje[Produkt],lipiec_saldo[[#This Row],[Produkt]],Operacje[Miesiąc],$B$11)</f>
        <v>1010</v>
      </c>
      <c r="E2" s="2">
        <f ca="1">lipiec_saldo[[#This Row],[Saldo Początkowe]]+lipiec_saldo[[#This Row],[Operacje]]</f>
        <v>9882.44</v>
      </c>
      <c r="G2" s="3" t="s">
        <v>1</v>
      </c>
      <c r="H2" s="2">
        <f>SUMIFS(Operacje[Kwota],Operacje[Kategoria],G2,Operacje[Miesiąc],$B$11)</f>
        <v>-165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-1300</v>
      </c>
      <c r="D3" s="2">
        <f>SUMIFS(Operacje[Kwota],Operacje[Bank],lipiec_saldo[[#This Row],[Bank]],Operacje[Produkt],lipiec_saldo[[#This Row],[Produkt]],Operacje[Miesiąc],$B$11)</f>
        <v>1165</v>
      </c>
      <c r="E3" s="2">
        <f ca="1">lipiec_saldo[[#This Row],[Saldo Początkowe]]+lipiec_saldo[[#This Row],[Operacje]]</f>
        <v>-135</v>
      </c>
      <c r="G3" t="s">
        <v>2</v>
      </c>
      <c r="H3" s="2">
        <f>SUMIFS(Operacje[Kwota],Operacje[Kategoria],G3,Operacje[Miesiąc],$B$11)</f>
        <v>-90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SUMIFS(Operacje[Kwota],Operacje[Bank],lipiec_saldo[[#This Row],[Bank]],Operacje[Produkt],lipiec_saldo[[#This Row],[Produkt]],Operacje[Miesiąc],$B$11)</f>
        <v>-180</v>
      </c>
      <c r="E4" s="2">
        <f ca="1">lipiec_saldo[[#This Row],[Saldo Początkowe]]+lipiec_saldo[[#This Row],[Operacje]]</f>
        <v>1020</v>
      </c>
      <c r="G4" s="3" t="s">
        <v>38</v>
      </c>
      <c r="H4" s="2">
        <f>SUMIFS(Operacje[Kwota],Operacje[Kategoria],G4,Operacje[Miesiąc],$B$11)</f>
        <v>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468.5</v>
      </c>
      <c r="D5" s="2">
        <f>SUMIFS(Operacje[Kwota],Operacje[Bank],lipiec_saldo[[#This Row],[Bank]],Operacje[Produkt],lipiec_saldo[[#This Row],[Produkt]],Operacje[Miesiąc],$B$11)</f>
        <v>-100</v>
      </c>
      <c r="E5" s="2">
        <f ca="1">lipiec_saldo[[#This Row],[Saldo Początkowe]]+lipiec_saldo[[#This Row],[Operacje]]</f>
        <v>368.5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350.5</v>
      </c>
      <c r="D6" s="2">
        <f>SUMIFS(Operacje[Kwota],Operacje[Bank],lipiec_saldo[[#This Row],[Bank]],Operacje[Produkt],lipiec_saldo[[#This Row],[Produkt]],Operacje[Miesiąc],$B$11)</f>
        <v>1050</v>
      </c>
      <c r="E6" s="2">
        <f ca="1">lipiec_saldo[[#This Row],[Saldo Początkowe]]+lipiec_saldo[[#This Row],[Operacje]]</f>
        <v>1400.5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370</v>
      </c>
      <c r="D7" s="2">
        <f>SUMIFS(Operacje[Kwota],Operacje[Bank],lipiec_saldo[[#This Row],[Bank]],Operacje[Produkt],lipiec_saldo[[#This Row],[Produkt]],Operacje[Miesiąc],$B$11)</f>
        <v>0</v>
      </c>
      <c r="E7" s="2">
        <f ca="1">lipiec_saldo[[#This Row],[Saldo Początkowe]]+lipiec_saldo[[#This Row],[Operacje]]</f>
        <v>370</v>
      </c>
      <c r="G7" t="s">
        <v>6</v>
      </c>
      <c r="H7" s="2">
        <f>SUMIFS(Operacje[Kwota],Operacje[Kategoria],G7,Operacje[Miesiąc],$B$11)</f>
        <v>-700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75.510000000000005</v>
      </c>
      <c r="D8" s="2">
        <f>SUMIFS(Operacje[Kwota],Operacje[Bank],lipiec_saldo[[#This Row],[Bank]],Operacje[Produkt],lipiec_saldo[[#This Row],[Produkt]],Operacje[Miesiąc],$B$11)</f>
        <v>-30</v>
      </c>
      <c r="E8" s="2">
        <f ca="1">lipiec_saldo[[#This Row],[Saldo Początkowe]]+lipiec_saldo[[#This Row],[Operacje]]</f>
        <v>45.510000000000005</v>
      </c>
      <c r="G8" s="3" t="s">
        <v>7</v>
      </c>
      <c r="H8" s="2">
        <f>SUMIFS(Operacje[Kwota],Operacje[Kategoria],G8,Operacje[Miesiąc],$B$11)</f>
        <v>-300</v>
      </c>
    </row>
    <row r="9" spans="1:8" x14ac:dyDescent="0.25">
      <c r="A9" t="s">
        <v>36</v>
      </c>
      <c r="C9" s="2">
        <f ca="1">SUM(C2:C8)</f>
        <v>10036.950000000001</v>
      </c>
      <c r="D9" s="2">
        <f t="shared" ref="D9:E9" si="0">SUM(D2:D8)</f>
        <v>2915</v>
      </c>
      <c r="E9" s="2">
        <f t="shared" ca="1" si="0"/>
        <v>12951.95</v>
      </c>
      <c r="G9" t="s">
        <v>8</v>
      </c>
      <c r="H9" s="2">
        <f>SUMIFS(Operacje[Kwota],Operacje[Kategoria],G9,Operacje[Miesiąc],$B$11)</f>
        <v>250</v>
      </c>
    </row>
    <row r="10" spans="1:8" x14ac:dyDescent="0.25">
      <c r="G10" s="3" t="s">
        <v>9</v>
      </c>
      <c r="H10" s="2">
        <f>SUMIFS(Operacje[Kwota],Operacje[Kategoria],G10,Operacje[Miesiąc],$B$11)</f>
        <v>0</v>
      </c>
    </row>
    <row r="11" spans="1:8" x14ac:dyDescent="0.25">
      <c r="A11" t="s">
        <v>29</v>
      </c>
      <c r="B11">
        <v>7</v>
      </c>
      <c r="C11" t="str">
        <f>TEXT(DATE(2025,B11,1),"mmmm")</f>
        <v>lipiec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5920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-3005</v>
      </c>
      <c r="G14" s="3" t="s">
        <v>14</v>
      </c>
      <c r="H14" s="2">
        <f>SUMIFS(Operacje[Kwota],Operacje[Kategoria],G14,Operacje[Miesiąc],$B$11)</f>
        <v>800</v>
      </c>
    </row>
    <row r="15" spans="1:8" ht="15.75" thickBot="1" x14ac:dyDescent="0.3">
      <c r="A15" s="10" t="s">
        <v>37</v>
      </c>
      <c r="B15" s="6">
        <f>SUM(B13:B14)</f>
        <v>2915</v>
      </c>
      <c r="G15" t="s">
        <v>15</v>
      </c>
      <c r="H15" s="2">
        <f>SUMIFS(Operacje[Kwota],Operacje[Kategoria],G15,Operacje[Miesiąc],$B$11)</f>
        <v>120</v>
      </c>
    </row>
    <row r="16" spans="1:8" x14ac:dyDescent="0.25">
      <c r="G16" s="3" t="s">
        <v>16</v>
      </c>
      <c r="H16" s="2">
        <f>SUMIFS(Operacje[Kwota],Operacje[Kategoria],G16,Operacje[Miesiąc],$B$11)</f>
        <v>500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2915</v>
      </c>
    </row>
  </sheetData>
  <conditionalFormatting sqref="G2:G3 G5:G17">
    <cfRule type="expression" dxfId="86" priority="7">
      <formula>$B2="Wydatki"</formula>
    </cfRule>
    <cfRule type="expression" dxfId="85" priority="8">
      <formula>$B2="Wpływy"</formula>
    </cfRule>
  </conditionalFormatting>
  <conditionalFormatting sqref="G4">
    <cfRule type="expression" dxfId="84" priority="5">
      <formula>$B4="Wydatki"</formula>
    </cfRule>
    <cfRule type="expression" dxfId="83" priority="6">
      <formula>$B4="Wpływy"</formula>
    </cfRule>
  </conditionalFormatting>
  <conditionalFormatting sqref="G18">
    <cfRule type="expression" dxfId="28" priority="3">
      <formula>$B18="Wydatki"</formula>
    </cfRule>
    <cfRule type="expression" dxfId="27" priority="4">
      <formula>$B18="Wpływy"</formula>
    </cfRule>
  </conditionalFormatting>
  <conditionalFormatting sqref="G18">
    <cfRule type="expression" dxfId="26" priority="1">
      <formula>$B18="Wydatki"</formula>
    </cfRule>
    <cfRule type="expression" dxfId="25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226-AFD8-4895-B950-35B8D71E6DE2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9882.44</v>
      </c>
      <c r="D2" s="2">
        <f>SUMIFS(Operacje[Kwota],Operacje[Bank],sierpień_saldo[[#This Row],[Bank]],Operacje[Produkt],sierpień_saldo[[#This Row],[Produkt]],Operacje[Miesiąc],$B$11)</f>
        <v>1173</v>
      </c>
      <c r="E2" s="2">
        <f ca="1">sierpień_saldo[[#This Row],[Saldo Początkowe]]+sierpień_saldo[[#This Row],[Operacje]]</f>
        <v>11055.44</v>
      </c>
      <c r="G2" s="3" t="s">
        <v>1</v>
      </c>
      <c r="H2" s="2">
        <f>SUMIFS(Operacje[Kwota],Operacje[Kategoria],G2,Operacje[Miesiąc],$B$11)</f>
        <v>-749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-135</v>
      </c>
      <c r="D3" s="2">
        <f>SUMIFS(Operacje[Kwota],Operacje[Bank],sierpień_saldo[[#This Row],[Bank]],Operacje[Produkt],sierpień_saldo[[#This Row],[Produkt]],Operacje[Miesiąc],$B$11)</f>
        <v>335</v>
      </c>
      <c r="E3" s="2">
        <f ca="1">sierpień_saldo[[#This Row],[Saldo Początkowe]]+sierpień_saldo[[#This Row],[Operacje]]</f>
        <v>200</v>
      </c>
      <c r="G3" t="s">
        <v>2</v>
      </c>
      <c r="H3" s="2">
        <f>SUMIFS(Operacje[Kwota],Operacje[Kategoria],G3,Operacje[Miesiąc],$B$11)</f>
        <v>-290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1020</v>
      </c>
      <c r="D4" s="2">
        <f>SUMIFS(Operacje[Kwota],Operacje[Bank],sierpień_saldo[[#This Row],[Bank]],Operacje[Produkt],sierpień_saldo[[#This Row],[Produkt]],Operacje[Miesiąc],$B$11)</f>
        <v>-1200</v>
      </c>
      <c r="E4" s="2">
        <f ca="1">sierpień_saldo[[#This Row],[Saldo Początkowe]]+sierpień_saldo[[#This Row],[Operacje]]</f>
        <v>-180</v>
      </c>
      <c r="G4" s="3" t="s">
        <v>38</v>
      </c>
      <c r="H4" s="2">
        <f>SUMIFS(Operacje[Kwota],Operacje[Kategoria],G4,Operacje[Miesiąc],$B$11)</f>
        <v>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368.5</v>
      </c>
      <c r="D5" s="2">
        <f>SUMIFS(Operacje[Kwota],Operacje[Bank],sierpień_saldo[[#This Row],[Bank]],Operacje[Produkt],sierpień_saldo[[#This Row],[Produkt]],Operacje[Miesiąc],$B$11)</f>
        <v>200</v>
      </c>
      <c r="E5" s="2">
        <f ca="1">sierpień_saldo[[#This Row],[Saldo Początkowe]]+sierpień_saldo[[#This Row],[Operacje]]</f>
        <v>568.5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1400.5</v>
      </c>
      <c r="D6" s="2">
        <f>SUMIFS(Operacje[Kwota],Operacje[Bank],sierpień_saldo[[#This Row],[Bank]],Operacje[Produkt],sierpień_saldo[[#This Row],[Produkt]],Operacje[Miesiąc],$B$11)</f>
        <v>-300</v>
      </c>
      <c r="E6" s="2">
        <f ca="1">sierpień_saldo[[#This Row],[Saldo Początkowe]]+sierpień_saldo[[#This Row],[Operacje]]</f>
        <v>1100.5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370</v>
      </c>
      <c r="D7" s="2">
        <f>SUMIFS(Operacje[Kwota],Operacje[Bank],sierpień_saldo[[#This Row],[Bank]],Operacje[Produkt],sierpień_saldo[[#This Row],[Produkt]],Operacje[Miesiąc],$B$11)</f>
        <v>3</v>
      </c>
      <c r="E7" s="2">
        <f ca="1">sierpień_saldo[[#This Row],[Saldo Początkowe]]+sierpień_saldo[[#This Row],[Operacje]]</f>
        <v>373</v>
      </c>
      <c r="G7" t="s">
        <v>6</v>
      </c>
      <c r="H7" s="2">
        <f>SUMIFS(Operacje[Kwota],Operacje[Kategoria],G7,Operacje[Miesiąc],$B$11)</f>
        <v>-250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45.510000000000005</v>
      </c>
      <c r="D8" s="2">
        <f>SUMIFS(Operacje[Kwota],Operacje[Bank],sierpień_saldo[[#This Row],[Bank]],Operacje[Produkt],sierpień_saldo[[#This Row],[Produkt]],Operacje[Miesiąc],$B$11)</f>
        <v>0</v>
      </c>
      <c r="E8" s="2">
        <f ca="1">sierpień_saldo[[#This Row],[Saldo Początkowe]]+sierpień_saldo[[#This Row],[Operacje]]</f>
        <v>45.510000000000005</v>
      </c>
      <c r="G8" s="3" t="s">
        <v>7</v>
      </c>
      <c r="H8" s="2">
        <f>SUMIFS(Operacje[Kwota],Operacje[Kategoria],G8,Operacje[Miesiąc],$B$11)</f>
        <v>-400</v>
      </c>
    </row>
    <row r="9" spans="1:8" x14ac:dyDescent="0.25">
      <c r="A9" t="s">
        <v>36</v>
      </c>
      <c r="C9" s="2">
        <f ca="1">SUM(C2:C8)</f>
        <v>12951.95</v>
      </c>
      <c r="D9" s="2">
        <f t="shared" ref="D9:E9" si="0">SUM(D2:D8)</f>
        <v>211</v>
      </c>
      <c r="E9" s="2">
        <f t="shared" ca="1" si="0"/>
        <v>13162.95</v>
      </c>
      <c r="G9" t="s">
        <v>8</v>
      </c>
      <c r="H9" s="2">
        <f>SUMIFS(Operacje[Kwota],Operacje[Kategoria],G9,Operacje[Miesiąc],$B$11)</f>
        <v>-300</v>
      </c>
    </row>
    <row r="10" spans="1:8" x14ac:dyDescent="0.25">
      <c r="G10" s="3" t="s">
        <v>9</v>
      </c>
      <c r="H10" s="2">
        <f>SUMIFS(Operacje[Kwota],Operacje[Kategoria],G10,Operacje[Miesiąc],$B$11)</f>
        <v>-1200</v>
      </c>
    </row>
    <row r="11" spans="1:8" x14ac:dyDescent="0.25">
      <c r="A11" t="s">
        <v>29</v>
      </c>
      <c r="B11">
        <v>8</v>
      </c>
      <c r="C11" t="str">
        <f>TEXT(DATE(2025,B11,1),"mmmm")</f>
        <v>sierpień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5400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-5189</v>
      </c>
      <c r="G14" s="3" t="s">
        <v>14</v>
      </c>
      <c r="H14" s="2">
        <f>SUMIFS(Operacje[Kwota],Operacje[Kategoria],G14,Operacje[Miesiąc],$B$11)</f>
        <v>400</v>
      </c>
    </row>
    <row r="15" spans="1:8" ht="15.75" thickBot="1" x14ac:dyDescent="0.3">
      <c r="A15" s="10" t="s">
        <v>37</v>
      </c>
      <c r="B15" s="6">
        <f>SUM(B13:B14)</f>
        <v>211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500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211</v>
      </c>
    </row>
  </sheetData>
  <conditionalFormatting sqref="G2:G3 G5:G17">
    <cfRule type="expression" dxfId="82" priority="7">
      <formula>$B2="Wydatki"</formula>
    </cfRule>
    <cfRule type="expression" dxfId="81" priority="8">
      <formula>$B2="Wpływy"</formula>
    </cfRule>
  </conditionalFormatting>
  <conditionalFormatting sqref="G4">
    <cfRule type="expression" dxfId="80" priority="5">
      <formula>$B4="Wydatki"</formula>
    </cfRule>
    <cfRule type="expression" dxfId="79" priority="6">
      <formula>$B4="Wpływy"</formula>
    </cfRule>
  </conditionalFormatting>
  <conditionalFormatting sqref="G18">
    <cfRule type="expression" dxfId="24" priority="3">
      <formula>$B18="Wydatki"</formula>
    </cfRule>
    <cfRule type="expression" dxfId="23" priority="4">
      <formula>$B18="Wpływy"</formula>
    </cfRule>
  </conditionalFormatting>
  <conditionalFormatting sqref="G18">
    <cfRule type="expression" dxfId="22" priority="1">
      <formula>$B18="Wydatki"</formula>
    </cfRule>
    <cfRule type="expression" dxfId="21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4956-2C35-4B2A-90D0-D3D4EC71CCB5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11055.44</v>
      </c>
      <c r="D2" s="2">
        <f>SUMIFS(Operacje[Kwota],Operacje[Bank],wrzesień_saldo[[#This Row],[Bank]],Operacje[Produkt],wrzesień_saldo[[#This Row],[Produkt]],Operacje[Miesiąc],$B$11)</f>
        <v>1791.5</v>
      </c>
      <c r="E2" s="2">
        <f ca="1">wrzesień_saldo[[#This Row],[Saldo Początkowe]]+wrzesień_saldo[[#This Row],[Operacje]]</f>
        <v>12846.94</v>
      </c>
      <c r="G2" s="3" t="s">
        <v>1</v>
      </c>
      <c r="H2" s="2">
        <f>SUMIFS(Operacje[Kwota],Operacje[Kategoria],G2,Operacje[Miesiąc],$B$11)</f>
        <v>-538.5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200</v>
      </c>
      <c r="D3" s="2">
        <f>SUMIFS(Operacje[Kwota],Operacje[Bank],wrzesień_saldo[[#This Row],[Bank]],Operacje[Produkt],wrzesień_saldo[[#This Row],[Produkt]],Operacje[Miesiąc],$B$11)</f>
        <v>-20</v>
      </c>
      <c r="E3" s="2">
        <f ca="1">wrzesień_saldo[[#This Row],[Saldo Początkowe]]+wrzesień_saldo[[#This Row],[Operacje]]</f>
        <v>180</v>
      </c>
      <c r="G3" t="s">
        <v>2</v>
      </c>
      <c r="H3" s="2">
        <f>SUMIFS(Operacje[Kwota],Operacje[Kategoria],G3,Operacje[Miesiąc],$B$11)</f>
        <v>-150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-180</v>
      </c>
      <c r="D4" s="2">
        <f>SUMIFS(Operacje[Kwota],Operacje[Bank],wrzesień_saldo[[#This Row],[Bank]],Operacje[Produkt],wrzesień_saldo[[#This Row],[Produkt]],Operacje[Miesiąc],$B$11)</f>
        <v>0</v>
      </c>
      <c r="E4" s="2">
        <f ca="1">wrzesień_saldo[[#This Row],[Saldo Początkowe]]+wrzesień_saldo[[#This Row],[Operacje]]</f>
        <v>-180</v>
      </c>
      <c r="G4" s="3" t="s">
        <v>38</v>
      </c>
      <c r="H4" s="2">
        <f>SUMIFS(Operacje[Kwota],Operacje[Kategoria],G4,Operacje[Miesiąc],$B$11)</f>
        <v>-40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568.5</v>
      </c>
      <c r="D5" s="2">
        <f>SUMIFS(Operacje[Kwota],Operacje[Bank],wrzesień_saldo[[#This Row],[Bank]],Operacje[Produkt],wrzesień_saldo[[#This Row],[Produkt]],Operacje[Miesiąc],$B$11)</f>
        <v>-20</v>
      </c>
      <c r="E5" s="2">
        <f ca="1">wrzesień_saldo[[#This Row],[Saldo Początkowe]]+wrzesień_saldo[[#This Row],[Operacje]]</f>
        <v>548.5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SUMIFS(Operacje[Kwota],Operacje[Bank],wrzesień_saldo[[#This Row],[Bank]],Operacje[Produkt],wrzesień_saldo[[#This Row],[Produkt]],Operacje[Miesiąc],$B$11)</f>
        <v>0</v>
      </c>
      <c r="E6" s="2">
        <f ca="1">wrzesień_saldo[[#This Row],[Saldo Początkowe]]+wrzesień_saldo[[#This Row],[Operacje]]</f>
        <v>1100.5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373</v>
      </c>
      <c r="D7" s="2">
        <f>SUMIFS(Operacje[Kwota],Operacje[Bank],wrzesień_saldo[[#This Row],[Bank]],Operacje[Produkt],wrzesień_saldo[[#This Row],[Produkt]],Operacje[Miesiąc],$B$11)</f>
        <v>0</v>
      </c>
      <c r="E7" s="2">
        <f ca="1">wrzesień_saldo[[#This Row],[Saldo Początkowe]]+wrzesień_saldo[[#This Row],[Operacje]]</f>
        <v>373</v>
      </c>
      <c r="G7" t="s">
        <v>6</v>
      </c>
      <c r="H7" s="2">
        <f>SUMIFS(Operacje[Kwota],Operacje[Kategoria],G7,Operacje[Miesiąc],$B$11)</f>
        <v>-20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45.510000000000005</v>
      </c>
      <c r="D8" s="2">
        <f>SUMIFS(Operacje[Kwota],Operacje[Bank],wrzesień_saldo[[#This Row],[Bank]],Operacje[Produkt],wrzesień_saldo[[#This Row],[Produkt]],Operacje[Miesiąc],$B$11)</f>
        <v>0</v>
      </c>
      <c r="E8" s="2">
        <f ca="1">wrzesień_saldo[[#This Row],[Saldo Początkowe]]+wrzesień_saldo[[#This Row],[Operacje]]</f>
        <v>45.510000000000005</v>
      </c>
      <c r="G8" s="3" t="s">
        <v>7</v>
      </c>
      <c r="H8" s="2">
        <f>SUMIFS(Operacje[Kwota],Operacje[Kategoria],G8,Operacje[Miesiąc],$B$11)</f>
        <v>0</v>
      </c>
    </row>
    <row r="9" spans="1:8" x14ac:dyDescent="0.25">
      <c r="A9" t="s">
        <v>36</v>
      </c>
      <c r="C9" s="2">
        <f ca="1">SUM(C2:C8)</f>
        <v>13162.95</v>
      </c>
      <c r="D9" s="2">
        <f t="shared" ref="D9:E9" si="0">SUM(D2:D8)</f>
        <v>1751.5</v>
      </c>
      <c r="E9" s="2">
        <f t="shared" ca="1" si="0"/>
        <v>14914.45</v>
      </c>
      <c r="G9" t="s">
        <v>8</v>
      </c>
      <c r="H9" s="2">
        <f>SUMIFS(Operacje[Kwota],Operacje[Kategoria],G9,Operacje[Miesiąc],$B$11)</f>
        <v>0</v>
      </c>
    </row>
    <row r="10" spans="1:8" x14ac:dyDescent="0.25">
      <c r="G10" s="3" t="s">
        <v>9</v>
      </c>
      <c r="H10" s="2">
        <f>SUMIFS(Operacje[Kwota],Operacje[Kategoria],G10,Operacje[Miesiąc],$B$11)</f>
        <v>0</v>
      </c>
    </row>
    <row r="11" spans="1:8" x14ac:dyDescent="0.25">
      <c r="A11" t="s">
        <v>29</v>
      </c>
      <c r="B11">
        <v>9</v>
      </c>
      <c r="C11" t="str">
        <f>TEXT(DATE(2025,B11,1),"mmmm")</f>
        <v>wrzesień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4500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-2748.5</v>
      </c>
      <c r="G14" s="3" t="s">
        <v>14</v>
      </c>
      <c r="H14" s="2">
        <f>SUMIFS(Operacje[Kwota],Operacje[Kategoria],G14,Operacje[Miesiąc],$B$11)</f>
        <v>0</v>
      </c>
    </row>
    <row r="15" spans="1:8" ht="15.75" thickBot="1" x14ac:dyDescent="0.3">
      <c r="A15" s="10" t="s">
        <v>37</v>
      </c>
      <c r="B15" s="6">
        <f>SUM(B13:B14)</f>
        <v>1751.5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1751.5</v>
      </c>
    </row>
  </sheetData>
  <conditionalFormatting sqref="G2:G3 G5:G17">
    <cfRule type="expression" dxfId="78" priority="7">
      <formula>$B2="Wydatki"</formula>
    </cfRule>
    <cfRule type="expression" dxfId="77" priority="8">
      <formula>$B2="Wpływy"</formula>
    </cfRule>
  </conditionalFormatting>
  <conditionalFormatting sqref="G4">
    <cfRule type="expression" dxfId="76" priority="5">
      <formula>$B4="Wydatki"</formula>
    </cfRule>
    <cfRule type="expression" dxfId="75" priority="6">
      <formula>$B4="Wpływy"</formula>
    </cfRule>
  </conditionalFormatting>
  <conditionalFormatting sqref="G18">
    <cfRule type="expression" dxfId="20" priority="3">
      <formula>$B18="Wydatki"</formula>
    </cfRule>
    <cfRule type="expression" dxfId="19" priority="4">
      <formula>$B18="Wpływy"</formula>
    </cfRule>
  </conditionalFormatting>
  <conditionalFormatting sqref="G18">
    <cfRule type="expression" dxfId="18" priority="1">
      <formula>$B18="Wydatki"</formula>
    </cfRule>
    <cfRule type="expression" dxfId="17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B0F4-4622-46A5-9981-99A5FCC4CE5A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12846.94</v>
      </c>
      <c r="D2" s="2">
        <f>SUMIFS(Operacje[Kwota],Operacje[Bank],październik_saldo[[#This Row],[Bank]],Operacje[Produkt],październik_saldo[[#This Row],[Produkt]],Operacje[Miesiąc],$B$11)</f>
        <v>1710</v>
      </c>
      <c r="E2" s="2">
        <f ca="1">październik_saldo[[#This Row],[Saldo Początkowe]]+październik_saldo[[#This Row],[Operacje]]</f>
        <v>14556.94</v>
      </c>
      <c r="G2" s="3" t="s">
        <v>1</v>
      </c>
      <c r="H2" s="2">
        <f>SUMIFS(Operacje[Kwota],Operacje[Kategoria],G2,Operacje[Miesiąc],$B$11)</f>
        <v>-600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180</v>
      </c>
      <c r="D3" s="2">
        <f>SUMIFS(Operacje[Kwota],Operacje[Bank],październik_saldo[[#This Row],[Bank]],Operacje[Produkt],październik_saldo[[#This Row],[Produkt]],Operacje[Miesiąc],$B$11)</f>
        <v>-40</v>
      </c>
      <c r="E3" s="2">
        <f ca="1">październik_saldo[[#This Row],[Saldo Początkowe]]+październik_saldo[[#This Row],[Operacje]]</f>
        <v>140</v>
      </c>
      <c r="G3" t="s">
        <v>2</v>
      </c>
      <c r="H3" s="2">
        <f>SUMIFS(Operacje[Kwota],Operacje[Kategoria],G3,Operacje[Miesiąc],$B$11)</f>
        <v>-150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-180</v>
      </c>
      <c r="D4" s="2">
        <f>SUMIFS(Operacje[Kwota],Operacje[Bank],październik_saldo[[#This Row],[Bank]],Operacje[Produkt],październik_saldo[[#This Row],[Produkt]],Operacje[Miesiąc],$B$11)</f>
        <v>0</v>
      </c>
      <c r="E4" s="2">
        <f ca="1">październik_saldo[[#This Row],[Saldo Początkowe]]+październik_saldo[[#This Row],[Operacje]]</f>
        <v>-180</v>
      </c>
      <c r="G4" s="3" t="s">
        <v>38</v>
      </c>
      <c r="H4" s="2">
        <f>SUMIFS(Operacje[Kwota],Operacje[Kategoria],G4,Operacje[Miesiąc],$B$11)</f>
        <v>-40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548.5</v>
      </c>
      <c r="D5" s="2">
        <f>SUMIFS(Operacje[Kwota],Operacje[Bank],październik_saldo[[#This Row],[Bank]],Operacje[Produkt],październik_saldo[[#This Row],[Produkt]],Operacje[Miesiąc],$B$11)</f>
        <v>0</v>
      </c>
      <c r="E5" s="2">
        <f ca="1">październik_saldo[[#This Row],[Saldo Początkowe]]+październik_saldo[[#This Row],[Operacje]]</f>
        <v>548.5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SUMIFS(Operacje[Kwota],Operacje[Bank],październik_saldo[[#This Row],[Bank]],Operacje[Produkt],październik_saldo[[#This Row],[Produkt]],Operacje[Miesiąc],$B$11)</f>
        <v>0</v>
      </c>
      <c r="E6" s="2">
        <f ca="1">październik_saldo[[#This Row],[Saldo Początkowe]]+październik_saldo[[#This Row],[Operacje]]</f>
        <v>1100.5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373</v>
      </c>
      <c r="D7" s="2">
        <f>SUMIFS(Operacje[Kwota],Operacje[Bank],październik_saldo[[#This Row],[Bank]],Operacje[Produkt],październik_saldo[[#This Row],[Produkt]],Operacje[Miesiąc],$B$11)</f>
        <v>0</v>
      </c>
      <c r="E7" s="2">
        <f ca="1">październik_saldo[[#This Row],[Saldo Początkowe]]+październik_saldo[[#This Row],[Operacje]]</f>
        <v>373</v>
      </c>
      <c r="G7" t="s">
        <v>6</v>
      </c>
      <c r="H7" s="2">
        <f>SUMIFS(Operacje[Kwota],Operacje[Kategoria],G7,Operacje[Miesiąc],$B$11)</f>
        <v>-40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45.510000000000005</v>
      </c>
      <c r="D8" s="2">
        <f>SUMIFS(Operacje[Kwota],Operacje[Bank],październik_saldo[[#This Row],[Bank]],Operacje[Produkt],październik_saldo[[#This Row],[Produkt]],Operacje[Miesiąc],$B$11)</f>
        <v>0</v>
      </c>
      <c r="E8" s="2">
        <f ca="1">październik_saldo[[#This Row],[Saldo Początkowe]]+październik_saldo[[#This Row],[Operacje]]</f>
        <v>45.510000000000005</v>
      </c>
      <c r="G8" s="3" t="s">
        <v>7</v>
      </c>
      <c r="H8" s="2">
        <f>SUMIFS(Operacje[Kwota],Operacje[Kategoria],G8,Operacje[Miesiąc],$B$11)</f>
        <v>0</v>
      </c>
    </row>
    <row r="9" spans="1:8" x14ac:dyDescent="0.25">
      <c r="A9" t="s">
        <v>36</v>
      </c>
      <c r="C9" s="2">
        <f ca="1">SUM(C2:C8)</f>
        <v>14914.45</v>
      </c>
      <c r="D9" s="2">
        <f t="shared" ref="D9:E9" si="0">SUM(D2:D8)</f>
        <v>1670</v>
      </c>
      <c r="E9" s="2">
        <f t="shared" ca="1" si="0"/>
        <v>16584.45</v>
      </c>
      <c r="G9" t="s">
        <v>8</v>
      </c>
      <c r="H9" s="2">
        <f>SUMIFS(Operacje[Kwota],Operacje[Kategoria],G9,Operacje[Miesiąc],$B$11)</f>
        <v>0</v>
      </c>
    </row>
    <row r="10" spans="1:8" x14ac:dyDescent="0.25">
      <c r="G10" s="3" t="s">
        <v>9</v>
      </c>
      <c r="H10" s="2">
        <f>SUMIFS(Operacje[Kwota],Operacje[Kategoria],G10,Operacje[Miesiąc],$B$11)</f>
        <v>0</v>
      </c>
    </row>
    <row r="11" spans="1:8" x14ac:dyDescent="0.25">
      <c r="A11" t="s">
        <v>29</v>
      </c>
      <c r="B11">
        <v>10</v>
      </c>
      <c r="C11" t="str">
        <f>TEXT(DATE(2025,B11,1),"mmmm")</f>
        <v>październik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4500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-2830</v>
      </c>
      <c r="G14" s="3" t="s">
        <v>14</v>
      </c>
      <c r="H14" s="2">
        <f>SUMIFS(Operacje[Kwota],Operacje[Kategoria],G14,Operacje[Miesiąc],$B$11)</f>
        <v>0</v>
      </c>
    </row>
    <row r="15" spans="1:8" ht="15.75" thickBot="1" x14ac:dyDescent="0.3">
      <c r="A15" s="10" t="s">
        <v>37</v>
      </c>
      <c r="B15" s="6">
        <f>SUM(B13:B14)</f>
        <v>1670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1670</v>
      </c>
    </row>
  </sheetData>
  <conditionalFormatting sqref="G2:G3 G5:G17">
    <cfRule type="expression" dxfId="74" priority="7">
      <formula>$B2="Wydatki"</formula>
    </cfRule>
    <cfRule type="expression" dxfId="73" priority="8">
      <formula>$B2="Wpływy"</formula>
    </cfRule>
  </conditionalFormatting>
  <conditionalFormatting sqref="G4">
    <cfRule type="expression" dxfId="72" priority="5">
      <formula>$B4="Wydatki"</formula>
    </cfRule>
    <cfRule type="expression" dxfId="71" priority="6">
      <formula>$B4="Wpływy"</formula>
    </cfRule>
  </conditionalFormatting>
  <conditionalFormatting sqref="G18">
    <cfRule type="expression" dxfId="16" priority="3">
      <formula>$B18="Wydatki"</formula>
    </cfRule>
    <cfRule type="expression" dxfId="15" priority="4">
      <formula>$B18="Wpływy"</formula>
    </cfRule>
  </conditionalFormatting>
  <conditionalFormatting sqref="G18">
    <cfRule type="expression" dxfId="14" priority="1">
      <formula>$B18="Wydatki"</formula>
    </cfRule>
    <cfRule type="expression" dxfId="13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A85C-3026-4E10-9250-BFA05760ACD4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14556.94</v>
      </c>
      <c r="D2" s="2">
        <f>SUMIFS(Operacje[Kwota],Operacje[Bank],listopad_saldo[[#This Row],[Bank]],Operacje[Produkt],listopad_saldo[[#This Row],[Produkt]],Operacje[Miesiąc],$B$11)</f>
        <v>1000</v>
      </c>
      <c r="E2" s="2">
        <f ca="1">listopad_saldo[[#This Row],[Saldo Początkowe]]+listopad_saldo[[#This Row],[Operacje]]</f>
        <v>15556.94</v>
      </c>
      <c r="G2" s="3" t="s">
        <v>1</v>
      </c>
      <c r="H2" s="2">
        <f>SUMIFS(Operacje[Kwota],Operacje[Kategoria],G2,Operacje[Miesiąc],$B$11)</f>
        <v>-506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140</v>
      </c>
      <c r="D3" s="2">
        <f>SUMIFS(Operacje[Kwota],Operacje[Bank],listopad_saldo[[#This Row],[Bank]],Operacje[Produkt],listopad_saldo[[#This Row],[Produkt]],Operacje[Miesiąc],$B$11)</f>
        <v>0</v>
      </c>
      <c r="E3" s="2">
        <f ca="1">listopad_saldo[[#This Row],[Saldo Początkowe]]+listopad_saldo[[#This Row],[Operacje]]</f>
        <v>140</v>
      </c>
      <c r="G3" t="s">
        <v>2</v>
      </c>
      <c r="H3" s="2">
        <f>SUMIFS(Operacje[Kwota],Operacje[Kategoria],G3,Operacje[Miesiąc],$B$11)</f>
        <v>-208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-180</v>
      </c>
      <c r="D4" s="2">
        <f>SUMIFS(Operacje[Kwota],Operacje[Bank],listopad_saldo[[#This Row],[Bank]],Operacje[Produkt],listopad_saldo[[#This Row],[Produkt]],Operacje[Miesiąc],$B$11)</f>
        <v>0</v>
      </c>
      <c r="E4" s="2">
        <f ca="1">listopad_saldo[[#This Row],[Saldo Początkowe]]+listopad_saldo[[#This Row],[Operacje]]</f>
        <v>-180</v>
      </c>
      <c r="G4" s="3" t="s">
        <v>38</v>
      </c>
      <c r="H4" s="2">
        <f>SUMIFS(Operacje[Kwota],Operacje[Kategoria],G4,Operacje[Miesiąc],$B$11)</f>
        <v>-47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548.5</v>
      </c>
      <c r="D5" s="2">
        <f>SUMIFS(Operacje[Kwota],Operacje[Bank],listopad_saldo[[#This Row],[Bank]],Operacje[Produkt],listopad_saldo[[#This Row],[Produkt]],Operacje[Miesiąc],$B$11)</f>
        <v>0</v>
      </c>
      <c r="E5" s="2">
        <f ca="1">listopad_saldo[[#This Row],[Saldo Początkowe]]+listopad_saldo[[#This Row],[Operacje]]</f>
        <v>548.5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SUMIFS(Operacje[Kwota],Operacje[Bank],listopad_saldo[[#This Row],[Bank]],Operacje[Produkt],listopad_saldo[[#This Row],[Produkt]],Operacje[Miesiąc],$B$11)</f>
        <v>0</v>
      </c>
      <c r="E6" s="2">
        <f ca="1">listopad_saldo[[#This Row],[Saldo Początkowe]]+listopad_saldo[[#This Row],[Operacje]]</f>
        <v>1100.5</v>
      </c>
      <c r="G6" s="3" t="s">
        <v>5</v>
      </c>
      <c r="H6" s="2">
        <f>SUMIFS(Operacje[Kwota],Operacje[Kategoria],G6,Operacje[Miesiąc],$B$11)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373</v>
      </c>
      <c r="D7" s="2">
        <f>SUMIFS(Operacje[Kwota],Operacje[Bank],listopad_saldo[[#This Row],[Bank]],Operacje[Produkt],listopad_saldo[[#This Row],[Produkt]],Operacje[Miesiąc],$B$11)</f>
        <v>400</v>
      </c>
      <c r="E7" s="2">
        <f ca="1">listopad_saldo[[#This Row],[Saldo Początkowe]]+listopad_saldo[[#This Row],[Operacje]]</f>
        <v>773</v>
      </c>
      <c r="G7" t="s">
        <v>6</v>
      </c>
      <c r="H7" s="2">
        <f>SUMIFS(Operacje[Kwota],Operacje[Kategoria],G7,Operacje[Miesiąc],$B$11)</f>
        <v>-214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45.510000000000005</v>
      </c>
      <c r="D8" s="2">
        <f>SUMIFS(Operacje[Kwota],Operacje[Bank],listopad_saldo[[#This Row],[Bank]],Operacje[Produkt],listopad_saldo[[#This Row],[Produkt]],Operacje[Miesiąc],$B$11)</f>
        <v>0</v>
      </c>
      <c r="E8" s="2">
        <f ca="1">listopad_saldo[[#This Row],[Saldo Początkowe]]+listopad_saldo[[#This Row],[Operacje]]</f>
        <v>45.510000000000005</v>
      </c>
      <c r="G8" s="3" t="s">
        <v>7</v>
      </c>
      <c r="H8" s="2">
        <f>SUMIFS(Operacje[Kwota],Operacje[Kategoria],G8,Operacje[Miesiąc],$B$11)</f>
        <v>-133</v>
      </c>
    </row>
    <row r="9" spans="1:8" x14ac:dyDescent="0.25">
      <c r="A9" t="s">
        <v>36</v>
      </c>
      <c r="C9" s="2">
        <f ca="1">SUM(C2:C8)</f>
        <v>16584.45</v>
      </c>
      <c r="D9" s="2">
        <f t="shared" ref="D9:E9" si="0">SUM(D2:D8)</f>
        <v>1400</v>
      </c>
      <c r="E9" s="2">
        <f t="shared" ca="1" si="0"/>
        <v>17984.45</v>
      </c>
      <c r="G9" t="s">
        <v>8</v>
      </c>
      <c r="H9" s="2">
        <f>SUMIFS(Operacje[Kwota],Operacje[Kategoria],G9,Operacje[Miesiąc],$B$11)</f>
        <v>-158</v>
      </c>
    </row>
    <row r="10" spans="1:8" x14ac:dyDescent="0.25">
      <c r="G10" s="3" t="s">
        <v>9</v>
      </c>
      <c r="H10" s="2">
        <f>SUMIFS(Operacje[Kwota],Operacje[Kategoria],G10,Operacje[Miesiąc],$B$11)</f>
        <v>-234</v>
      </c>
    </row>
    <row r="11" spans="1:8" x14ac:dyDescent="0.25">
      <c r="A11" t="s">
        <v>29</v>
      </c>
      <c r="B11">
        <v>11</v>
      </c>
      <c r="C11" t="str">
        <f>TEXT(DATE(2025,B11,1),"mmmm")</f>
        <v>listopad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4900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-3500</v>
      </c>
      <c r="G14" s="3" t="s">
        <v>14</v>
      </c>
      <c r="H14" s="2">
        <f>SUMIFS(Operacje[Kwota],Operacje[Kategoria],G14,Operacje[Miesiąc],$B$11)</f>
        <v>400</v>
      </c>
    </row>
    <row r="15" spans="1:8" ht="15.75" thickBot="1" x14ac:dyDescent="0.3">
      <c r="A15" s="10" t="s">
        <v>37</v>
      </c>
      <c r="B15" s="6">
        <f>SUM(B13:B14)</f>
        <v>1400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1400</v>
      </c>
    </row>
  </sheetData>
  <conditionalFormatting sqref="G2:G3 G5:G17">
    <cfRule type="expression" dxfId="70" priority="7">
      <formula>$B2="Wydatki"</formula>
    </cfRule>
    <cfRule type="expression" dxfId="69" priority="8">
      <formula>$B2="Wpływy"</formula>
    </cfRule>
  </conditionalFormatting>
  <conditionalFormatting sqref="G4">
    <cfRule type="expression" dxfId="68" priority="5">
      <formula>$B4="Wydatki"</formula>
    </cfRule>
    <cfRule type="expression" dxfId="67" priority="6">
      <formula>$B4="Wpływy"</formula>
    </cfRule>
  </conditionalFormatting>
  <conditionalFormatting sqref="G18">
    <cfRule type="expression" dxfId="8" priority="3">
      <formula>$B18="Wydatki"</formula>
    </cfRule>
    <cfRule type="expression" dxfId="7" priority="4">
      <formula>$B18="Wpływy"</formula>
    </cfRule>
  </conditionalFormatting>
  <conditionalFormatting sqref="G18">
    <cfRule type="expression" dxfId="6" priority="1">
      <formula>$B18="Wydatki"</formula>
    </cfRule>
    <cfRule type="expression" dxfId="5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BC4A-228E-44F6-8BD8-9B8745A60791}">
  <dimension ref="A1:H18"/>
  <sheetViews>
    <sheetView workbookViewId="0">
      <selection activeCell="H19" sqref="H19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19</v>
      </c>
      <c r="B1" s="7" t="s">
        <v>27</v>
      </c>
      <c r="C1" s="7" t="s">
        <v>33</v>
      </c>
      <c r="D1" s="7" t="s">
        <v>34</v>
      </c>
      <c r="E1" s="7" t="s">
        <v>35</v>
      </c>
      <c r="G1" s="7" t="s">
        <v>0</v>
      </c>
      <c r="H1" s="7" t="s">
        <v>36</v>
      </c>
    </row>
    <row r="2" spans="1:8" x14ac:dyDescent="0.25">
      <c r="A2" t="s">
        <v>21</v>
      </c>
      <c r="B2" t="s">
        <v>20</v>
      </c>
      <c r="C2" s="2" cm="1">
        <f t="array" aca="1" ref="C2" ca="1">INDIRECT(TEXT(DATE(2025,$B$11-1,1),"mmmm")&amp;"!E"&amp;ROW())</f>
        <v>15556.94</v>
      </c>
      <c r="D2" s="2">
        <f>SUMIFS(Operacje[Kwota],Operacje[Bank],grudzień_saldo[[#This Row],[Bank]],Operacje[Produkt],grudzień_saldo[[#This Row],[Produkt]],Operacje[Miesiąc],$B$11)</f>
        <v>1320</v>
      </c>
      <c r="E2" s="2">
        <f ca="1">grudzień_saldo[[#This Row],[Saldo Początkowe]]+grudzień_saldo[[#This Row],[Operacje]]</f>
        <v>16876.940000000002</v>
      </c>
      <c r="G2" s="3" t="s">
        <v>1</v>
      </c>
      <c r="H2" s="2">
        <f>SUMIFS(Operacje[Kwota],Operacje[Kategoria],G2,Operacje[Miesiąc],$B$11)</f>
        <v>-700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140</v>
      </c>
      <c r="D3" s="2">
        <f>SUMIFS(Operacje[Kwota],Operacje[Bank],grudzień_saldo[[#This Row],[Bank]],Operacje[Produkt],grudzień_saldo[[#This Row],[Produkt]],Operacje[Miesiąc],$B$11)</f>
        <v>0</v>
      </c>
      <c r="E3" s="2">
        <f ca="1">grudzień_saldo[[#This Row],[Saldo Początkowe]]+grudzień_saldo[[#This Row],[Operacje]]</f>
        <v>140</v>
      </c>
      <c r="G3" t="s">
        <v>2</v>
      </c>
      <c r="H3" s="2">
        <f>SUMIFS(Operacje[Kwota],Operacje[Kategoria],G3,Operacje[Miesiąc],$B$11)</f>
        <v>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-180</v>
      </c>
      <c r="D4" s="2">
        <f>SUMIFS(Operacje[Kwota],Operacje[Bank],grudzień_saldo[[#This Row],[Bank]],Operacje[Produkt],grudzień_saldo[[#This Row],[Produkt]],Operacje[Miesiąc],$B$11)</f>
        <v>0</v>
      </c>
      <c r="E4" s="2">
        <f ca="1">grudzień_saldo[[#This Row],[Saldo Początkowe]]+grudzień_saldo[[#This Row],[Operacje]]</f>
        <v>-180</v>
      </c>
      <c r="G4" s="3" t="s">
        <v>38</v>
      </c>
      <c r="H4" s="2">
        <f>SUMIFS(Operacje[Kwota],Operacje[Kategoria],G4,Operacje[Miesiąc],$B$11)</f>
        <v>0</v>
      </c>
    </row>
    <row r="5" spans="1:8" x14ac:dyDescent="0.25">
      <c r="A5" t="s">
        <v>22</v>
      </c>
      <c r="B5" t="s">
        <v>20</v>
      </c>
      <c r="C5" s="2" cm="1">
        <f t="array" aca="1" ref="C5" ca="1">INDIRECT(TEXT(DATE(2025,$B$11-1,1),"mmmm")&amp;"!E"&amp;ROW())</f>
        <v>548.5</v>
      </c>
      <c r="D5" s="2">
        <f>SUMIFS(Operacje[Kwota],Operacje[Bank],grudzień_saldo[[#This Row],[Bank]],Operacje[Produkt],grudzień_saldo[[#This Row],[Produkt]],Operacje[Miesiąc],$B$11)</f>
        <v>0</v>
      </c>
      <c r="E5" s="2">
        <f ca="1">grudzień_saldo[[#This Row],[Saldo Początkowe]]+grudzień_saldo[[#This Row],[Operacje]]</f>
        <v>548.5</v>
      </c>
      <c r="G5" t="s">
        <v>4</v>
      </c>
      <c r="H5" s="2">
        <f>SUMIFS(Operacje[Kwota],Operacje[Kategoria],G5,Operacje[Miesiąc],$B$11)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SUMIFS(Operacje[Kwota],Operacje[Bank],grudzień_saldo[[#This Row],[Bank]],Operacje[Produkt],grudzień_saldo[[#This Row],[Produkt]],Operacje[Miesiąc],$B$11)</f>
        <v>0</v>
      </c>
      <c r="E6" s="2">
        <f ca="1">grudzień_saldo[[#This Row],[Saldo Początkowe]]+grudzień_saldo[[#This Row],[Operacje]]</f>
        <v>1100.5</v>
      </c>
      <c r="G6" s="3" t="s">
        <v>5</v>
      </c>
      <c r="H6" s="2">
        <f>SUMIFS(Operacje[Kwota],Operacje[Kategoria],G6,Operacje[Miesiąc],$B$11)</f>
        <v>-100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773</v>
      </c>
      <c r="D7" s="2">
        <f>SUMIFS(Operacje[Kwota],Operacje[Bank],grudzień_saldo[[#This Row],[Bank]],Operacje[Produkt],grudzień_saldo[[#This Row],[Produkt]],Operacje[Miesiąc],$B$11)</f>
        <v>1100</v>
      </c>
      <c r="E7" s="2">
        <f ca="1">grudzień_saldo[[#This Row],[Saldo Początkowe]]+grudzień_saldo[[#This Row],[Operacje]]</f>
        <v>1873</v>
      </c>
      <c r="G7" t="s">
        <v>6</v>
      </c>
      <c r="H7" s="2">
        <f>SUMIFS(Operacje[Kwota],Operacje[Kategoria],G7,Operacje[Miesiąc],$B$11)</f>
        <v>-450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45.510000000000005</v>
      </c>
      <c r="D8" s="2">
        <f>SUMIFS(Operacje[Kwota],Operacje[Bank],grudzień_saldo[[#This Row],[Bank]],Operacje[Produkt],grudzień_saldo[[#This Row],[Produkt]],Operacje[Miesiąc],$B$11)</f>
        <v>0</v>
      </c>
      <c r="E8" s="2">
        <f ca="1">grudzień_saldo[[#This Row],[Saldo Początkowe]]+grudzień_saldo[[#This Row],[Operacje]]</f>
        <v>45.510000000000005</v>
      </c>
      <c r="G8" s="3" t="s">
        <v>7</v>
      </c>
      <c r="H8" s="2">
        <f>SUMIFS(Operacje[Kwota],Operacje[Kategoria],G8,Operacje[Miesiąc],$B$11)</f>
        <v>-10</v>
      </c>
    </row>
    <row r="9" spans="1:8" x14ac:dyDescent="0.25">
      <c r="A9" t="s">
        <v>36</v>
      </c>
      <c r="C9" s="2">
        <f ca="1">SUM(C2:C8)</f>
        <v>17984.45</v>
      </c>
      <c r="D9" s="2">
        <f t="shared" ref="D9:E9" si="0">SUM(D2:D8)</f>
        <v>2420</v>
      </c>
      <c r="E9" s="2">
        <f t="shared" ca="1" si="0"/>
        <v>20404.45</v>
      </c>
      <c r="G9" t="s">
        <v>8</v>
      </c>
      <c r="H9" s="2">
        <f>SUMIFS(Operacje[Kwota],Operacje[Kategoria],G9,Operacje[Miesiąc],$B$11)</f>
        <v>-120</v>
      </c>
    </row>
    <row r="10" spans="1:8" x14ac:dyDescent="0.25">
      <c r="G10" s="3" t="s">
        <v>9</v>
      </c>
      <c r="H10" s="2">
        <f>SUMIFS(Operacje[Kwota],Operacje[Kategoria],G10,Operacje[Miesiąc],$B$11)</f>
        <v>-700</v>
      </c>
    </row>
    <row r="11" spans="1:8" x14ac:dyDescent="0.25">
      <c r="A11" t="s">
        <v>29</v>
      </c>
      <c r="B11">
        <v>12</v>
      </c>
      <c r="C11" t="str">
        <f>TEXT(DATE(2025,B11,1),"mmmm")</f>
        <v>grudzień</v>
      </c>
      <c r="G11" t="s">
        <v>11</v>
      </c>
      <c r="H11" s="2">
        <f>SUMIFS(Operacje[Kwota],Operacje[Kategoria],G11,Operacje[Miesiąc],$B$11)</f>
        <v>4500</v>
      </c>
    </row>
    <row r="12" spans="1:8" ht="15.75" thickBot="1" x14ac:dyDescent="0.3">
      <c r="G12" s="3" t="s">
        <v>12</v>
      </c>
      <c r="H12" s="2">
        <f>SUMIFS(Operacje[Kwota],Operacje[Kategoria],G12,Operacje[Miesiąc],$B$11)</f>
        <v>0</v>
      </c>
    </row>
    <row r="13" spans="1:8" x14ac:dyDescent="0.25">
      <c r="A13" s="8" t="s">
        <v>18</v>
      </c>
      <c r="B13" s="4">
        <f>SUMIFS(Operacje[Kwota],Operacje[Typ],A13,Operacje[Miesiąc],B11)</f>
        <v>6500</v>
      </c>
      <c r="G13" t="s">
        <v>13</v>
      </c>
      <c r="H13" s="2">
        <f>SUMIFS(Operacje[Kwota],Operacje[Kategoria],G13,Operacje[Miesiąc],$B$11)</f>
        <v>0</v>
      </c>
    </row>
    <row r="14" spans="1:8" x14ac:dyDescent="0.25">
      <c r="A14" s="9" t="s">
        <v>10</v>
      </c>
      <c r="B14" s="5">
        <f>SUMIFS(Operacje[Kwota],Operacje[Typ],A14,Operacje[Miesiąc],B11)</f>
        <v>-4080</v>
      </c>
      <c r="G14" s="3" t="s">
        <v>14</v>
      </c>
      <c r="H14" s="2">
        <f>SUMIFS(Operacje[Kwota],Operacje[Kategoria],G14,Operacje[Miesiąc],$B$11)</f>
        <v>2000</v>
      </c>
    </row>
    <row r="15" spans="1:8" ht="15.75" thickBot="1" x14ac:dyDescent="0.3">
      <c r="A15" s="10" t="s">
        <v>37</v>
      </c>
      <c r="B15" s="6">
        <f>SUM(B13:B14)</f>
        <v>2420</v>
      </c>
      <c r="G15" t="s">
        <v>15</v>
      </c>
      <c r="H15" s="2">
        <f>SUMIFS(Operacje[Kwota],Operacje[Kategoria],G15,Operacje[Miesiąc],$B$11)</f>
        <v>0</v>
      </c>
    </row>
    <row r="16" spans="1:8" x14ac:dyDescent="0.25">
      <c r="G16" s="3" t="s">
        <v>16</v>
      </c>
      <c r="H16" s="2">
        <f>SUMIFS(Operacje[Kwota],Operacje[Kategoria],G16,Operacje[Miesiąc],$B$11)</f>
        <v>0</v>
      </c>
    </row>
    <row r="17" spans="7:8" x14ac:dyDescent="0.25">
      <c r="G17" t="s">
        <v>17</v>
      </c>
      <c r="H17" s="2">
        <f>SUMIFS(Operacje[Kwota],Operacje[Kategoria],G17,Operacje[Miesiąc],$B$11)</f>
        <v>0</v>
      </c>
    </row>
    <row r="18" spans="7:8" x14ac:dyDescent="0.25">
      <c r="G18" s="11" t="s">
        <v>36</v>
      </c>
      <c r="H18" s="2">
        <f>SUM(H2:H17)</f>
        <v>2420</v>
      </c>
    </row>
  </sheetData>
  <conditionalFormatting sqref="G2:G3 G5:G17">
    <cfRule type="expression" dxfId="66" priority="7">
      <formula>$B2="Wydatki"</formula>
    </cfRule>
    <cfRule type="expression" dxfId="65" priority="8">
      <formula>$B2="Wpływy"</formula>
    </cfRule>
  </conditionalFormatting>
  <conditionalFormatting sqref="G4">
    <cfRule type="expression" dxfId="64" priority="5">
      <formula>$B4="Wydatki"</formula>
    </cfRule>
    <cfRule type="expression" dxfId="63" priority="6">
      <formula>$B4="Wpływy"</formula>
    </cfRule>
  </conditionalFormatting>
  <conditionalFormatting sqref="G18">
    <cfRule type="expression" dxfId="4" priority="3">
      <formula>$B18="Wydatki"</formula>
    </cfRule>
    <cfRule type="expression" dxfId="3" priority="4">
      <formula>$B18="Wpływy"</formula>
    </cfRule>
  </conditionalFormatting>
  <conditionalFormatting sqref="G18">
    <cfRule type="expression" dxfId="2" priority="1">
      <formula>$B18="Wydatki"</formula>
    </cfRule>
    <cfRule type="expression" dxfId="1" priority="2">
      <formula>$B18="Wpływy"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00FA-F5EA-4B48-B072-8D0483552D70}">
  <dimension ref="A1:P9"/>
  <sheetViews>
    <sheetView tabSelected="1" workbookViewId="0">
      <selection activeCell="P7" sqref="P7"/>
    </sheetView>
  </sheetViews>
  <sheetFormatPr defaultRowHeight="15" x14ac:dyDescent="0.25"/>
  <sheetData>
    <row r="1" spans="1:16" x14ac:dyDescent="0.25">
      <c r="A1" t="s">
        <v>19</v>
      </c>
      <c r="B1" t="s">
        <v>27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6" x14ac:dyDescent="0.25">
      <c r="A2" t="s">
        <v>21</v>
      </c>
      <c r="B2" t="s">
        <v>20</v>
      </c>
      <c r="C2" cm="1">
        <f t="array" aca="1" ref="C2" ca="1">INDIRECT(Salda[[#Headers],[Styczeń]]&amp;"_saldo[@[Saldo końcowe]]")</f>
        <v>1700</v>
      </c>
      <c r="D2" cm="1">
        <f t="array" aca="1" ref="D2" ca="1">INDIRECT(Salda[[#Headers],[Luty]]&amp;"_saldo[@[Saldo końcowe]]")</f>
        <v>3739.5</v>
      </c>
      <c r="E2" cm="1">
        <f t="array" aca="1" ref="E2" ca="1">INDIRECT(Salda[[#Headers],[Marzec]]&amp;"_saldo[@[Saldo końcowe]]")</f>
        <v>4561.1000000000004</v>
      </c>
      <c r="F2" cm="1">
        <f t="array" aca="1" ref="F2" ca="1">INDIRECT(Salda[[#Headers],[Kwiecień]]&amp;"_saldo[@[Saldo końcowe]]")</f>
        <v>5123.83</v>
      </c>
      <c r="G2" cm="1">
        <f t="array" aca="1" ref="G2" ca="1">INDIRECT(Salda[[#Headers],[Maj]]&amp;"_saldo[@[Saldo końcowe]]")</f>
        <v>7452.4400000000005</v>
      </c>
      <c r="H2" cm="1">
        <f t="array" aca="1" ref="H2" ca="1">INDIRECT(Salda[[#Headers],[Czerwiec]]&amp;"_saldo[@[Saldo końcowe]]")</f>
        <v>8872.44</v>
      </c>
      <c r="I2" cm="1">
        <f t="array" aca="1" ref="I2" ca="1">INDIRECT(Salda[[#Headers],[Lipiec]]&amp;"_saldo[@[Saldo końcowe]]")</f>
        <v>9882.44</v>
      </c>
      <c r="J2" cm="1">
        <f t="array" aca="1" ref="J2" ca="1">INDIRECT(Salda[[#Headers],[Sierpień]]&amp;"_saldo[@[Saldo końcowe]]")</f>
        <v>11055.44</v>
      </c>
      <c r="K2" cm="1">
        <f t="array" aca="1" ref="K2" ca="1">INDIRECT(Salda[[#Headers],[Wrzesień]]&amp;"_saldo[@[Saldo końcowe]]")</f>
        <v>12846.94</v>
      </c>
      <c r="L2" cm="1">
        <f t="array" aca="1" ref="L2" ca="1">INDIRECT(Salda[[#Headers],[Październik]]&amp;"_saldo[@[Saldo końcowe]]")</f>
        <v>14556.94</v>
      </c>
      <c r="M2" cm="1">
        <f t="array" aca="1" ref="M2" ca="1">INDIRECT(Salda[[#Headers],[Listopad]]&amp;"_saldo[@[Saldo końcowe]]")</f>
        <v>15556.94</v>
      </c>
      <c r="N2" cm="1">
        <f t="array" aca="1" ref="N2" ca="1">INDIRECT(Salda[[#Headers],[Grudzień]]&amp;"_saldo[@[Saldo końcowe]]")</f>
        <v>16876.940000000002</v>
      </c>
    </row>
    <row r="3" spans="1:16" x14ac:dyDescent="0.25">
      <c r="A3" t="s">
        <v>21</v>
      </c>
      <c r="B3" t="s">
        <v>23</v>
      </c>
      <c r="C3" cm="1">
        <f t="array" aca="1" ref="C3" ca="1">INDIRECT(Salda[[#Headers],[Styczeń]]&amp;"_saldo[@[Saldo końcowe]]")</f>
        <v>-175</v>
      </c>
      <c r="D3" cm="1">
        <f t="array" aca="1" ref="D3" ca="1">INDIRECT(Salda[[#Headers],[Luty]]&amp;"_saldo[@[Saldo końcowe]]")</f>
        <v>0</v>
      </c>
      <c r="E3" cm="1">
        <f t="array" aca="1" ref="E3" ca="1">INDIRECT(Salda[[#Headers],[Marzec]]&amp;"_saldo[@[Saldo końcowe]]")</f>
        <v>-104.5</v>
      </c>
      <c r="F3" cm="1">
        <f t="array" aca="1" ref="F3" ca="1">INDIRECT(Salda[[#Headers],[Kwiecień]]&amp;"_saldo[@[Saldo końcowe]]")</f>
        <v>-91.39</v>
      </c>
      <c r="G3" cm="1">
        <f t="array" aca="1" ref="G3" ca="1">INDIRECT(Salda[[#Headers],[Maj]]&amp;"_saldo[@[Saldo końcowe]]")</f>
        <v>-1000</v>
      </c>
      <c r="H3" cm="1">
        <f t="array" aca="1" ref="H3" ca="1">INDIRECT(Salda[[#Headers],[Czerwiec]]&amp;"_saldo[@[Saldo końcowe]]")</f>
        <v>-1300</v>
      </c>
      <c r="I3" cm="1">
        <f t="array" aca="1" ref="I3" ca="1">INDIRECT(Salda[[#Headers],[Lipiec]]&amp;"_saldo[@[Saldo końcowe]]")</f>
        <v>-135</v>
      </c>
      <c r="J3" cm="1">
        <f t="array" aca="1" ref="J3" ca="1">INDIRECT(Salda[[#Headers],[Sierpień]]&amp;"_saldo[@[Saldo końcowe]]")</f>
        <v>200</v>
      </c>
      <c r="K3" cm="1">
        <f t="array" aca="1" ref="K3" ca="1">INDIRECT(Salda[[#Headers],[Wrzesień]]&amp;"_saldo[@[Saldo końcowe]]")</f>
        <v>180</v>
      </c>
      <c r="L3" cm="1">
        <f t="array" aca="1" ref="L3" ca="1">INDIRECT(Salda[[#Headers],[Październik]]&amp;"_saldo[@[Saldo końcowe]]")</f>
        <v>140</v>
      </c>
      <c r="M3" cm="1">
        <f t="array" aca="1" ref="M3" ca="1">INDIRECT(Salda[[#Headers],[Listopad]]&amp;"_saldo[@[Saldo końcowe]]")</f>
        <v>140</v>
      </c>
      <c r="N3" cm="1">
        <f t="array" aca="1" ref="N3" ca="1">INDIRECT(Salda[[#Headers],[Grudzień]]&amp;"_saldo[@[Saldo końcowe]]")</f>
        <v>140</v>
      </c>
    </row>
    <row r="4" spans="1:16" x14ac:dyDescent="0.25">
      <c r="A4" t="s">
        <v>21</v>
      </c>
      <c r="B4" t="s">
        <v>24</v>
      </c>
      <c r="C4" cm="1">
        <f t="array" aca="1" ref="C4" ca="1">INDIRECT(Salda[[#Headers],[Styczeń]]&amp;"_saldo[@[Saldo końcowe]]")</f>
        <v>1600</v>
      </c>
      <c r="D4" cm="1">
        <f t="array" aca="1" ref="D4" ca="1">INDIRECT(Salda[[#Headers],[Luty]]&amp;"_saldo[@[Saldo końcowe]]")</f>
        <v>1200</v>
      </c>
      <c r="E4" cm="1">
        <f t="array" aca="1" ref="E4" ca="1">INDIRECT(Salda[[#Headers],[Marzec]]&amp;"_saldo[@[Saldo końcowe]]")</f>
        <v>1200</v>
      </c>
      <c r="F4" cm="1">
        <f t="array" aca="1" ref="F4" ca="1">INDIRECT(Salda[[#Headers],[Kwiecień]]&amp;"_saldo[@[Saldo końcowe]]")</f>
        <v>1200</v>
      </c>
      <c r="G4" cm="1">
        <f t="array" aca="1" ref="G4" ca="1">INDIRECT(Salda[[#Headers],[Maj]]&amp;"_saldo[@[Saldo końcowe]]")</f>
        <v>1200</v>
      </c>
      <c r="H4" cm="1">
        <f t="array" aca="1" ref="H4" ca="1">INDIRECT(Salda[[#Headers],[Czerwiec]]&amp;"_saldo[@[Saldo końcowe]]")</f>
        <v>1200</v>
      </c>
      <c r="I4" cm="1">
        <f t="array" aca="1" ref="I4" ca="1">INDIRECT(Salda[[#Headers],[Lipiec]]&amp;"_saldo[@[Saldo końcowe]]")</f>
        <v>1020</v>
      </c>
      <c r="J4" cm="1">
        <f t="array" aca="1" ref="J4" ca="1">INDIRECT(Salda[[#Headers],[Sierpień]]&amp;"_saldo[@[Saldo końcowe]]")</f>
        <v>-180</v>
      </c>
      <c r="K4" cm="1">
        <f t="array" aca="1" ref="K4" ca="1">INDIRECT(Salda[[#Headers],[Wrzesień]]&amp;"_saldo[@[Saldo końcowe]]")</f>
        <v>-180</v>
      </c>
      <c r="L4" cm="1">
        <f t="array" aca="1" ref="L4" ca="1">INDIRECT(Salda[[#Headers],[Październik]]&amp;"_saldo[@[Saldo końcowe]]")</f>
        <v>-180</v>
      </c>
      <c r="M4" cm="1">
        <f t="array" aca="1" ref="M4" ca="1">INDIRECT(Salda[[#Headers],[Listopad]]&amp;"_saldo[@[Saldo końcowe]]")</f>
        <v>-180</v>
      </c>
      <c r="N4" cm="1">
        <f t="array" aca="1" ref="N4" ca="1">INDIRECT(Salda[[#Headers],[Grudzień]]&amp;"_saldo[@[Saldo końcowe]]")</f>
        <v>-180</v>
      </c>
    </row>
    <row r="5" spans="1:16" x14ac:dyDescent="0.25">
      <c r="A5" t="s">
        <v>22</v>
      </c>
      <c r="B5" t="s">
        <v>20</v>
      </c>
      <c r="C5" cm="1">
        <f t="array" aca="1" ref="C5" ca="1">INDIRECT(Salda[[#Headers],[Styczeń]]&amp;"_saldo[@[Saldo końcowe]]")</f>
        <v>65</v>
      </c>
      <c r="D5" cm="1">
        <f t="array" aca="1" ref="D5" ca="1">INDIRECT(Salda[[#Headers],[Luty]]&amp;"_saldo[@[Saldo końcowe]]")</f>
        <v>100</v>
      </c>
      <c r="E5" cm="1">
        <f t="array" aca="1" ref="E5" ca="1">INDIRECT(Salda[[#Headers],[Marzec]]&amp;"_saldo[@[Saldo końcowe]]")</f>
        <v>167.5</v>
      </c>
      <c r="F5" cm="1">
        <f t="array" aca="1" ref="F5" ca="1">INDIRECT(Salda[[#Headers],[Kwiecień]]&amp;"_saldo[@[Saldo końcowe]]")</f>
        <v>268.5</v>
      </c>
      <c r="G5" cm="1">
        <f t="array" aca="1" ref="G5" ca="1">INDIRECT(Salda[[#Headers],[Maj]]&amp;"_saldo[@[Saldo końcowe]]")</f>
        <v>218.5</v>
      </c>
      <c r="H5" cm="1">
        <f t="array" aca="1" ref="H5" ca="1">INDIRECT(Salda[[#Headers],[Czerwiec]]&amp;"_saldo[@[Saldo końcowe]]")</f>
        <v>468.5</v>
      </c>
      <c r="I5" cm="1">
        <f t="array" aca="1" ref="I5" ca="1">INDIRECT(Salda[[#Headers],[Lipiec]]&amp;"_saldo[@[Saldo końcowe]]")</f>
        <v>368.5</v>
      </c>
      <c r="J5" cm="1">
        <f t="array" aca="1" ref="J5" ca="1">INDIRECT(Salda[[#Headers],[Sierpień]]&amp;"_saldo[@[Saldo końcowe]]")</f>
        <v>568.5</v>
      </c>
      <c r="K5" cm="1">
        <f t="array" aca="1" ref="K5" ca="1">INDIRECT(Salda[[#Headers],[Wrzesień]]&amp;"_saldo[@[Saldo końcowe]]")</f>
        <v>548.5</v>
      </c>
      <c r="L5" cm="1">
        <f t="array" aca="1" ref="L5" ca="1">INDIRECT(Salda[[#Headers],[Październik]]&amp;"_saldo[@[Saldo końcowe]]")</f>
        <v>548.5</v>
      </c>
      <c r="M5" cm="1">
        <f t="array" aca="1" ref="M5" ca="1">INDIRECT(Salda[[#Headers],[Listopad]]&amp;"_saldo[@[Saldo końcowe]]")</f>
        <v>548.5</v>
      </c>
      <c r="N5" cm="1">
        <f t="array" aca="1" ref="N5" ca="1">INDIRECT(Salda[[#Headers],[Grudzień]]&amp;"_saldo[@[Saldo końcowe]]")</f>
        <v>548.5</v>
      </c>
    </row>
    <row r="6" spans="1:16" x14ac:dyDescent="0.25">
      <c r="A6" t="s">
        <v>22</v>
      </c>
      <c r="B6" t="s">
        <v>25</v>
      </c>
      <c r="C6" cm="1">
        <f t="array" aca="1" ref="C6" ca="1">INDIRECT(Salda[[#Headers],[Styczeń]]&amp;"_saldo[@[Saldo końcowe]]")</f>
        <v>280.5</v>
      </c>
      <c r="D6" cm="1">
        <f t="array" aca="1" ref="D6" ca="1">INDIRECT(Salda[[#Headers],[Luty]]&amp;"_saldo[@[Saldo końcowe]]")</f>
        <v>295.5</v>
      </c>
      <c r="E6" cm="1">
        <f t="array" aca="1" ref="E6" ca="1">INDIRECT(Salda[[#Headers],[Marzec]]&amp;"_saldo[@[Saldo końcowe]]")</f>
        <v>300.5</v>
      </c>
      <c r="F6" cm="1">
        <f t="array" aca="1" ref="F6" ca="1">INDIRECT(Salda[[#Headers],[Kwiecień]]&amp;"_saldo[@[Saldo końcowe]]")</f>
        <v>350.5</v>
      </c>
      <c r="G6" cm="1">
        <f t="array" aca="1" ref="G6" ca="1">INDIRECT(Salda[[#Headers],[Maj]]&amp;"_saldo[@[Saldo końcowe]]")</f>
        <v>350.5</v>
      </c>
      <c r="H6" cm="1">
        <f t="array" aca="1" ref="H6" ca="1">INDIRECT(Salda[[#Headers],[Czerwiec]]&amp;"_saldo[@[Saldo końcowe]]")</f>
        <v>350.5</v>
      </c>
      <c r="I6" cm="1">
        <f t="array" aca="1" ref="I6" ca="1">INDIRECT(Salda[[#Headers],[Lipiec]]&amp;"_saldo[@[Saldo końcowe]]")</f>
        <v>1400.5</v>
      </c>
      <c r="J6" cm="1">
        <f t="array" aca="1" ref="J6" ca="1">INDIRECT(Salda[[#Headers],[Sierpień]]&amp;"_saldo[@[Saldo końcowe]]")</f>
        <v>1100.5</v>
      </c>
      <c r="K6" cm="1">
        <f t="array" aca="1" ref="K6" ca="1">INDIRECT(Salda[[#Headers],[Wrzesień]]&amp;"_saldo[@[Saldo końcowe]]")</f>
        <v>1100.5</v>
      </c>
      <c r="L6" cm="1">
        <f t="array" aca="1" ref="L6" ca="1">INDIRECT(Salda[[#Headers],[Październik]]&amp;"_saldo[@[Saldo końcowe]]")</f>
        <v>1100.5</v>
      </c>
      <c r="M6" cm="1">
        <f t="array" aca="1" ref="M6" ca="1">INDIRECT(Salda[[#Headers],[Listopad]]&amp;"_saldo[@[Saldo końcowe]]")</f>
        <v>1100.5</v>
      </c>
      <c r="N6" cm="1">
        <f t="array" aca="1" ref="N6" ca="1">INDIRECT(Salda[[#Headers],[Grudzień]]&amp;"_saldo[@[Saldo końcowe]]")</f>
        <v>1100.5</v>
      </c>
      <c r="P6" t="s">
        <v>56</v>
      </c>
    </row>
    <row r="7" spans="1:16" x14ac:dyDescent="0.25">
      <c r="A7" t="s">
        <v>30</v>
      </c>
      <c r="B7" t="s">
        <v>31</v>
      </c>
      <c r="C7" cm="1">
        <f t="array" aca="1" ref="C7" ca="1">INDIRECT(Salda[[#Headers],[Styczeń]]&amp;"_saldo[@[Saldo końcowe]]")</f>
        <v>159.5</v>
      </c>
      <c r="D7" cm="1">
        <f t="array" aca="1" ref="D7" ca="1">INDIRECT(Salda[[#Headers],[Luty]]&amp;"_saldo[@[Saldo końcowe]]")</f>
        <v>659.5</v>
      </c>
      <c r="E7" cm="1">
        <f t="array" aca="1" ref="E7" ca="1">INDIRECT(Salda[[#Headers],[Marzec]]&amp;"_saldo[@[Saldo końcowe]]")</f>
        <v>650</v>
      </c>
      <c r="F7" cm="1">
        <f t="array" aca="1" ref="F7" ca="1">INDIRECT(Salda[[#Headers],[Kwiecień]]&amp;"_saldo[@[Saldo końcowe]]")</f>
        <v>650</v>
      </c>
      <c r="G7" cm="1">
        <f t="array" aca="1" ref="G7" ca="1">INDIRECT(Salda[[#Headers],[Maj]]&amp;"_saldo[@[Saldo końcowe]]")</f>
        <v>570</v>
      </c>
      <c r="H7" cm="1">
        <f t="array" aca="1" ref="H7" ca="1">INDIRECT(Salda[[#Headers],[Czerwiec]]&amp;"_saldo[@[Saldo końcowe]]")</f>
        <v>370</v>
      </c>
      <c r="I7" cm="1">
        <f t="array" aca="1" ref="I7" ca="1">INDIRECT(Salda[[#Headers],[Lipiec]]&amp;"_saldo[@[Saldo końcowe]]")</f>
        <v>370</v>
      </c>
      <c r="J7" cm="1">
        <f t="array" aca="1" ref="J7" ca="1">INDIRECT(Salda[[#Headers],[Sierpień]]&amp;"_saldo[@[Saldo końcowe]]")</f>
        <v>373</v>
      </c>
      <c r="K7" cm="1">
        <f t="array" aca="1" ref="K7" ca="1">INDIRECT(Salda[[#Headers],[Wrzesień]]&amp;"_saldo[@[Saldo końcowe]]")</f>
        <v>373</v>
      </c>
      <c r="L7" cm="1">
        <f t="array" aca="1" ref="L7" ca="1">INDIRECT(Salda[[#Headers],[Październik]]&amp;"_saldo[@[Saldo końcowe]]")</f>
        <v>373</v>
      </c>
      <c r="M7" cm="1">
        <f t="array" aca="1" ref="M7" ca="1">INDIRECT(Salda[[#Headers],[Listopad]]&amp;"_saldo[@[Saldo końcowe]]")</f>
        <v>773</v>
      </c>
      <c r="N7" cm="1">
        <f t="array" aca="1" ref="N7" ca="1">INDIRECT(Salda[[#Headers],[Grudzień]]&amp;"_saldo[@[Saldo końcowe]]")</f>
        <v>1873</v>
      </c>
    </row>
    <row r="8" spans="1:16" x14ac:dyDescent="0.25">
      <c r="A8" t="s">
        <v>30</v>
      </c>
      <c r="B8" t="s">
        <v>32</v>
      </c>
      <c r="C8" cm="1">
        <f t="array" aca="1" ref="C8" ca="1">INDIRECT(Salda[[#Headers],[Styczeń]]&amp;"_saldo[@[Saldo końcowe]]")</f>
        <v>0</v>
      </c>
      <c r="D8" cm="1">
        <f t="array" aca="1" ref="D8" ca="1">INDIRECT(Salda[[#Headers],[Luty]]&amp;"_saldo[@[Saldo końcowe]]")</f>
        <v>100</v>
      </c>
      <c r="E8" cm="1">
        <f t="array" aca="1" ref="E8" ca="1">INDIRECT(Salda[[#Headers],[Marzec]]&amp;"_saldo[@[Saldo końcowe]]")</f>
        <v>75.510000000000005</v>
      </c>
      <c r="F8" cm="1">
        <f t="array" aca="1" ref="F8" ca="1">INDIRECT(Salda[[#Headers],[Kwiecień]]&amp;"_saldo[@[Saldo końcowe]]")</f>
        <v>75.510000000000005</v>
      </c>
      <c r="G8" cm="1">
        <f t="array" aca="1" ref="G8" ca="1">INDIRECT(Salda[[#Headers],[Maj]]&amp;"_saldo[@[Saldo końcowe]]")</f>
        <v>75.510000000000005</v>
      </c>
      <c r="H8" cm="1">
        <f t="array" aca="1" ref="H8" ca="1">INDIRECT(Salda[[#Headers],[Czerwiec]]&amp;"_saldo[@[Saldo końcowe]]")</f>
        <v>75.510000000000005</v>
      </c>
      <c r="I8" cm="1">
        <f t="array" aca="1" ref="I8" ca="1">INDIRECT(Salda[[#Headers],[Lipiec]]&amp;"_saldo[@[Saldo końcowe]]")</f>
        <v>45.510000000000005</v>
      </c>
      <c r="J8" cm="1">
        <f t="array" aca="1" ref="J8" ca="1">INDIRECT(Salda[[#Headers],[Sierpień]]&amp;"_saldo[@[Saldo końcowe]]")</f>
        <v>45.510000000000005</v>
      </c>
      <c r="K8" cm="1">
        <f t="array" aca="1" ref="K8" ca="1">INDIRECT(Salda[[#Headers],[Wrzesień]]&amp;"_saldo[@[Saldo końcowe]]")</f>
        <v>45.510000000000005</v>
      </c>
      <c r="L8" cm="1">
        <f t="array" aca="1" ref="L8" ca="1">INDIRECT(Salda[[#Headers],[Październik]]&amp;"_saldo[@[Saldo końcowe]]")</f>
        <v>45.510000000000005</v>
      </c>
      <c r="M8" cm="1">
        <f t="array" aca="1" ref="M8" ca="1">INDIRECT(Salda[[#Headers],[Listopad]]&amp;"_saldo[@[Saldo końcowe]]")</f>
        <v>45.510000000000005</v>
      </c>
      <c r="N8" cm="1">
        <f t="array" aca="1" ref="N8" ca="1">INDIRECT(Salda[[#Headers],[Grudzień]]&amp;"_saldo[@[Saldo końcowe]]")</f>
        <v>45.510000000000005</v>
      </c>
    </row>
    <row r="9" spans="1:16" x14ac:dyDescent="0.25">
      <c r="A9" t="s">
        <v>55</v>
      </c>
      <c r="C9" s="18">
        <f ca="1">SUM(C2:C8)</f>
        <v>3630</v>
      </c>
      <c r="D9" s="18">
        <f t="shared" ref="D9:N9" ca="1" si="0">SUM(D2:D8)</f>
        <v>6094.5</v>
      </c>
      <c r="E9" s="18">
        <f t="shared" ca="1" si="0"/>
        <v>6850.1100000000006</v>
      </c>
      <c r="F9" s="18">
        <f t="shared" ca="1" si="0"/>
        <v>7576.95</v>
      </c>
      <c r="G9" s="18">
        <f t="shared" ca="1" si="0"/>
        <v>8866.9500000000007</v>
      </c>
      <c r="H9" s="18">
        <f t="shared" ca="1" si="0"/>
        <v>10036.950000000001</v>
      </c>
      <c r="I9" s="18">
        <f t="shared" ca="1" si="0"/>
        <v>12951.95</v>
      </c>
      <c r="J9" s="18">
        <f t="shared" ca="1" si="0"/>
        <v>13162.95</v>
      </c>
      <c r="K9" s="18">
        <f t="shared" ca="1" si="0"/>
        <v>14914.45</v>
      </c>
      <c r="L9" s="18">
        <f t="shared" ca="1" si="0"/>
        <v>16584.45</v>
      </c>
      <c r="M9" s="18">
        <f t="shared" ca="1" si="0"/>
        <v>17984.45</v>
      </c>
      <c r="N9" s="18">
        <f t="shared" ca="1" si="0"/>
        <v>20404.45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3AE06A7-0FD6-4E60-B5BA-8122C3ABCEE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C2:N9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053F-14DB-45F6-941C-D80813274E68}">
  <dimension ref="B2:AD38"/>
  <sheetViews>
    <sheetView zoomScale="95" zoomScaleNormal="95" workbookViewId="0">
      <selection activeCell="M36" sqref="M36"/>
    </sheetView>
  </sheetViews>
  <sheetFormatPr defaultRowHeight="15" x14ac:dyDescent="0.25"/>
  <sheetData>
    <row r="2" spans="2:30" ht="15" customHeight="1" x14ac:dyDescent="0.25">
      <c r="B2" s="15" t="s">
        <v>41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7"/>
      <c r="S2" s="15" t="s">
        <v>42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2:30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2:30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7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2:30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7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2:30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7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2:30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7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2:30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7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2:30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7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2:30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7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2:30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7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2:30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7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2:30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2:30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7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2:30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7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2:30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7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2:30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7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2:30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7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2:30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7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2:30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7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2:30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7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2:30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7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2:30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7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2:30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7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2:30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7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2:30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7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2:30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7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2:30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7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2:30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7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2:30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7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2:30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7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2:30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7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2:30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7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2:30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7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2:30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7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2:30" x14ac:dyDescent="0.25"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2:30" x14ac:dyDescent="0.25"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2:30" x14ac:dyDescent="0.25"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</sheetData>
  <mergeCells count="2">
    <mergeCell ref="B2:Q35"/>
    <mergeCell ref="S2:A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Kategorie</vt:lpstr>
      <vt:lpstr>Operacje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  <vt:lpstr>Salda</vt:lpstr>
      <vt:lpstr>Kot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s-A121-30</cp:lastModifiedBy>
  <dcterms:created xsi:type="dcterms:W3CDTF">2024-11-20T14:17:54Z</dcterms:created>
  <dcterms:modified xsi:type="dcterms:W3CDTF">2024-12-18T15:30:57Z</dcterms:modified>
</cp:coreProperties>
</file>