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24800" windowHeight="15560" tabRatio="500"/>
  </bookViews>
  <sheets>
    <sheet name="Problem 1" sheetId="4" r:id="rId1"/>
    <sheet name="Problem 2" sheetId="3" r:id="rId2"/>
    <sheet name="Problem 3" sheetId="1" r:id="rId3"/>
    <sheet name="Problem 4" sheetId="5" r:id="rId4"/>
    <sheet name="Problem 5" sheetId="2" r:id="rId5"/>
    <sheet name="Problem 6" sheetId="6" r:id="rId6"/>
    <sheet name="Problem 7" sheetId="7" r:id="rId7"/>
  </sheets>
  <externalReferences>
    <externalReference r:id="rId8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2" l="1"/>
  <c r="C10" i="2"/>
  <c r="C11" i="2"/>
  <c r="C12" i="2"/>
  <c r="C13" i="2"/>
  <c r="C14" i="2"/>
  <c r="C16" i="2"/>
  <c r="C17" i="2"/>
  <c r="C18" i="2"/>
  <c r="C15" i="2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94" i="7"/>
  <c r="K27" i="4"/>
  <c r="R14" i="4"/>
  <c r="R13" i="4"/>
  <c r="R12" i="4"/>
  <c r="R11" i="4"/>
  <c r="R10" i="4"/>
  <c r="R9" i="4"/>
  <c r="R8" i="4"/>
  <c r="R7" i="4"/>
  <c r="R6" i="4"/>
  <c r="R5" i="4"/>
  <c r="R4" i="4"/>
  <c r="R3" i="4"/>
  <c r="Q13" i="4"/>
  <c r="Q12" i="4"/>
  <c r="Q11" i="4"/>
  <c r="Q10" i="4"/>
  <c r="Q9" i="4"/>
  <c r="Q8" i="4"/>
  <c r="Q7" i="4"/>
  <c r="Q6" i="4"/>
  <c r="Q5" i="4"/>
  <c r="Q4" i="4"/>
  <c r="Q3" i="4"/>
  <c r="Q14" i="4"/>
  <c r="P14" i="4"/>
  <c r="P13" i="4"/>
  <c r="P12" i="4"/>
  <c r="P11" i="4"/>
  <c r="P10" i="4"/>
  <c r="P9" i="4"/>
  <c r="P8" i="4"/>
  <c r="P7" i="4"/>
  <c r="P6" i="4"/>
  <c r="P5" i="4"/>
  <c r="P4" i="4"/>
  <c r="P3" i="4"/>
  <c r="C16" i="4"/>
  <c r="D16" i="4"/>
  <c r="E16" i="4"/>
  <c r="F16" i="4"/>
  <c r="G16" i="4"/>
  <c r="H16" i="4"/>
  <c r="I16" i="4"/>
  <c r="J16" i="4"/>
  <c r="K16" i="4"/>
  <c r="L16" i="4"/>
  <c r="M16" i="4"/>
  <c r="B16" i="4"/>
  <c r="C24" i="4"/>
  <c r="D24" i="4"/>
  <c r="E24" i="4"/>
  <c r="F24" i="4"/>
  <c r="G24" i="4"/>
  <c r="H24" i="4"/>
  <c r="I24" i="4"/>
  <c r="J24" i="4"/>
  <c r="K24" i="4"/>
  <c r="L24" i="4"/>
  <c r="M24" i="4"/>
  <c r="B24" i="4"/>
  <c r="C7" i="4"/>
  <c r="D7" i="4"/>
  <c r="E7" i="4"/>
  <c r="F7" i="4"/>
  <c r="G7" i="4"/>
  <c r="H7" i="4"/>
  <c r="I7" i="4"/>
  <c r="J7" i="4"/>
  <c r="K7" i="4"/>
  <c r="L7" i="4"/>
  <c r="M7" i="4"/>
  <c r="B7" i="4"/>
  <c r="I109" i="7"/>
  <c r="I110" i="7"/>
  <c r="I111" i="7"/>
  <c r="I112" i="7"/>
  <c r="I113" i="7"/>
  <c r="I114" i="7"/>
  <c r="I115" i="7"/>
  <c r="I116" i="7"/>
  <c r="I117" i="7"/>
  <c r="I118" i="7"/>
  <c r="I119" i="7"/>
  <c r="I120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M120" i="7"/>
  <c r="L120" i="7"/>
  <c r="M121" i="7"/>
  <c r="J94" i="7"/>
  <c r="J95" i="7"/>
  <c r="J96" i="7"/>
  <c r="L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L108" i="7"/>
  <c r="L121" i="7"/>
  <c r="M108" i="7"/>
  <c r="M96" i="7"/>
  <c r="M84" i="7"/>
  <c r="M72" i="7"/>
  <c r="M60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49" i="7"/>
  <c r="L84" i="7"/>
  <c r="L72" i="7"/>
  <c r="L60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49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86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69" i="7"/>
  <c r="E60" i="7"/>
  <c r="E61" i="7"/>
  <c r="E62" i="7"/>
  <c r="E63" i="7"/>
  <c r="E64" i="7"/>
  <c r="E65" i="7"/>
  <c r="E66" i="7"/>
  <c r="E67" i="7"/>
  <c r="E68" i="7"/>
  <c r="E59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71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57" i="7"/>
  <c r="C50" i="7"/>
  <c r="C51" i="7"/>
  <c r="C52" i="7"/>
  <c r="C53" i="7"/>
  <c r="C54" i="7"/>
  <c r="C55" i="7"/>
  <c r="C56" i="7"/>
  <c r="C57" i="7"/>
  <c r="C58" i="7"/>
  <c r="C49" i="7"/>
  <c r="B50" i="7"/>
  <c r="B51" i="7"/>
  <c r="B52" i="7"/>
  <c r="B53" i="7"/>
  <c r="B54" i="7"/>
  <c r="B55" i="7"/>
  <c r="B56" i="7"/>
  <c r="B49" i="7"/>
  <c r="A4" i="6"/>
  <c r="A7" i="6"/>
  <c r="A10" i="6"/>
  <c r="B10" i="6"/>
  <c r="A12" i="6"/>
  <c r="B4" i="6"/>
  <c r="B7" i="6"/>
  <c r="A2" i="3"/>
  <c r="B16" i="1"/>
  <c r="G16" i="1"/>
  <c r="B17" i="1"/>
  <c r="G17" i="1"/>
  <c r="B18" i="1"/>
  <c r="G18" i="1"/>
  <c r="B19" i="1"/>
  <c r="G19" i="1"/>
  <c r="C20" i="1"/>
  <c r="G20" i="1"/>
  <c r="C21" i="1"/>
  <c r="G21" i="1"/>
  <c r="C22" i="1"/>
  <c r="G22" i="1"/>
  <c r="C23" i="1"/>
  <c r="G23" i="1"/>
  <c r="C24" i="1"/>
  <c r="G24" i="1"/>
  <c r="C25" i="1"/>
  <c r="G25" i="1"/>
  <c r="C26" i="1"/>
  <c r="G26" i="1"/>
  <c r="C27" i="1"/>
  <c r="G27" i="1"/>
  <c r="C28" i="1"/>
  <c r="G28" i="1"/>
  <c r="C29" i="1"/>
  <c r="G29" i="1"/>
  <c r="C30" i="1"/>
  <c r="G30" i="1"/>
  <c r="C31" i="1"/>
  <c r="G31" i="1"/>
  <c r="D32" i="1"/>
  <c r="G32" i="1"/>
  <c r="D33" i="1"/>
  <c r="G33" i="1"/>
  <c r="D34" i="1"/>
  <c r="G34" i="1"/>
  <c r="D35" i="1"/>
  <c r="G35" i="1"/>
  <c r="D36" i="1"/>
  <c r="G36" i="1"/>
  <c r="D37" i="1"/>
  <c r="G37" i="1"/>
  <c r="D38" i="1"/>
  <c r="G38" i="1"/>
  <c r="D39" i="1"/>
  <c r="G39" i="1"/>
  <c r="D40" i="1"/>
  <c r="G40" i="1"/>
  <c r="D41" i="1"/>
  <c r="G41" i="1"/>
  <c r="D42" i="1"/>
  <c r="G42" i="1"/>
  <c r="D43" i="1"/>
  <c r="G43" i="1"/>
  <c r="D44" i="1"/>
  <c r="G44" i="1"/>
  <c r="D45" i="1"/>
  <c r="G45" i="1"/>
  <c r="D46" i="1"/>
  <c r="G46" i="1"/>
  <c r="D47" i="1"/>
  <c r="G47" i="1"/>
  <c r="D48" i="1"/>
  <c r="G48" i="1"/>
  <c r="D49" i="1"/>
  <c r="G49" i="1"/>
  <c r="D50" i="1"/>
  <c r="G50" i="1"/>
  <c r="D51" i="1"/>
  <c r="G51" i="1"/>
  <c r="E52" i="1"/>
  <c r="G52" i="1"/>
  <c r="E53" i="1"/>
  <c r="G53" i="1"/>
  <c r="E54" i="1"/>
  <c r="G54" i="1"/>
  <c r="E55" i="1"/>
  <c r="G55" i="1"/>
  <c r="G56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</calcChain>
</file>

<file path=xl/sharedStrings.xml><?xml version="1.0" encoding="utf-8"?>
<sst xmlns="http://schemas.openxmlformats.org/spreadsheetml/2006/main" count="292" uniqueCount="155">
  <si>
    <t>Problem #3</t>
  </si>
  <si>
    <t>Pahse Distribution</t>
  </si>
  <si>
    <t>Phase</t>
  </si>
  <si>
    <t>Effort (Person-months)</t>
  </si>
  <si>
    <t>Schedule (Months)</t>
  </si>
  <si>
    <t>Average Staff</t>
  </si>
  <si>
    <t>Cost (Dollars)</t>
  </si>
  <si>
    <t>Inception</t>
  </si>
  <si>
    <t>Elaboration</t>
  </si>
  <si>
    <t>Construction</t>
  </si>
  <si>
    <t>Transition</t>
  </si>
  <si>
    <t>Software Effort Distribution for RUP/MBASE (Person-Months)</t>
  </si>
  <si>
    <t>Phase/Activity</t>
  </si>
  <si>
    <t>Management</t>
  </si>
  <si>
    <t>Environment/CM</t>
  </si>
  <si>
    <t>Requirements</t>
  </si>
  <si>
    <t>Design</t>
  </si>
  <si>
    <t>Implementation</t>
  </si>
  <si>
    <t>Assessment</t>
  </si>
  <si>
    <t>Deployment</t>
  </si>
  <si>
    <t>Software Engineering</t>
  </si>
  <si>
    <t>Effort = 1225.9 Person-months</t>
  </si>
  <si>
    <t>Schedule = 31.2 Months</t>
  </si>
  <si>
    <t>Total Equivalent Size =304468</t>
  </si>
  <si>
    <t>Problem #5</t>
  </si>
  <si>
    <t>Systems Engineering</t>
  </si>
  <si>
    <t>Effort =189.0 Person-months</t>
  </si>
  <si>
    <t>Schedule = 8.5 Months</t>
  </si>
  <si>
    <t>Cost = $1890473</t>
  </si>
  <si>
    <t>Total Size =521 Equivalent Nominal Requirements</t>
  </si>
  <si>
    <t>Effort Distribution (Person-Months)</t>
  </si>
  <si>
    <t>Phase / Activity</t>
  </si>
  <si>
    <t>Conceptualize</t>
  </si>
  <si>
    <t>Develop     </t>
  </si>
  <si>
    <t>Operational Test and Evaluation</t>
  </si>
  <si>
    <t>Transition to Operation  </t>
  </si>
  <si>
    <t>Acquisition and Supply</t>
  </si>
  <si>
    <t>Technical Management</t>
  </si>
  <si>
    <t>System Design</t>
  </si>
  <si>
    <t>Product Realization</t>
  </si>
  <si>
    <t>Product Evaluation</t>
  </si>
  <si>
    <t>Month</t>
  </si>
  <si>
    <t>Hardware</t>
  </si>
  <si>
    <t>Monthly Total</t>
  </si>
  <si>
    <t>Grand Total:</t>
  </si>
  <si>
    <t>Cost = $12258882</t>
  </si>
  <si>
    <t>                           # Iterations</t>
  </si>
  <si>
    <t> 90-124 </t>
  </si>
  <si>
    <t> 124-157 </t>
  </si>
  <si>
    <t> 157-190 </t>
  </si>
  <si>
    <t> 190-224 </t>
  </si>
  <si>
    <t> 224-257 </t>
  </si>
  <si>
    <t> 257-290</t>
  </si>
  <si>
    <t> 100%</t>
  </si>
  <si>
    <t> 10%</t>
  </si>
  <si>
    <t> 20%</t>
  </si>
  <si>
    <t> 30%</t>
  </si>
  <si>
    <t> 40%</t>
  </si>
  <si>
    <t> 50%</t>
  </si>
  <si>
    <t> 60%</t>
  </si>
  <si>
    <t> 70%</t>
  </si>
  <si>
    <t> 80%</t>
  </si>
  <si>
    <t> 90%</t>
  </si>
  <si>
    <t>Systems Effort Confidence Levels</t>
  </si>
  <si>
    <t>Systems Effort Distribution Function</t>
  </si>
  <si>
    <t>Uniform</t>
  </si>
  <si>
    <t>Lognormal</t>
  </si>
  <si>
    <t>Normal</t>
  </si>
  <si>
    <t>Triangle</t>
  </si>
  <si>
    <t>Original Cost without improvement</t>
  </si>
  <si>
    <t>New Cost with improvement</t>
  </si>
  <si>
    <t>Savings</t>
  </si>
  <si>
    <t>ROI</t>
  </si>
  <si>
    <t>Effort</t>
  </si>
  <si>
    <t>Cost</t>
  </si>
  <si>
    <t>Dollars</t>
  </si>
  <si>
    <t>Problem #1</t>
  </si>
  <si>
    <t>Problem #2</t>
  </si>
  <si>
    <t>Problem #4</t>
  </si>
  <si>
    <t>Problem #6</t>
  </si>
  <si>
    <t>Problem #7</t>
  </si>
  <si>
    <t>COA1</t>
  </si>
  <si>
    <t>Effort =129.9 Person-months</t>
  </si>
  <si>
    <t>Schedule = 7.5 Months</t>
  </si>
  <si>
    <t>Cost = $1298679</t>
  </si>
  <si>
    <t>Total Size =602 Equivalent Nominal Requirements</t>
  </si>
  <si>
    <t>COA2</t>
  </si>
  <si>
    <t>Effort = 1096.3 Person-months</t>
  </si>
  <si>
    <t>Schedule = 37.0 Months</t>
  </si>
  <si>
    <t>Cost = $10963467</t>
  </si>
  <si>
    <t>Total Equivalent Size =218000</t>
  </si>
  <si>
    <t>Phase Distribution</t>
  </si>
  <si>
    <t>Effort =266.5 Person-months</t>
  </si>
  <si>
    <t>Schedule = 9.5 Months</t>
  </si>
  <si>
    <t>Cost = $2664838</t>
  </si>
  <si>
    <t>Total Size =708 Equivalent Nominal Requirements</t>
  </si>
  <si>
    <t>Effort = 444.9 Person-months</t>
  </si>
  <si>
    <t>Schedule = 27.5 Months</t>
  </si>
  <si>
    <t>Cost = $4448883</t>
  </si>
  <si>
    <t>Total Equivalent Size =96000</t>
  </si>
  <si>
    <t>Systms Engineering</t>
  </si>
  <si>
    <t>Monthly Totals</t>
  </si>
  <si>
    <t>Annual Totals</t>
  </si>
  <si>
    <t>Maintenance</t>
  </si>
  <si>
    <t>UMA</t>
  </si>
  <si>
    <t>Region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</si>
  <si>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</si>
  <si>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</si>
  <si>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</si>
  <si>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</si>
  <si>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</si>
  <si>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</si>
  <si>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</si>
  <si>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</si>
  <si>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</si>
  <si>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</si>
  <si>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</si>
  <si>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</si>
  <si>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Sorties</t>
  </si>
  <si>
    <t>Experience</t>
  </si>
  <si>
    <t>Sum</t>
  </si>
  <si>
    <t>ANOVA</t>
  </si>
  <si>
    <t>SS</t>
  </si>
  <si>
    <t>MS</t>
  </si>
  <si>
    <t>F</t>
  </si>
  <si>
    <t>p-level</t>
  </si>
  <si>
    <t>Total</t>
  </si>
  <si>
    <t>Linear Regression</t>
  </si>
  <si>
    <t>Regression Statistics</t>
  </si>
  <si>
    <t>R</t>
  </si>
  <si>
    <t>R Square</t>
  </si>
  <si>
    <t>Adjusted R Square</t>
  </si>
  <si>
    <t>Standard Error</t>
  </si>
  <si>
    <t>Total Number Of Cases</t>
  </si>
  <si>
    <t/>
  </si>
  <si>
    <t>d.f.</t>
  </si>
  <si>
    <t>Regression</t>
  </si>
  <si>
    <t>Residual</t>
  </si>
  <si>
    <t>Coefficients</t>
  </si>
  <si>
    <t>LCL</t>
  </si>
  <si>
    <t>UCL</t>
  </si>
  <si>
    <t>t Stat</t>
  </si>
  <si>
    <t>H0 (2%) rejected?</t>
  </si>
  <si>
    <t>Intercept</t>
  </si>
  <si>
    <t>No</t>
  </si>
  <si>
    <t>Yes</t>
  </si>
  <si>
    <t>T (2%)</t>
  </si>
  <si>
    <t>LCL - Lower value of a reliable interval (LCL)</t>
  </si>
  <si>
    <t>UCL - Upper value of a reliable interval (UCL)</t>
  </si>
  <si>
    <t>Residuals</t>
  </si>
  <si>
    <t>Observation</t>
  </si>
  <si>
    <t>Predicted Y</t>
  </si>
  <si>
    <t>Standard Residuals</t>
  </si>
  <si>
    <t>UMA =- 20.8671 + 0.5120 * Sorties - 0.5106 * Experience</t>
  </si>
  <si>
    <t>Predicted monthly UMA costs for 5 aircraft: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</si>
</sst>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#,##0.#####"/>
  </numFmts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Arial"/>
    </font>
    <font>
      <b/>
      <sz val="12"/>
      <color rgb="FF000000"/>
      <name val="Arial"/>
    </font>
    <font>
      <b/>
      <sz val="14"/>
      <color theme="1"/>
      <name val="Calibri"/>
      <scheme val="minor"/>
    </font>
    <font>
      <b/>
      <sz val="16"/>
      <color theme="1"/>
      <name val="Calibri"/>
      <scheme val="minor"/>
    </font>
    <font>
      <b/>
      <sz val="18"/>
      <color rgb="FFFF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3"/>
      <name val="Arial"/>
    </font>
    <font>
      <sz val="12"/>
      <color theme="3"/>
      <name val="Calibri"/>
      <family val="2"/>
      <scheme val="minor"/>
    </font>
    <font>
      <i/>
      <sz val="12"/>
      <color theme="1"/>
      <name val="Calibri"/>
      <scheme val="minor"/>
    </font>
    <font>
      <b/>
      <sz val="12"/>
      <color theme="3"/>
      <name val="Arial"/>
    </font>
    <font>
      <sz val="10"/>
      <color theme="1"/>
      <name val="CMR10"/>
    </font>
    <font>
      <sz val="7"/>
      <color theme="1"/>
      <name val="TeX"/>
    </font>
    <font>
      <sz val="10"/>
      <color theme="1"/>
      <name val="CMMI10"/>
    </font>
    <font>
      <b/>
      <sz val="14"/>
      <color theme="1"/>
      <name val="Arial"/>
    </font>
    <font>
      <b/>
      <sz val="12"/>
      <color theme="1"/>
      <name val="Arial"/>
    </font>
    <font>
      <sz val="12"/>
      <color theme="1"/>
      <name val="Times New Roman"/>
      <family val="1"/>
    </font>
    <font>
      <b/>
      <sz val="12"/>
      <color theme="1"/>
      <name val="Times New Roman"/>
    </font>
    <font>
      <b/>
      <sz val="10"/>
      <color indexed="8"/>
      <name val="Arial"/>
      <family val="2"/>
    </font>
    <font>
      <i/>
      <sz val="10"/>
      <color indexed="8"/>
      <name val="Arial"/>
      <family val="2"/>
    </font>
    <font>
      <b/>
      <sz val="14"/>
      <color rgb="FFFF0000"/>
      <name val="Calibri"/>
      <scheme val="minor"/>
    </font>
    <font>
      <b/>
      <sz val="16"/>
      <color rgb="FFFF0000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43"/>
        <bgColor indexed="9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 style="thin">
        <color indexed="8"/>
      </top>
      <bottom/>
      <diagonal/>
    </border>
  </borders>
  <cellStyleXfs count="304">
    <xf numFmtId="0" fontId="0" fillId="0" borderId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70">
    <xf numFmtId="0" fontId="0" fillId="0" borderId="0" xfId="0"/>
    <xf numFmtId="0" fontId="4" fillId="0" borderId="0" xfId="0" applyFont="1"/>
    <xf numFmtId="6" fontId="0" fillId="0" borderId="0" xfId="0" applyNumberFormat="1"/>
    <xf numFmtId="6" fontId="4" fillId="0" borderId="0" xfId="0" applyNumberFormat="1" applyFont="1"/>
    <xf numFmtId="0" fontId="5" fillId="0" borderId="0" xfId="0" applyFont="1"/>
    <xf numFmtId="0" fontId="3" fillId="0" borderId="0" xfId="0" applyFont="1"/>
    <xf numFmtId="0" fontId="7" fillId="0" borderId="0" xfId="0" applyFont="1"/>
    <xf numFmtId="0" fontId="8" fillId="0" borderId="0" xfId="0" applyFont="1"/>
    <xf numFmtId="0" fontId="4" fillId="0" borderId="0" xfId="0" applyFont="1"/>
    <xf numFmtId="0" fontId="11" fillId="0" borderId="0" xfId="0" applyFont="1"/>
    <xf numFmtId="0" fontId="12" fillId="0" borderId="0" xfId="0" applyFont="1"/>
    <xf numFmtId="8" fontId="0" fillId="0" borderId="0" xfId="0" applyNumberFormat="1"/>
    <xf numFmtId="44" fontId="0" fillId="0" borderId="0" xfId="1" applyFont="1"/>
    <xf numFmtId="8" fontId="6" fillId="0" borderId="0" xfId="0" applyNumberFormat="1" applyFont="1"/>
    <xf numFmtId="0" fontId="6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/>
    <xf numFmtId="0" fontId="0" fillId="0" borderId="0" xfId="0" applyAlignment="1">
      <alignment horizontal="left" vertical="center" indent="1"/>
    </xf>
    <xf numFmtId="0" fontId="15" fillId="0" borderId="0" xfId="0" applyFont="1" applyAlignment="1">
      <alignment horizontal="left" vertical="center" indent="1"/>
    </xf>
    <xf numFmtId="0" fontId="16" fillId="0" borderId="0" xfId="0" applyFont="1" applyAlignment="1">
      <alignment horizontal="left" vertical="center" indent="1"/>
    </xf>
    <xf numFmtId="0" fontId="17" fillId="0" borderId="0" xfId="0" applyFont="1" applyAlignment="1">
      <alignment horizontal="left" vertical="center" indent="1"/>
    </xf>
    <xf numFmtId="0" fontId="4" fillId="0" borderId="0" xfId="0" applyFont="1" applyAlignment="1"/>
    <xf numFmtId="0" fontId="4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5" fillId="0" borderId="0" xfId="0" applyFont="1" applyAlignment="1">
      <alignment horizontal="center" wrapText="1"/>
    </xf>
    <xf numFmtId="0" fontId="0" fillId="2" borderId="0" xfId="0" applyFill="1" applyAlignment="1"/>
    <xf numFmtId="0" fontId="19" fillId="2" borderId="0" xfId="0" applyFont="1" applyFill="1" applyAlignment="1">
      <alignment horizontal="center" wrapText="1"/>
    </xf>
    <xf numFmtId="0" fontId="18" fillId="3" borderId="0" xfId="0" applyFont="1" applyFill="1" applyAlignment="1">
      <alignment horizontal="center"/>
    </xf>
    <xf numFmtId="0" fontId="0" fillId="3" borderId="0" xfId="0" applyFill="1" applyAlignment="1"/>
    <xf numFmtId="0" fontId="19" fillId="3" borderId="0" xfId="0" applyFont="1" applyFill="1" applyAlignment="1">
      <alignment horizontal="center" wrapText="1"/>
    </xf>
    <xf numFmtId="0" fontId="4" fillId="5" borderId="0" xfId="0" applyFont="1" applyFill="1" applyAlignment="1"/>
    <xf numFmtId="0" fontId="0" fillId="2" borderId="0" xfId="0" applyFill="1"/>
    <xf numFmtId="44" fontId="0" fillId="4" borderId="0" xfId="1" applyFont="1" applyFill="1"/>
    <xf numFmtId="0" fontId="0" fillId="6" borderId="0" xfId="0" applyFill="1"/>
    <xf numFmtId="0" fontId="19" fillId="6" borderId="0" xfId="0" applyFont="1" applyFill="1" applyAlignment="1">
      <alignment horizontal="center" wrapText="1"/>
    </xf>
    <xf numFmtId="0" fontId="0" fillId="6" borderId="0" xfId="0" applyFill="1" applyAlignment="1"/>
    <xf numFmtId="0" fontId="19" fillId="7" borderId="0" xfId="0" applyFont="1" applyFill="1" applyAlignment="1">
      <alignment horizontal="center" wrapText="1"/>
    </xf>
    <xf numFmtId="0" fontId="0" fillId="7" borderId="0" xfId="0" applyFill="1" applyAlignment="1"/>
    <xf numFmtId="44" fontId="0" fillId="0" borderId="0" xfId="0" applyNumberFormat="1"/>
    <xf numFmtId="44" fontId="3" fillId="0" borderId="0" xfId="0" applyNumberFormat="1" applyFont="1"/>
    <xf numFmtId="0" fontId="0" fillId="0" borderId="0" xfId="0" applyBorder="1"/>
    <xf numFmtId="0" fontId="20" fillId="0" borderId="0" xfId="0" applyFont="1" applyBorder="1" applyAlignment="1">
      <alignment horizontal="right" vertical="top" wrapText="1"/>
    </xf>
    <xf numFmtId="0" fontId="6" fillId="0" borderId="0" xfId="0" applyFont="1" applyBorder="1" applyAlignment="1">
      <alignment horizontal="center"/>
    </xf>
    <xf numFmtId="0" fontId="21" fillId="0" borderId="0" xfId="0" applyFont="1" applyBorder="1" applyAlignment="1">
      <alignment horizontal="center" vertical="top" wrapText="1"/>
    </xf>
    <xf numFmtId="0" fontId="22" fillId="8" borderId="1" xfId="0" applyFont="1" applyFill="1" applyBorder="1" applyAlignment="1">
      <alignment horizontal="center"/>
    </xf>
    <xf numFmtId="0" fontId="0" fillId="0" borderId="1" xfId="0" applyBorder="1"/>
    <xf numFmtId="0" fontId="23" fillId="0" borderId="2" xfId="0" applyFont="1" applyBorder="1" applyAlignment="1">
      <alignment horizontal="center"/>
    </xf>
    <xf numFmtId="0" fontId="23" fillId="0" borderId="0" xfId="0" applyFont="1"/>
    <xf numFmtId="164" fontId="0" fillId="0" borderId="0" xfId="0" applyNumberFormat="1"/>
    <xf numFmtId="0" fontId="22" fillId="0" borderId="1" xfId="0" applyFont="1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23" fillId="0" borderId="1" xfId="0" applyFont="1" applyBorder="1"/>
    <xf numFmtId="164" fontId="0" fillId="0" borderId="1" xfId="0" applyNumberFormat="1" applyBorder="1"/>
    <xf numFmtId="0" fontId="23" fillId="0" borderId="2" xfId="0" applyFont="1" applyBorder="1"/>
    <xf numFmtId="0" fontId="22" fillId="0" borderId="0" xfId="0" applyFont="1" applyAlignment="1">
      <alignment horizontal="center"/>
    </xf>
    <xf numFmtId="0" fontId="23" fillId="0" borderId="4" xfId="0" applyFont="1" applyBorder="1"/>
    <xf numFmtId="164" fontId="0" fillId="0" borderId="4" xfId="0" applyNumberFormat="1" applyBorder="1"/>
    <xf numFmtId="0" fontId="0" fillId="0" borderId="4" xfId="0" applyBorder="1"/>
    <xf numFmtId="0" fontId="23" fillId="0" borderId="0" xfId="0" applyFont="1"/>
    <xf numFmtId="44" fontId="2" fillId="0" borderId="0" xfId="1" applyFont="1"/>
    <xf numFmtId="44" fontId="25" fillId="0" borderId="0" xfId="1" applyFont="1" applyAlignment="1"/>
    <xf numFmtId="0" fontId="24" fillId="0" borderId="0" xfId="0" applyFont="1" applyAlignment="1">
      <alignment horizontal="right"/>
    </xf>
    <xf numFmtId="0" fontId="2" fillId="0" borderId="0" xfId="0" applyFont="1"/>
  </cellXfs>
  <cellStyles count="304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Systems Effort Confidence Levels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'Problem 5'!$A$9:$A$18</c:f>
              <c:strCache>
                <c:ptCount val="10"/>
                <c:pt idx="0">
                  <c:v> 10%</c:v>
                </c:pt>
                <c:pt idx="1">
                  <c:v> 20%</c:v>
                </c:pt>
                <c:pt idx="2">
                  <c:v> 30%</c:v>
                </c:pt>
                <c:pt idx="3">
                  <c:v> 40%</c:v>
                </c:pt>
                <c:pt idx="4">
                  <c:v> 50%</c:v>
                </c:pt>
                <c:pt idx="5">
                  <c:v> 60%</c:v>
                </c:pt>
                <c:pt idx="6">
                  <c:v> 70%</c:v>
                </c:pt>
                <c:pt idx="7">
                  <c:v> 80%</c:v>
                </c:pt>
                <c:pt idx="8">
                  <c:v> 90%</c:v>
                </c:pt>
                <c:pt idx="9">
                  <c:v> 100%</c:v>
                </c:pt>
              </c:strCache>
            </c:strRef>
          </c:cat>
          <c:val>
            <c:numRef>
              <c:f>'Problem 5'!$B$9:$B$18</c:f>
              <c:numCache>
                <c:formatCode>General</c:formatCode>
                <c:ptCount val="10"/>
                <c:pt idx="0">
                  <c:v>132.0</c:v>
                </c:pt>
                <c:pt idx="1">
                  <c:v>152.0</c:v>
                </c:pt>
                <c:pt idx="2">
                  <c:v>166.0</c:v>
                </c:pt>
                <c:pt idx="3">
                  <c:v>178.0</c:v>
                </c:pt>
                <c:pt idx="4">
                  <c:v>187.0</c:v>
                </c:pt>
                <c:pt idx="5">
                  <c:v>199.0</c:v>
                </c:pt>
                <c:pt idx="6">
                  <c:v>211.0</c:v>
                </c:pt>
                <c:pt idx="7">
                  <c:v>224.0</c:v>
                </c:pt>
                <c:pt idx="8">
                  <c:v>244.0</c:v>
                </c:pt>
                <c:pt idx="9">
                  <c:v>290.0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0071112"/>
        <c:axId val="540077976"/>
      </c:barChart>
      <c:catAx>
        <c:axId val="5400711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Confidence</a:t>
                </a:r>
                <a:r>
                  <a:rPr lang="en-US" baseline="0"/>
                  <a:t> Level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540077976"/>
        <c:crosses val="autoZero"/>
        <c:auto val="1"/>
        <c:lblAlgn val="ctr"/>
        <c:lblOffset val="100"/>
        <c:noMultiLvlLbl val="0"/>
      </c:catAx>
      <c:valAx>
        <c:axId val="5400779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System Effort (person-months)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0071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18</xdr:row>
      <xdr:rowOff>184150</xdr:rowOff>
    </xdr:from>
    <xdr:to>
      <xdr:col>5</xdr:col>
      <xdr:colOff>508000</xdr:colOff>
      <xdr:row>33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ivate/tmp/StatPlusMacResults_4.xlt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inear Regression"/>
      <sheetName val="HiddenChartData_1"/>
    </sheetNames>
    <sheetDataSet>
      <sheetData sheetId="0" refreshError="1"/>
      <sheetData sheetId="1">
        <row r="1">
          <cell r="A1">
            <v>-2.7833432498782145</v>
          </cell>
          <cell r="B1">
            <v>360</v>
          </cell>
          <cell r="C1">
            <v>-2.7833432498782145</v>
          </cell>
          <cell r="D1">
            <v>11.01</v>
          </cell>
          <cell r="E1">
            <v>158.78334324987821</v>
          </cell>
          <cell r="F1">
            <v>360</v>
          </cell>
          <cell r="G1">
            <v>156</v>
          </cell>
          <cell r="H1">
            <v>360</v>
          </cell>
          <cell r="I1">
            <v>158.78334324987821</v>
          </cell>
          <cell r="J1">
            <v>11.01</v>
          </cell>
          <cell r="K1">
            <v>156</v>
          </cell>
          <cell r="L1">
            <v>11.01</v>
          </cell>
        </row>
        <row r="2">
          <cell r="A2">
            <v>6.1918839921589779</v>
          </cell>
          <cell r="B2">
            <v>364</v>
          </cell>
          <cell r="C2">
            <v>6.1918839921589779</v>
          </cell>
          <cell r="D2">
            <v>12.92</v>
          </cell>
          <cell r="E2">
            <v>159.80811600784102</v>
          </cell>
          <cell r="F2">
            <v>364</v>
          </cell>
          <cell r="G2">
            <v>166</v>
          </cell>
          <cell r="H2">
            <v>364</v>
          </cell>
          <cell r="I2">
            <v>159.80811600784102</v>
          </cell>
          <cell r="J2">
            <v>12.92</v>
          </cell>
          <cell r="K2">
            <v>166</v>
          </cell>
          <cell r="L2">
            <v>12.92</v>
          </cell>
        </row>
        <row r="3">
          <cell r="A3">
            <v>2.2737551703558836</v>
          </cell>
          <cell r="B3">
            <v>462</v>
          </cell>
          <cell r="C3">
            <v>2.2737551703558836</v>
          </cell>
          <cell r="D3">
            <v>13.17</v>
          </cell>
          <cell r="E3">
            <v>208.72624482964412</v>
          </cell>
          <cell r="F3">
            <v>462</v>
          </cell>
          <cell r="G3">
            <v>211</v>
          </cell>
          <cell r="H3">
            <v>462</v>
          </cell>
          <cell r="I3">
            <v>208.72624482964412</v>
          </cell>
          <cell r="J3">
            <v>13.17</v>
          </cell>
          <cell r="K3">
            <v>211</v>
          </cell>
          <cell r="L3">
            <v>13.17</v>
          </cell>
        </row>
        <row r="4">
          <cell r="A4">
            <v>-3.0489555426764809</v>
          </cell>
          <cell r="B4">
            <v>382</v>
          </cell>
          <cell r="C4">
            <v>-3.0489555426764809</v>
          </cell>
          <cell r="D4">
            <v>18.329999999999998</v>
          </cell>
          <cell r="E4">
            <v>166.04895554267648</v>
          </cell>
          <cell r="F4">
            <v>382</v>
          </cell>
          <cell r="G4">
            <v>163</v>
          </cell>
          <cell r="H4">
            <v>382</v>
          </cell>
          <cell r="I4">
            <v>166.04895554267648</v>
          </cell>
          <cell r="J4">
            <v>18.329999999999998</v>
          </cell>
          <cell r="K4">
            <v>163</v>
          </cell>
          <cell r="L4">
            <v>18.329999999999998</v>
          </cell>
        </row>
        <row r="5">
          <cell r="A5">
            <v>-3.8745873298232141</v>
          </cell>
          <cell r="B5">
            <v>380</v>
          </cell>
          <cell r="C5">
            <v>-3.8745873298232141</v>
          </cell>
          <cell r="D5">
            <v>10.85</v>
          </cell>
          <cell r="E5">
            <v>168.87458732982321</v>
          </cell>
          <cell r="F5">
            <v>380</v>
          </cell>
          <cell r="G5">
            <v>165</v>
          </cell>
          <cell r="H5">
            <v>380</v>
          </cell>
          <cell r="I5">
            <v>168.87458732982321</v>
          </cell>
          <cell r="J5">
            <v>10.85</v>
          </cell>
          <cell r="K5">
            <v>165</v>
          </cell>
          <cell r="L5">
            <v>10.85</v>
          </cell>
        </row>
        <row r="6">
          <cell r="A6">
            <v>-1.4669402481826808</v>
          </cell>
          <cell r="B6">
            <v>372</v>
          </cell>
          <cell r="C6">
            <v>-1.4669402481826808</v>
          </cell>
          <cell r="D6">
            <v>7.73</v>
          </cell>
          <cell r="E6">
            <v>166.46694024818268</v>
          </cell>
          <cell r="F6">
            <v>372</v>
          </cell>
          <cell r="G6">
            <v>165</v>
          </cell>
          <cell r="H6">
            <v>372</v>
          </cell>
          <cell r="I6">
            <v>166.46694024818268</v>
          </cell>
          <cell r="J6">
            <v>7.73</v>
          </cell>
          <cell r="K6">
            <v>165</v>
          </cell>
          <cell r="L6">
            <v>7.73</v>
          </cell>
        </row>
        <row r="7">
          <cell r="A7">
            <v>-0.17632974858298667</v>
          </cell>
          <cell r="B7">
            <v>475</v>
          </cell>
          <cell r="C7">
            <v>-0.17632974858298667</v>
          </cell>
          <cell r="D7">
            <v>9.3699999999999992</v>
          </cell>
          <cell r="E7">
            <v>217.17632974858299</v>
          </cell>
          <cell r="F7">
            <v>475</v>
          </cell>
          <cell r="G7">
            <v>217</v>
          </cell>
          <cell r="H7">
            <v>475</v>
          </cell>
          <cell r="I7">
            <v>217.17632974858299</v>
          </cell>
          <cell r="J7">
            <v>9.3699999999999992</v>
          </cell>
          <cell r="K7">
            <v>217</v>
          </cell>
          <cell r="L7">
            <v>9.3699999999999992</v>
          </cell>
        </row>
        <row r="8">
          <cell r="A8">
            <v>-0.93288605851313378</v>
          </cell>
          <cell r="B8">
            <v>472</v>
          </cell>
          <cell r="C8">
            <v>-0.93288605851313378</v>
          </cell>
          <cell r="D8">
            <v>14.73</v>
          </cell>
          <cell r="E8">
            <v>212.93288605851313</v>
          </cell>
          <cell r="F8">
            <v>472</v>
          </cell>
          <cell r="G8">
            <v>212</v>
          </cell>
          <cell r="H8">
            <v>472</v>
          </cell>
          <cell r="I8">
            <v>212.93288605851313</v>
          </cell>
          <cell r="J8">
            <v>14.73</v>
          </cell>
          <cell r="K8">
            <v>212</v>
          </cell>
          <cell r="L8">
            <v>14.73</v>
          </cell>
        </row>
        <row r="9">
          <cell r="A9">
            <v>6.6955574872718557</v>
          </cell>
          <cell r="B9">
            <v>386</v>
          </cell>
          <cell r="C9">
            <v>6.6955574872718557</v>
          </cell>
          <cell r="D9">
            <v>11.97</v>
          </cell>
          <cell r="E9">
            <v>171.30444251272814</v>
          </cell>
          <cell r="F9">
            <v>386</v>
          </cell>
          <cell r="G9">
            <v>178</v>
          </cell>
          <cell r="H9">
            <v>386</v>
          </cell>
          <cell r="I9">
            <v>171.30444251272814</v>
          </cell>
          <cell r="J9">
            <v>11.97</v>
          </cell>
          <cell r="K9">
            <v>178</v>
          </cell>
          <cell r="L9">
            <v>11.97</v>
          </cell>
        </row>
        <row r="10">
          <cell r="A10">
            <v>-0.76348045749384141</v>
          </cell>
          <cell r="B10">
            <v>457</v>
          </cell>
          <cell r="C10">
            <v>-0.76348045749384141</v>
          </cell>
          <cell r="D10">
            <v>14.07</v>
          </cell>
          <cell r="E10">
            <v>205.76348045749384</v>
          </cell>
          <cell r="F10">
            <v>457</v>
          </cell>
          <cell r="G10">
            <v>205</v>
          </cell>
          <cell r="H10">
            <v>457</v>
          </cell>
          <cell r="I10">
            <v>205.76348045749384</v>
          </cell>
          <cell r="J10">
            <v>14.07</v>
          </cell>
          <cell r="K10">
            <v>205</v>
          </cell>
          <cell r="L10">
            <v>14.07</v>
          </cell>
        </row>
        <row r="11">
          <cell r="A11">
            <v>-2.1146740146359093</v>
          </cell>
          <cell r="B11">
            <v>393</v>
          </cell>
          <cell r="C11">
            <v>-2.1146740146359093</v>
          </cell>
          <cell r="D11">
            <v>11.37</v>
          </cell>
          <cell r="E11">
            <v>175.11467401463591</v>
          </cell>
          <cell r="F11">
            <v>393</v>
          </cell>
          <cell r="G11">
            <v>173</v>
          </cell>
          <cell r="H11">
            <v>393</v>
          </cell>
          <cell r="I11">
            <v>175.11467401463591</v>
          </cell>
          <cell r="J11">
            <v>11.37</v>
          </cell>
          <cell r="K11">
            <v>173</v>
          </cell>
          <cell r="L11">
            <v>11.37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"/>
  <sheetViews>
    <sheetView tabSelected="1" workbookViewId="0">
      <selection activeCell="K27" sqref="K27:L27"/>
    </sheetView>
  </sheetViews>
  <sheetFormatPr baseColWidth="10" defaultRowHeight="15" x14ac:dyDescent="0"/>
  <cols>
    <col min="2" max="2" width="12.5" bestFit="1" customWidth="1"/>
    <col min="3" max="13" width="12.6640625" customWidth="1"/>
    <col min="15" max="15" width="14.5" customWidth="1"/>
    <col min="16" max="16" width="14" customWidth="1"/>
    <col min="17" max="17" width="13.5" customWidth="1"/>
    <col min="18" max="18" width="13.33203125" customWidth="1"/>
    <col min="19" max="19" width="12.5" customWidth="1"/>
  </cols>
  <sheetData>
    <row r="1" spans="1:22" ht="23">
      <c r="A1" s="7" t="s">
        <v>76</v>
      </c>
    </row>
    <row r="2" spans="1:22" ht="18">
      <c r="A2" s="47" t="s">
        <v>104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O2" t="s">
        <v>41</v>
      </c>
      <c r="P2" t="s">
        <v>104</v>
      </c>
      <c r="Q2" t="s">
        <v>118</v>
      </c>
      <c r="R2" t="s">
        <v>119</v>
      </c>
    </row>
    <row r="3" spans="1:22">
      <c r="A3" s="48" t="s">
        <v>105</v>
      </c>
      <c r="B3" s="48" t="s">
        <v>106</v>
      </c>
      <c r="C3" s="48" t="s">
        <v>107</v>
      </c>
      <c r="D3" s="48" t="s">
        <v>108</v>
      </c>
      <c r="E3" s="48" t="s">
        <v>109</v>
      </c>
      <c r="F3" s="48" t="s">
        <v>110</v>
      </c>
      <c r="G3" s="48" t="s">
        <v>111</v>
      </c>
      <c r="H3" s="48" t="s">
        <v>112</v>
      </c>
      <c r="I3" s="48" t="s">
        <v>113</v>
      </c>
      <c r="J3" s="48" t="s">
        <v>114</v>
      </c>
      <c r="K3" s="48" t="s">
        <v>115</v>
      </c>
      <c r="L3" s="48" t="s">
        <v>116</v>
      </c>
      <c r="M3" s="48" t="s">
        <v>117</v>
      </c>
      <c r="O3" t="s">
        <v>106</v>
      </c>
      <c r="P3">
        <f>B7</f>
        <v>149</v>
      </c>
      <c r="Q3">
        <f>B16</f>
        <v>352</v>
      </c>
      <c r="R3">
        <f>B24</f>
        <v>11.78</v>
      </c>
    </row>
    <row r="4" spans="1:22">
      <c r="A4" s="46">
        <v>1</v>
      </c>
      <c r="B4" s="46">
        <v>36</v>
      </c>
      <c r="C4" s="46">
        <v>53</v>
      </c>
      <c r="D4" s="46">
        <v>51</v>
      </c>
      <c r="E4" s="46">
        <v>61</v>
      </c>
      <c r="F4" s="46">
        <v>63</v>
      </c>
      <c r="G4" s="46">
        <v>54</v>
      </c>
      <c r="H4" s="46">
        <v>50</v>
      </c>
      <c r="I4" s="46">
        <v>65</v>
      </c>
      <c r="J4" s="46">
        <v>62</v>
      </c>
      <c r="K4" s="46">
        <v>51</v>
      </c>
      <c r="L4" s="46">
        <v>68</v>
      </c>
      <c r="M4" s="46">
        <v>45</v>
      </c>
      <c r="O4" t="s">
        <v>107</v>
      </c>
      <c r="P4">
        <f>C7</f>
        <v>156</v>
      </c>
      <c r="Q4">
        <f>C16</f>
        <v>360</v>
      </c>
      <c r="R4">
        <f>C24</f>
        <v>11.01</v>
      </c>
    </row>
    <row r="5" spans="1:22">
      <c r="A5" s="46">
        <v>2</v>
      </c>
      <c r="B5" s="46">
        <v>60</v>
      </c>
      <c r="C5" s="46">
        <v>42</v>
      </c>
      <c r="D5" s="46">
        <v>56</v>
      </c>
      <c r="E5" s="46">
        <v>63</v>
      </c>
      <c r="F5" s="46">
        <v>39</v>
      </c>
      <c r="G5" s="46">
        <v>65</v>
      </c>
      <c r="H5" s="46">
        <v>63</v>
      </c>
      <c r="I5" s="46">
        <v>67</v>
      </c>
      <c r="J5" s="46">
        <v>66</v>
      </c>
      <c r="K5" s="46">
        <v>52</v>
      </c>
      <c r="L5" s="46">
        <v>59</v>
      </c>
      <c r="M5" s="46">
        <v>60</v>
      </c>
      <c r="O5" t="s">
        <v>108</v>
      </c>
      <c r="P5">
        <f>D7</f>
        <v>166</v>
      </c>
      <c r="Q5">
        <f>D16</f>
        <v>364</v>
      </c>
      <c r="R5">
        <f>D24</f>
        <v>12.92</v>
      </c>
    </row>
    <row r="6" spans="1:22">
      <c r="A6" s="46">
        <v>3</v>
      </c>
      <c r="B6" s="46">
        <v>53</v>
      </c>
      <c r="C6" s="46">
        <v>61</v>
      </c>
      <c r="D6" s="46">
        <v>59</v>
      </c>
      <c r="E6" s="46">
        <v>87</v>
      </c>
      <c r="F6" s="46">
        <v>61</v>
      </c>
      <c r="G6" s="46">
        <v>46</v>
      </c>
      <c r="H6" s="46">
        <v>52</v>
      </c>
      <c r="I6" s="46">
        <v>85</v>
      </c>
      <c r="J6" s="46">
        <v>84</v>
      </c>
      <c r="K6" s="46">
        <v>75</v>
      </c>
      <c r="L6" s="46">
        <v>78</v>
      </c>
      <c r="M6" s="46">
        <v>68</v>
      </c>
      <c r="O6" t="s">
        <v>109</v>
      </c>
      <c r="P6">
        <f>E7</f>
        <v>211</v>
      </c>
      <c r="Q6">
        <f>E16</f>
        <v>462</v>
      </c>
      <c r="R6">
        <f>E24</f>
        <v>13.17</v>
      </c>
    </row>
    <row r="7" spans="1:22">
      <c r="A7" s="45" t="s">
        <v>120</v>
      </c>
      <c r="B7" s="45">
        <f>SUM(B4:B6)</f>
        <v>149</v>
      </c>
      <c r="C7" s="45">
        <f t="shared" ref="C7:M7" si="0">SUM(C4:C6)</f>
        <v>156</v>
      </c>
      <c r="D7" s="45">
        <f t="shared" si="0"/>
        <v>166</v>
      </c>
      <c r="E7" s="45">
        <f t="shared" si="0"/>
        <v>211</v>
      </c>
      <c r="F7" s="45">
        <f t="shared" si="0"/>
        <v>163</v>
      </c>
      <c r="G7" s="45">
        <f t="shared" si="0"/>
        <v>165</v>
      </c>
      <c r="H7" s="45">
        <f t="shared" si="0"/>
        <v>165</v>
      </c>
      <c r="I7" s="45">
        <f t="shared" si="0"/>
        <v>217</v>
      </c>
      <c r="J7" s="45">
        <f t="shared" si="0"/>
        <v>212</v>
      </c>
      <c r="K7" s="45">
        <f t="shared" si="0"/>
        <v>178</v>
      </c>
      <c r="L7" s="45">
        <f t="shared" si="0"/>
        <v>205</v>
      </c>
      <c r="M7" s="45">
        <f t="shared" si="0"/>
        <v>173</v>
      </c>
      <c r="O7" t="s">
        <v>110</v>
      </c>
      <c r="P7">
        <f>F7</f>
        <v>163</v>
      </c>
      <c r="Q7">
        <f>F16</f>
        <v>382</v>
      </c>
      <c r="R7">
        <f>F24</f>
        <v>18.329999999999998</v>
      </c>
    </row>
    <row r="8" spans="1:22">
      <c r="O8" t="s">
        <v>111</v>
      </c>
      <c r="P8">
        <f>G7</f>
        <v>165</v>
      </c>
      <c r="Q8">
        <f>G16</f>
        <v>380</v>
      </c>
      <c r="R8">
        <f>G24</f>
        <v>10.85</v>
      </c>
    </row>
    <row r="9" spans="1:22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O9" t="s">
        <v>112</v>
      </c>
      <c r="P9">
        <f>H7</f>
        <v>165</v>
      </c>
      <c r="Q9">
        <f>H16</f>
        <v>372</v>
      </c>
      <c r="R9">
        <f>H24</f>
        <v>7.7299999999999995</v>
      </c>
    </row>
    <row r="10" spans="1:22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O10" t="s">
        <v>113</v>
      </c>
      <c r="P10">
        <f>I7</f>
        <v>217</v>
      </c>
      <c r="Q10">
        <f>I16</f>
        <v>475</v>
      </c>
      <c r="R10">
        <f>I24</f>
        <v>9.370000000000001</v>
      </c>
    </row>
    <row r="11" spans="1:22" ht="18">
      <c r="A11" s="47" t="s">
        <v>118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t="s">
        <v>114</v>
      </c>
      <c r="P11">
        <f>J7</f>
        <v>212</v>
      </c>
      <c r="Q11">
        <f>J16</f>
        <v>472</v>
      </c>
      <c r="R11">
        <f>J24</f>
        <v>14.73</v>
      </c>
    </row>
    <row r="12" spans="1:22">
      <c r="A12" s="48" t="s">
        <v>105</v>
      </c>
      <c r="B12" s="48" t="s">
        <v>106</v>
      </c>
      <c r="C12" s="48" t="s">
        <v>107</v>
      </c>
      <c r="D12" s="48" t="s">
        <v>108</v>
      </c>
      <c r="E12" s="48" t="s">
        <v>109</v>
      </c>
      <c r="F12" s="48" t="s">
        <v>110</v>
      </c>
      <c r="G12" s="48" t="s">
        <v>111</v>
      </c>
      <c r="H12" s="48" t="s">
        <v>112</v>
      </c>
      <c r="I12" s="48" t="s">
        <v>113</v>
      </c>
      <c r="J12" s="48" t="s">
        <v>114</v>
      </c>
      <c r="K12" s="48" t="s">
        <v>115</v>
      </c>
      <c r="L12" s="48" t="s">
        <v>116</v>
      </c>
      <c r="M12" s="48" t="s">
        <v>117</v>
      </c>
      <c r="O12" t="s">
        <v>115</v>
      </c>
      <c r="P12">
        <f>K7</f>
        <v>178</v>
      </c>
      <c r="Q12">
        <f>K16</f>
        <v>386</v>
      </c>
      <c r="R12">
        <f>K24</f>
        <v>11.969999999999999</v>
      </c>
    </row>
    <row r="13" spans="1:22">
      <c r="A13" s="46">
        <v>1</v>
      </c>
      <c r="B13" s="46">
        <v>100</v>
      </c>
      <c r="C13" s="46">
        <v>120</v>
      </c>
      <c r="D13" s="46">
        <v>114</v>
      </c>
      <c r="E13" s="46">
        <v>132</v>
      </c>
      <c r="F13" s="46">
        <v>146</v>
      </c>
      <c r="G13" s="46">
        <v>124</v>
      </c>
      <c r="H13" s="46">
        <v>110</v>
      </c>
      <c r="I13" s="46">
        <v>138</v>
      </c>
      <c r="J13" s="46">
        <v>140</v>
      </c>
      <c r="K13" s="46">
        <v>114</v>
      </c>
      <c r="L13" s="46">
        <v>157</v>
      </c>
      <c r="M13" s="46">
        <v>106</v>
      </c>
      <c r="O13" t="s">
        <v>116</v>
      </c>
      <c r="P13">
        <f>L7</f>
        <v>205</v>
      </c>
      <c r="Q13">
        <f>L16</f>
        <v>457</v>
      </c>
      <c r="R13">
        <f>L24</f>
        <v>14.07</v>
      </c>
    </row>
    <row r="14" spans="1:22">
      <c r="A14" s="46">
        <v>2</v>
      </c>
      <c r="B14" s="46">
        <v>130</v>
      </c>
      <c r="C14" s="46">
        <v>106</v>
      </c>
      <c r="D14" s="46">
        <v>124</v>
      </c>
      <c r="E14" s="46">
        <v>140</v>
      </c>
      <c r="F14" s="46">
        <v>100</v>
      </c>
      <c r="G14" s="46">
        <v>146</v>
      </c>
      <c r="H14" s="46">
        <v>142</v>
      </c>
      <c r="I14" s="46">
        <v>141</v>
      </c>
      <c r="J14" s="46">
        <v>148</v>
      </c>
      <c r="K14" s="46">
        <v>118</v>
      </c>
      <c r="L14" s="46">
        <v>128</v>
      </c>
      <c r="M14" s="46">
        <v>130</v>
      </c>
      <c r="O14" t="s">
        <v>117</v>
      </c>
      <c r="P14">
        <f>M7</f>
        <v>173</v>
      </c>
      <c r="Q14">
        <f>M16</f>
        <v>393</v>
      </c>
      <c r="R14">
        <f>M24</f>
        <v>11.370000000000001</v>
      </c>
    </row>
    <row r="15" spans="1:22">
      <c r="A15" s="46">
        <v>3</v>
      </c>
      <c r="B15" s="46">
        <v>122</v>
      </c>
      <c r="C15" s="46">
        <v>134</v>
      </c>
      <c r="D15" s="46">
        <v>126</v>
      </c>
      <c r="E15" s="46">
        <v>190</v>
      </c>
      <c r="F15" s="46">
        <v>136</v>
      </c>
      <c r="G15" s="46">
        <v>110</v>
      </c>
      <c r="H15" s="46">
        <v>120</v>
      </c>
      <c r="I15" s="46">
        <v>196</v>
      </c>
      <c r="J15" s="46">
        <v>184</v>
      </c>
      <c r="K15" s="46">
        <v>154</v>
      </c>
      <c r="L15" s="46">
        <v>172</v>
      </c>
      <c r="M15" s="46">
        <v>157</v>
      </c>
    </row>
    <row r="16" spans="1:22" ht="16" thickBot="1">
      <c r="A16" s="45" t="s">
        <v>120</v>
      </c>
      <c r="B16" s="45">
        <f>SUM(B13:B15)</f>
        <v>352</v>
      </c>
      <c r="C16" s="45">
        <f t="shared" ref="C16:M16" si="1">SUM(C13:C15)</f>
        <v>360</v>
      </c>
      <c r="D16" s="45">
        <f t="shared" si="1"/>
        <v>364</v>
      </c>
      <c r="E16" s="45">
        <f t="shared" si="1"/>
        <v>462</v>
      </c>
      <c r="F16" s="45">
        <f t="shared" si="1"/>
        <v>382</v>
      </c>
      <c r="G16" s="45">
        <f t="shared" si="1"/>
        <v>380</v>
      </c>
      <c r="H16" s="45">
        <f t="shared" si="1"/>
        <v>372</v>
      </c>
      <c r="I16" s="45">
        <f t="shared" si="1"/>
        <v>475</v>
      </c>
      <c r="J16" s="45">
        <f t="shared" si="1"/>
        <v>472</v>
      </c>
      <c r="K16" s="45">
        <f t="shared" si="1"/>
        <v>386</v>
      </c>
      <c r="L16" s="45">
        <f t="shared" si="1"/>
        <v>457</v>
      </c>
      <c r="M16" s="45">
        <f t="shared" si="1"/>
        <v>393</v>
      </c>
      <c r="O16" s="49" t="s">
        <v>127</v>
      </c>
      <c r="P16" s="50"/>
      <c r="Q16" s="50"/>
      <c r="R16" s="50"/>
      <c r="S16" s="50"/>
      <c r="T16" s="50"/>
      <c r="U16" s="50"/>
      <c r="V16" s="50"/>
    </row>
    <row r="17" spans="1:22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</row>
    <row r="18" spans="1:22" ht="16" thickBot="1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O18" s="54" t="s">
        <v>128</v>
      </c>
      <c r="P18" s="55"/>
      <c r="Q18" s="55"/>
      <c r="R18" s="55"/>
      <c r="S18" s="55"/>
      <c r="T18" s="55"/>
      <c r="U18" s="55"/>
      <c r="V18" s="55"/>
    </row>
    <row r="19" spans="1:22" ht="18">
      <c r="A19" s="47" t="s">
        <v>119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O19" s="52" t="s">
        <v>129</v>
      </c>
      <c r="P19" s="53">
        <v>0.9882588732675549</v>
      </c>
    </row>
    <row r="20" spans="1:22">
      <c r="A20" s="48" t="s">
        <v>105</v>
      </c>
      <c r="B20" s="48" t="s">
        <v>106</v>
      </c>
      <c r="C20" s="48" t="s">
        <v>107</v>
      </c>
      <c r="D20" s="48" t="s">
        <v>108</v>
      </c>
      <c r="E20" s="48" t="s">
        <v>109</v>
      </c>
      <c r="F20" s="48" t="s">
        <v>110</v>
      </c>
      <c r="G20" s="48" t="s">
        <v>111</v>
      </c>
      <c r="H20" s="48" t="s">
        <v>112</v>
      </c>
      <c r="I20" s="48" t="s">
        <v>113</v>
      </c>
      <c r="J20" s="48" t="s">
        <v>114</v>
      </c>
      <c r="K20" s="48" t="s">
        <v>115</v>
      </c>
      <c r="L20" s="48" t="s">
        <v>116</v>
      </c>
      <c r="M20" s="48" t="s">
        <v>117</v>
      </c>
      <c r="O20" s="52" t="s">
        <v>130</v>
      </c>
      <c r="P20" s="53">
        <v>0.97665560059205714</v>
      </c>
    </row>
    <row r="21" spans="1:22">
      <c r="A21" s="46">
        <v>1</v>
      </c>
      <c r="B21" s="46">
        <v>6.06</v>
      </c>
      <c r="C21" s="46">
        <v>2.81</v>
      </c>
      <c r="D21" s="46">
        <v>3.37</v>
      </c>
      <c r="E21" s="46">
        <v>3.87</v>
      </c>
      <c r="F21" s="46">
        <v>4.22</v>
      </c>
      <c r="G21" s="46">
        <v>6.67</v>
      </c>
      <c r="H21" s="46">
        <v>2.61</v>
      </c>
      <c r="I21" s="46">
        <v>1.96</v>
      </c>
      <c r="J21" s="46">
        <v>2.96</v>
      </c>
      <c r="K21" s="46">
        <v>2.4500000000000002</v>
      </c>
      <c r="L21" s="46">
        <v>3.29</v>
      </c>
      <c r="M21" s="46">
        <v>3.73</v>
      </c>
      <c r="O21" s="52" t="s">
        <v>131</v>
      </c>
      <c r="P21" s="53">
        <v>0.97146795627918103</v>
      </c>
    </row>
    <row r="22" spans="1:22">
      <c r="A22" s="46">
        <v>2</v>
      </c>
      <c r="B22" s="46">
        <v>4.6100000000000003</v>
      </c>
      <c r="C22" s="46">
        <v>2.4500000000000002</v>
      </c>
      <c r="D22" s="46">
        <v>4.6500000000000004</v>
      </c>
      <c r="E22" s="46">
        <v>5.71</v>
      </c>
      <c r="F22" s="46">
        <v>7.23</v>
      </c>
      <c r="G22" s="46">
        <v>3.01</v>
      </c>
      <c r="H22" s="46">
        <v>2.5299999999999998</v>
      </c>
      <c r="I22" s="46">
        <v>1.54</v>
      </c>
      <c r="J22" s="46">
        <v>4.49</v>
      </c>
      <c r="K22" s="46">
        <v>1.73</v>
      </c>
      <c r="L22" s="46">
        <v>4.8099999999999996</v>
      </c>
      <c r="M22" s="46">
        <v>5.17</v>
      </c>
      <c r="O22" s="52" t="s">
        <v>132</v>
      </c>
      <c r="P22" s="53">
        <v>4.1073372524633704</v>
      </c>
    </row>
    <row r="23" spans="1:22">
      <c r="A23" s="46">
        <v>3</v>
      </c>
      <c r="B23" s="46">
        <v>1.1100000000000001</v>
      </c>
      <c r="C23" s="46">
        <v>5.75</v>
      </c>
      <c r="D23" s="46">
        <v>4.9000000000000004</v>
      </c>
      <c r="E23" s="46">
        <v>3.59</v>
      </c>
      <c r="F23" s="46">
        <v>6.88</v>
      </c>
      <c r="G23" s="46">
        <v>1.17</v>
      </c>
      <c r="H23" s="46">
        <v>2.59</v>
      </c>
      <c r="I23" s="46">
        <v>5.87</v>
      </c>
      <c r="J23" s="46">
        <v>7.28</v>
      </c>
      <c r="K23" s="46">
        <v>7.79</v>
      </c>
      <c r="L23" s="46">
        <v>5.97</v>
      </c>
      <c r="M23" s="46">
        <v>2.4700000000000002</v>
      </c>
      <c r="O23" s="52" t="s">
        <v>133</v>
      </c>
      <c r="P23">
        <v>12</v>
      </c>
    </row>
    <row r="24" spans="1:22" ht="16" thickBot="1">
      <c r="A24" s="45" t="s">
        <v>120</v>
      </c>
      <c r="B24" s="45">
        <f>SUM(B21:B23)</f>
        <v>11.78</v>
      </c>
      <c r="C24" s="45">
        <f t="shared" ref="C24:M24" si="2">SUM(C21:C23)</f>
        <v>11.01</v>
      </c>
      <c r="D24" s="45">
        <f t="shared" si="2"/>
        <v>12.92</v>
      </c>
      <c r="E24" s="45">
        <f t="shared" si="2"/>
        <v>13.17</v>
      </c>
      <c r="F24" s="45">
        <f t="shared" si="2"/>
        <v>18.329999999999998</v>
      </c>
      <c r="G24" s="45">
        <f t="shared" si="2"/>
        <v>10.85</v>
      </c>
      <c r="H24" s="45">
        <f t="shared" si="2"/>
        <v>7.7299999999999995</v>
      </c>
      <c r="I24" s="45">
        <f t="shared" si="2"/>
        <v>9.370000000000001</v>
      </c>
      <c r="J24" s="45">
        <f t="shared" si="2"/>
        <v>14.73</v>
      </c>
      <c r="K24" s="45">
        <f t="shared" si="2"/>
        <v>11.969999999999999</v>
      </c>
      <c r="L24" s="45">
        <f t="shared" si="2"/>
        <v>14.07</v>
      </c>
      <c r="M24" s="45">
        <f t="shared" si="2"/>
        <v>11.370000000000001</v>
      </c>
      <c r="O24" s="49" t="s">
        <v>153</v>
      </c>
      <c r="P24" s="50"/>
      <c r="Q24" s="50"/>
      <c r="R24" s="50"/>
      <c r="S24" s="50"/>
      <c r="T24" s="50"/>
      <c r="U24" s="50"/>
      <c r="V24" s="50"/>
    </row>
    <row r="25" spans="1:22">
      <c r="O25" s="56"/>
      <c r="P25" s="56"/>
      <c r="Q25" s="56"/>
      <c r="R25" s="56"/>
      <c r="S25" s="56"/>
      <c r="T25" s="56"/>
      <c r="U25" s="56"/>
      <c r="V25" s="56"/>
    </row>
    <row r="26" spans="1:22" ht="16" thickBot="1">
      <c r="O26" s="54" t="s">
        <v>121</v>
      </c>
      <c r="P26" s="55"/>
      <c r="Q26" s="55"/>
      <c r="R26" s="55"/>
      <c r="S26" s="55"/>
      <c r="T26" s="55"/>
      <c r="U26" s="55"/>
      <c r="V26" s="55"/>
    </row>
    <row r="27" spans="1:22" ht="20">
      <c r="J27" s="68" t="s">
        <v>154</v>
      </c>
      <c r="K27" s="67">
        <f>(P33+30*P34+3*P35)*-1000*5</f>
        <v>35199.49570742777</v>
      </c>
      <c r="L27" s="27"/>
      <c r="O27" s="51" t="s">
        <v>134</v>
      </c>
      <c r="P27" s="51" t="s">
        <v>135</v>
      </c>
      <c r="Q27" s="51" t="s">
        <v>122</v>
      </c>
      <c r="R27" s="51" t="s">
        <v>123</v>
      </c>
      <c r="S27" s="51" t="s">
        <v>124</v>
      </c>
      <c r="T27" s="51" t="s">
        <v>125</v>
      </c>
      <c r="U27" s="57"/>
      <c r="V27" s="57"/>
    </row>
    <row r="28" spans="1:22">
      <c r="O28" s="52" t="s">
        <v>136</v>
      </c>
      <c r="P28" s="53">
        <v>2</v>
      </c>
      <c r="Q28" s="53">
        <v>6352.1680262507398</v>
      </c>
      <c r="R28" s="53">
        <v>3176.0840131253699</v>
      </c>
      <c r="S28" s="53">
        <v>188.26572172034099</v>
      </c>
      <c r="T28" s="53">
        <v>4.5375578294759578E-8</v>
      </c>
    </row>
    <row r="29" spans="1:22">
      <c r="O29" s="52" t="s">
        <v>137</v>
      </c>
      <c r="P29" s="53">
        <v>9</v>
      </c>
      <c r="Q29" s="53">
        <v>151.83197374926013</v>
      </c>
      <c r="R29" s="53">
        <v>16.870219305473348</v>
      </c>
    </row>
    <row r="30" spans="1:22" ht="16" thickBot="1">
      <c r="O30" s="58" t="s">
        <v>126</v>
      </c>
      <c r="P30" s="59">
        <v>11</v>
      </c>
      <c r="Q30" s="59">
        <v>6504</v>
      </c>
      <c r="R30" s="55"/>
      <c r="S30" s="55"/>
      <c r="T30" s="55"/>
      <c r="U30" s="55"/>
      <c r="V30" s="55"/>
    </row>
    <row r="31" spans="1:22" ht="16" thickBot="1">
      <c r="O31" s="55"/>
      <c r="P31" s="55"/>
      <c r="Q31" s="55"/>
      <c r="R31" s="55"/>
      <c r="S31" s="55"/>
      <c r="T31" s="55"/>
      <c r="U31" s="55"/>
      <c r="V31" s="55"/>
    </row>
    <row r="32" spans="1:22">
      <c r="O32" s="51" t="s">
        <v>134</v>
      </c>
      <c r="P32" s="51" t="s">
        <v>138</v>
      </c>
      <c r="Q32" s="51" t="s">
        <v>132</v>
      </c>
      <c r="R32" s="51" t="s">
        <v>139</v>
      </c>
      <c r="S32" s="51" t="s">
        <v>140</v>
      </c>
      <c r="T32" s="51" t="s">
        <v>141</v>
      </c>
      <c r="U32" s="60" t="s">
        <v>125</v>
      </c>
      <c r="V32" s="60" t="s">
        <v>142</v>
      </c>
    </row>
    <row r="33" spans="15:22">
      <c r="O33" s="61" t="s">
        <v>143</v>
      </c>
      <c r="P33" s="53">
        <v>-20.867129617826379</v>
      </c>
      <c r="Q33" s="53">
        <v>11.37303515532248</v>
      </c>
      <c r="R33" s="53">
        <v>-52.955442327705022</v>
      </c>
      <c r="S33" s="53">
        <v>11.221183092052266</v>
      </c>
      <c r="T33" s="53">
        <v>-1.8347898632899895</v>
      </c>
      <c r="U33" s="53">
        <v>9.9733962510112351E-2</v>
      </c>
      <c r="V33" s="52" t="s">
        <v>144</v>
      </c>
    </row>
    <row r="34" spans="15:22">
      <c r="O34" s="61" t="s">
        <v>118</v>
      </c>
      <c r="P34" s="53">
        <v>0.51197177381004788</v>
      </c>
      <c r="Q34" s="53">
        <v>2.6525528326770038E-2</v>
      </c>
      <c r="R34" s="53">
        <v>0.43713164220755246</v>
      </c>
      <c r="S34" s="53">
        <v>0.58681190541254324</v>
      </c>
      <c r="T34" s="53">
        <v>19.30109619318522</v>
      </c>
      <c r="U34" s="53">
        <v>1.2422641693099479E-8</v>
      </c>
      <c r="V34" s="52" t="s">
        <v>145</v>
      </c>
    </row>
    <row r="35" spans="15:22">
      <c r="O35" s="61" t="s">
        <v>119</v>
      </c>
      <c r="P35" s="53">
        <v>-0.51064091265353739</v>
      </c>
      <c r="Q35" s="53">
        <v>0.46225297523391201</v>
      </c>
      <c r="R35" s="53">
        <v>-1.8148589879345132</v>
      </c>
      <c r="S35" s="53">
        <v>0.79357716262743827</v>
      </c>
      <c r="T35" s="53">
        <v>-1.1046784769641338</v>
      </c>
      <c r="U35" s="53">
        <v>0.29795526411079087</v>
      </c>
      <c r="V35" s="52" t="s">
        <v>144</v>
      </c>
    </row>
    <row r="36" spans="15:22">
      <c r="O36" s="62" t="s">
        <v>146</v>
      </c>
      <c r="P36" s="63">
        <v>2.8214379250258097</v>
      </c>
      <c r="Q36" s="64"/>
      <c r="R36" s="64"/>
      <c r="S36" s="64"/>
      <c r="T36" s="64"/>
      <c r="U36" s="64"/>
      <c r="V36" s="64"/>
    </row>
    <row r="37" spans="15:22">
      <c r="O37" s="65" t="s">
        <v>147</v>
      </c>
      <c r="P37" s="26"/>
      <c r="Q37" s="26"/>
      <c r="R37" s="26"/>
    </row>
    <row r="38" spans="15:22" ht="16" thickBot="1">
      <c r="O38" s="65" t="s">
        <v>148</v>
      </c>
      <c r="P38" s="26"/>
      <c r="Q38" s="26"/>
      <c r="R38" s="26"/>
    </row>
    <row r="39" spans="15:22">
      <c r="O39" s="56"/>
      <c r="P39" s="56"/>
      <c r="Q39" s="56"/>
      <c r="R39" s="56"/>
      <c r="S39" s="56"/>
      <c r="T39" s="56"/>
      <c r="U39" s="56"/>
      <c r="V39" s="56"/>
    </row>
    <row r="40" spans="15:22" ht="16" thickBot="1">
      <c r="O40" s="54" t="s">
        <v>149</v>
      </c>
      <c r="P40" s="55"/>
      <c r="Q40" s="55"/>
      <c r="R40" s="55"/>
      <c r="S40" s="55"/>
      <c r="T40" s="55"/>
      <c r="U40" s="55"/>
      <c r="V40" s="55"/>
    </row>
    <row r="41" spans="15:22">
      <c r="O41" s="51" t="s">
        <v>150</v>
      </c>
      <c r="P41" s="51" t="s">
        <v>151</v>
      </c>
      <c r="Q41" s="51" t="s">
        <v>137</v>
      </c>
      <c r="R41" s="51" t="s">
        <v>152</v>
      </c>
      <c r="S41" s="57"/>
      <c r="T41" s="57"/>
      <c r="U41" s="57"/>
      <c r="V41" s="57"/>
    </row>
    <row r="42" spans="15:22">
      <c r="O42">
        <v>1</v>
      </c>
      <c r="P42" s="53">
        <v>153.3315848122518</v>
      </c>
      <c r="Q42" s="53">
        <v>-4.3315848122518048</v>
      </c>
      <c r="R42" s="53">
        <v>-1.1659006542681782</v>
      </c>
    </row>
    <row r="43" spans="15:22">
      <c r="O43">
        <v>2</v>
      </c>
      <c r="P43" s="53">
        <v>157.8205525054754</v>
      </c>
      <c r="Q43" s="53">
        <v>-1.8205525054754048</v>
      </c>
      <c r="R43" s="53">
        <v>-0.49002465593185823</v>
      </c>
    </row>
    <row r="44" spans="15:22">
      <c r="O44">
        <v>3</v>
      </c>
      <c r="P44" s="53">
        <v>158.89311545754734</v>
      </c>
      <c r="Q44" s="53">
        <v>7.1068845424526614</v>
      </c>
      <c r="R44" s="53">
        <v>1.912907560857946</v>
      </c>
    </row>
    <row r="45" spans="15:22">
      <c r="O45">
        <v>4</v>
      </c>
      <c r="P45" s="53">
        <v>208.93868906276865</v>
      </c>
      <c r="Q45" s="53">
        <v>2.0613109372313545</v>
      </c>
      <c r="R45" s="53">
        <v>0.55482782273373132</v>
      </c>
    </row>
    <row r="46" spans="15:22">
      <c r="O46">
        <v>5</v>
      </c>
      <c r="P46" s="53">
        <v>165.34604004867256</v>
      </c>
      <c r="Q46" s="53">
        <v>-2.3460400486725632</v>
      </c>
      <c r="R46" s="53">
        <v>-0.63146625224792907</v>
      </c>
    </row>
    <row r="47" spans="15:22">
      <c r="O47">
        <v>6</v>
      </c>
      <c r="P47" s="53">
        <v>168.14169052770092</v>
      </c>
      <c r="Q47" s="53">
        <v>-3.1416905277009164</v>
      </c>
      <c r="R47" s="53">
        <v>-0.84562560829796074</v>
      </c>
    </row>
    <row r="48" spans="15:22">
      <c r="O48">
        <v>7</v>
      </c>
      <c r="P48" s="53">
        <v>165.6391159846996</v>
      </c>
      <c r="Q48" s="53">
        <v>-0.6391159846996004</v>
      </c>
      <c r="R48" s="53">
        <v>-0.17202612369655015</v>
      </c>
    </row>
    <row r="49" spans="15:18">
      <c r="O49">
        <v>8</v>
      </c>
      <c r="P49" s="53">
        <v>217.53475759038272</v>
      </c>
      <c r="Q49" s="53">
        <v>-0.53475759038272486</v>
      </c>
      <c r="R49" s="53">
        <v>-0.14393674637020162</v>
      </c>
    </row>
    <row r="50" spans="15:18">
      <c r="O50">
        <v>9</v>
      </c>
      <c r="P50" s="53">
        <v>213.26180697712962</v>
      </c>
      <c r="Q50" s="53">
        <v>-1.2618069771296234</v>
      </c>
      <c r="R50" s="53">
        <v>-0.33963125367752101</v>
      </c>
    </row>
    <row r="51" spans="15:18">
      <c r="O51">
        <v>10</v>
      </c>
      <c r="P51" s="53">
        <v>170.64160334838928</v>
      </c>
      <c r="Q51" s="53">
        <v>7.3583966516107182</v>
      </c>
      <c r="R51" s="53">
        <v>1.9806052154887244</v>
      </c>
    </row>
    <row r="52" spans="15:18">
      <c r="O52">
        <v>11</v>
      </c>
      <c r="P52" s="53">
        <v>205.91925337233025</v>
      </c>
      <c r="Q52" s="53">
        <v>-0.91925337233024607</v>
      </c>
      <c r="R52" s="53">
        <v>-0.2474286328658801</v>
      </c>
    </row>
    <row r="53" spans="15:18">
      <c r="O53">
        <v>12</v>
      </c>
      <c r="P53" s="53">
        <v>174.53179031265171</v>
      </c>
      <c r="Q53" s="53">
        <v>-1.5317903126517081</v>
      </c>
      <c r="R53" s="53">
        <v>-0.4123006717243225</v>
      </c>
    </row>
  </sheetData>
  <mergeCells count="8">
    <mergeCell ref="O16:V16"/>
    <mergeCell ref="O24:V24"/>
    <mergeCell ref="O37:R37"/>
    <mergeCell ref="O38:R38"/>
    <mergeCell ref="K27:L27"/>
    <mergeCell ref="A2:M2"/>
    <mergeCell ref="A11:M11"/>
    <mergeCell ref="A19:M1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2" sqref="A2"/>
    </sheetView>
  </sheetViews>
  <sheetFormatPr baseColWidth="10" defaultRowHeight="15" x14ac:dyDescent="0"/>
  <cols>
    <col min="1" max="1" width="14.1640625" bestFit="1" customWidth="1"/>
  </cols>
  <sheetData>
    <row r="1" spans="1:1" ht="23">
      <c r="A1" s="7" t="s">
        <v>77</v>
      </c>
    </row>
    <row r="2" spans="1:1">
      <c r="A2" s="12">
        <f>2500000/(10^(LOG10(0.8)/LOG10(2)))</f>
        <v>5246480.9896666575</v>
      </c>
    </row>
    <row r="3" spans="1:1">
      <c r="A3" s="21"/>
    </row>
    <row r="4" spans="1:1">
      <c r="A4" s="19"/>
    </row>
    <row r="5" spans="1:1">
      <c r="A5" s="20"/>
    </row>
    <row r="6" spans="1:1">
      <c r="A6" s="22"/>
    </row>
    <row r="7" spans="1:1">
      <c r="A7" s="19"/>
    </row>
    <row r="8" spans="1:1">
      <c r="A8" s="2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workbookViewId="0">
      <selection activeCell="C1" sqref="C1"/>
    </sheetView>
  </sheetViews>
  <sheetFormatPr baseColWidth="10" defaultRowHeight="15" x14ac:dyDescent="0"/>
  <cols>
    <col min="2" max="3" width="12" bestFit="1" customWidth="1"/>
    <col min="5" max="5" width="13.33203125" customWidth="1"/>
    <col min="6" max="6" width="12.5" bestFit="1" customWidth="1"/>
    <col min="7" max="7" width="17.5" customWidth="1"/>
  </cols>
  <sheetData>
    <row r="1" spans="1:11" ht="23">
      <c r="A1" s="7" t="s">
        <v>0</v>
      </c>
    </row>
    <row r="2" spans="1:11">
      <c r="A2" s="5" t="s">
        <v>1</v>
      </c>
      <c r="G2" s="4" t="s">
        <v>11</v>
      </c>
    </row>
    <row r="3" spans="1:11">
      <c r="A3" s="18" t="s">
        <v>2</v>
      </c>
      <c r="B3" s="18" t="s">
        <v>3</v>
      </c>
      <c r="C3" s="18" t="s">
        <v>4</v>
      </c>
      <c r="D3" s="18" t="s">
        <v>5</v>
      </c>
      <c r="E3" s="18" t="s">
        <v>6</v>
      </c>
      <c r="G3" s="18" t="s">
        <v>12</v>
      </c>
      <c r="H3" s="18" t="s">
        <v>7</v>
      </c>
      <c r="I3" s="18" t="s">
        <v>8</v>
      </c>
      <c r="J3" s="18" t="s">
        <v>9</v>
      </c>
      <c r="K3" s="18" t="s">
        <v>10</v>
      </c>
    </row>
    <row r="4" spans="1:11">
      <c r="A4" s="1" t="s">
        <v>7</v>
      </c>
      <c r="B4" s="1">
        <v>73.599999999999994</v>
      </c>
      <c r="C4" s="1">
        <v>3.9</v>
      </c>
      <c r="D4" s="1">
        <v>18.8</v>
      </c>
      <c r="E4" s="3">
        <v>735533</v>
      </c>
      <c r="G4" s="1" t="s">
        <v>13</v>
      </c>
      <c r="H4" s="1">
        <v>10.3</v>
      </c>
      <c r="I4" s="1">
        <v>35.299999999999997</v>
      </c>
      <c r="J4" s="1">
        <v>93.2</v>
      </c>
      <c r="K4" s="1">
        <v>20.6</v>
      </c>
    </row>
    <row r="5" spans="1:11">
      <c r="A5" s="1" t="s">
        <v>8</v>
      </c>
      <c r="B5" s="1">
        <v>294.2</v>
      </c>
      <c r="C5" s="1">
        <v>11.7</v>
      </c>
      <c r="D5" s="1">
        <v>25.1</v>
      </c>
      <c r="E5" s="3">
        <v>2942132</v>
      </c>
      <c r="G5" s="1" t="s">
        <v>14</v>
      </c>
      <c r="H5" s="1">
        <v>7.4</v>
      </c>
      <c r="I5" s="1">
        <v>23.5</v>
      </c>
      <c r="J5" s="1">
        <v>46.6</v>
      </c>
      <c r="K5" s="1">
        <v>7.4</v>
      </c>
    </row>
    <row r="6" spans="1:11">
      <c r="A6" s="1" t="s">
        <v>9</v>
      </c>
      <c r="B6" s="1">
        <v>931.7</v>
      </c>
      <c r="C6" s="1">
        <v>19.5</v>
      </c>
      <c r="D6" s="1">
        <v>47.7</v>
      </c>
      <c r="E6" s="3">
        <v>9316750</v>
      </c>
      <c r="G6" s="1" t="s">
        <v>15</v>
      </c>
      <c r="H6" s="1">
        <v>28</v>
      </c>
      <c r="I6" s="1">
        <v>53</v>
      </c>
      <c r="J6" s="1">
        <v>74.5</v>
      </c>
      <c r="K6" s="1">
        <v>5.9</v>
      </c>
    </row>
    <row r="7" spans="1:11">
      <c r="A7" s="1" t="s">
        <v>10</v>
      </c>
      <c r="B7" s="1">
        <v>147.1</v>
      </c>
      <c r="C7" s="1">
        <v>3.9</v>
      </c>
      <c r="D7" s="1">
        <v>37.700000000000003</v>
      </c>
      <c r="E7" s="3">
        <v>1471066</v>
      </c>
      <c r="G7" s="1" t="s">
        <v>16</v>
      </c>
      <c r="H7" s="1">
        <v>14</v>
      </c>
      <c r="I7" s="1">
        <v>105.9</v>
      </c>
      <c r="J7" s="1">
        <v>149.1</v>
      </c>
      <c r="K7" s="1">
        <v>5.9</v>
      </c>
    </row>
    <row r="8" spans="1:11">
      <c r="G8" s="1" t="s">
        <v>17</v>
      </c>
      <c r="H8" s="1">
        <v>5.9</v>
      </c>
      <c r="I8" s="1">
        <v>38.200000000000003</v>
      </c>
      <c r="J8" s="1">
        <v>316.8</v>
      </c>
      <c r="K8" s="1">
        <v>28</v>
      </c>
    </row>
    <row r="9" spans="1:11">
      <c r="A9" s="4" t="s">
        <v>20</v>
      </c>
      <c r="G9" s="1" t="s">
        <v>18</v>
      </c>
      <c r="H9" s="1">
        <v>5.9</v>
      </c>
      <c r="I9" s="1">
        <v>29.4</v>
      </c>
      <c r="J9" s="1">
        <v>223.6</v>
      </c>
      <c r="K9" s="1">
        <v>35.299999999999997</v>
      </c>
    </row>
    <row r="10" spans="1:11">
      <c r="A10" s="1" t="s">
        <v>21</v>
      </c>
      <c r="G10" s="1" t="s">
        <v>19</v>
      </c>
      <c r="H10" s="1">
        <v>2.2000000000000002</v>
      </c>
      <c r="I10" s="1">
        <v>8.8000000000000007</v>
      </c>
      <c r="J10" s="1">
        <v>28</v>
      </c>
      <c r="K10" s="1">
        <v>44.1</v>
      </c>
    </row>
    <row r="11" spans="1:11">
      <c r="A11" s="1" t="s">
        <v>22</v>
      </c>
    </row>
    <row r="12" spans="1:11">
      <c r="A12" s="1" t="s">
        <v>45</v>
      </c>
    </row>
    <row r="13" spans="1:11">
      <c r="A13" s="1" t="s">
        <v>23</v>
      </c>
    </row>
    <row r="14" spans="1:11">
      <c r="A14" s="1"/>
    </row>
    <row r="15" spans="1:11">
      <c r="A15" s="15" t="s">
        <v>41</v>
      </c>
      <c r="B15" s="16" t="s">
        <v>7</v>
      </c>
      <c r="C15" s="16" t="s">
        <v>8</v>
      </c>
      <c r="D15" s="16" t="s">
        <v>9</v>
      </c>
      <c r="E15" s="16" t="s">
        <v>10</v>
      </c>
      <c r="F15" s="16" t="s">
        <v>42</v>
      </c>
      <c r="G15" s="16" t="s">
        <v>43</v>
      </c>
    </row>
    <row r="16" spans="1:11">
      <c r="A16" s="17">
        <v>1</v>
      </c>
      <c r="B16" s="11">
        <f>E$4/4</f>
        <v>183883.25</v>
      </c>
      <c r="F16" s="12">
        <f t="shared" ref="F16:F50" si="0">5246480/36</f>
        <v>145735.55555555556</v>
      </c>
      <c r="G16" s="11">
        <f>SUM(B16:F16)</f>
        <v>329618.80555555556</v>
      </c>
    </row>
    <row r="17" spans="1:12">
      <c r="A17" s="17">
        <v>2</v>
      </c>
      <c r="B17" s="11">
        <f t="shared" ref="B17:B19" si="1">E$4/4</f>
        <v>183883.25</v>
      </c>
      <c r="F17" s="12">
        <f t="shared" si="0"/>
        <v>145735.55555555556</v>
      </c>
      <c r="G17" s="11">
        <f t="shared" ref="G17:G55" si="2">SUM(B17:F17)</f>
        <v>329618.80555555556</v>
      </c>
      <c r="L17" s="10"/>
    </row>
    <row r="18" spans="1:12">
      <c r="A18" s="17">
        <v>3</v>
      </c>
      <c r="B18" s="11">
        <f t="shared" si="1"/>
        <v>183883.25</v>
      </c>
      <c r="F18" s="12">
        <f t="shared" si="0"/>
        <v>145735.55555555556</v>
      </c>
      <c r="G18" s="11">
        <f t="shared" si="2"/>
        <v>329618.80555555556</v>
      </c>
    </row>
    <row r="19" spans="1:12">
      <c r="A19" s="17">
        <v>4</v>
      </c>
      <c r="B19" s="11">
        <f t="shared" si="1"/>
        <v>183883.25</v>
      </c>
      <c r="F19" s="12">
        <f t="shared" si="0"/>
        <v>145735.55555555556</v>
      </c>
      <c r="G19" s="11">
        <f t="shared" si="2"/>
        <v>329618.80555555556</v>
      </c>
    </row>
    <row r="20" spans="1:12">
      <c r="A20" s="17">
        <v>5</v>
      </c>
      <c r="C20" s="11">
        <f>E$5/12</f>
        <v>245177.66666666666</v>
      </c>
      <c r="F20" s="12">
        <f t="shared" si="0"/>
        <v>145735.55555555556</v>
      </c>
      <c r="G20" s="11">
        <f t="shared" si="2"/>
        <v>390913.22222222225</v>
      </c>
    </row>
    <row r="21" spans="1:12">
      <c r="A21" s="17">
        <v>6</v>
      </c>
      <c r="C21" s="11">
        <f t="shared" ref="C21:C31" si="3">E$5/12</f>
        <v>245177.66666666666</v>
      </c>
      <c r="F21" s="12">
        <f t="shared" si="0"/>
        <v>145735.55555555556</v>
      </c>
      <c r="G21" s="11">
        <f t="shared" si="2"/>
        <v>390913.22222222225</v>
      </c>
    </row>
    <row r="22" spans="1:12">
      <c r="A22" s="17">
        <v>7</v>
      </c>
      <c r="C22" s="11">
        <f t="shared" si="3"/>
        <v>245177.66666666666</v>
      </c>
      <c r="F22" s="12">
        <f t="shared" si="0"/>
        <v>145735.55555555556</v>
      </c>
      <c r="G22" s="11">
        <f t="shared" si="2"/>
        <v>390913.22222222225</v>
      </c>
    </row>
    <row r="23" spans="1:12">
      <c r="A23" s="17">
        <v>8</v>
      </c>
      <c r="C23" s="11">
        <f t="shared" si="3"/>
        <v>245177.66666666666</v>
      </c>
      <c r="F23" s="12">
        <f t="shared" si="0"/>
        <v>145735.55555555556</v>
      </c>
      <c r="G23" s="11">
        <f t="shared" si="2"/>
        <v>390913.22222222225</v>
      </c>
    </row>
    <row r="24" spans="1:12">
      <c r="A24" s="17">
        <v>9</v>
      </c>
      <c r="C24" s="11">
        <f t="shared" si="3"/>
        <v>245177.66666666666</v>
      </c>
      <c r="F24" s="12">
        <f t="shared" si="0"/>
        <v>145735.55555555556</v>
      </c>
      <c r="G24" s="11">
        <f t="shared" si="2"/>
        <v>390913.22222222225</v>
      </c>
    </row>
    <row r="25" spans="1:12">
      <c r="A25" s="17">
        <v>10</v>
      </c>
      <c r="C25" s="11">
        <f t="shared" si="3"/>
        <v>245177.66666666666</v>
      </c>
      <c r="F25" s="12">
        <f t="shared" si="0"/>
        <v>145735.55555555556</v>
      </c>
      <c r="G25" s="11">
        <f t="shared" si="2"/>
        <v>390913.22222222225</v>
      </c>
    </row>
    <row r="26" spans="1:12">
      <c r="A26" s="17">
        <v>11</v>
      </c>
      <c r="C26" s="11">
        <f t="shared" si="3"/>
        <v>245177.66666666666</v>
      </c>
      <c r="F26" s="12">
        <f t="shared" si="0"/>
        <v>145735.55555555556</v>
      </c>
      <c r="G26" s="11">
        <f t="shared" si="2"/>
        <v>390913.22222222225</v>
      </c>
    </row>
    <row r="27" spans="1:12">
      <c r="A27" s="17">
        <v>12</v>
      </c>
      <c r="C27" s="11">
        <f t="shared" si="3"/>
        <v>245177.66666666666</v>
      </c>
      <c r="F27" s="12">
        <f t="shared" si="0"/>
        <v>145735.55555555556</v>
      </c>
      <c r="G27" s="11">
        <f t="shared" si="2"/>
        <v>390913.22222222225</v>
      </c>
    </row>
    <row r="28" spans="1:12">
      <c r="A28" s="17">
        <v>13</v>
      </c>
      <c r="C28" s="11">
        <f t="shared" si="3"/>
        <v>245177.66666666666</v>
      </c>
      <c r="F28" s="12">
        <f t="shared" si="0"/>
        <v>145735.55555555556</v>
      </c>
      <c r="G28" s="11">
        <f t="shared" si="2"/>
        <v>390913.22222222225</v>
      </c>
    </row>
    <row r="29" spans="1:12">
      <c r="A29" s="17">
        <v>14</v>
      </c>
      <c r="C29" s="11">
        <f t="shared" si="3"/>
        <v>245177.66666666666</v>
      </c>
      <c r="F29" s="12">
        <f t="shared" si="0"/>
        <v>145735.55555555556</v>
      </c>
      <c r="G29" s="11">
        <f t="shared" si="2"/>
        <v>390913.22222222225</v>
      </c>
    </row>
    <row r="30" spans="1:12">
      <c r="A30" s="17">
        <v>15</v>
      </c>
      <c r="C30" s="11">
        <f t="shared" si="3"/>
        <v>245177.66666666666</v>
      </c>
      <c r="F30" s="12">
        <f t="shared" si="0"/>
        <v>145735.55555555556</v>
      </c>
      <c r="G30" s="11">
        <f t="shared" si="2"/>
        <v>390913.22222222225</v>
      </c>
    </row>
    <row r="31" spans="1:12">
      <c r="A31" s="17">
        <v>16</v>
      </c>
      <c r="C31" s="11">
        <f t="shared" si="3"/>
        <v>245177.66666666666</v>
      </c>
      <c r="F31" s="12">
        <f t="shared" si="0"/>
        <v>145735.55555555556</v>
      </c>
      <c r="G31" s="11">
        <f t="shared" si="2"/>
        <v>390913.22222222225</v>
      </c>
    </row>
    <row r="32" spans="1:12">
      <c r="A32" s="17">
        <v>17</v>
      </c>
      <c r="D32" s="2">
        <f>E$6/20</f>
        <v>465837.5</v>
      </c>
      <c r="F32" s="12">
        <f t="shared" si="0"/>
        <v>145735.55555555556</v>
      </c>
      <c r="G32" s="11">
        <f t="shared" si="2"/>
        <v>611573.0555555555</v>
      </c>
    </row>
    <row r="33" spans="1:7">
      <c r="A33" s="17">
        <v>18</v>
      </c>
      <c r="D33" s="2">
        <f t="shared" ref="D33:D51" si="4">E$6/20</f>
        <v>465837.5</v>
      </c>
      <c r="F33" s="12">
        <f t="shared" si="0"/>
        <v>145735.55555555556</v>
      </c>
      <c r="G33" s="11">
        <f t="shared" si="2"/>
        <v>611573.0555555555</v>
      </c>
    </row>
    <row r="34" spans="1:7">
      <c r="A34" s="17">
        <v>19</v>
      </c>
      <c r="D34" s="2">
        <f t="shared" si="4"/>
        <v>465837.5</v>
      </c>
      <c r="F34" s="12">
        <f t="shared" si="0"/>
        <v>145735.55555555556</v>
      </c>
      <c r="G34" s="11">
        <f t="shared" si="2"/>
        <v>611573.0555555555</v>
      </c>
    </row>
    <row r="35" spans="1:7">
      <c r="A35" s="17">
        <v>20</v>
      </c>
      <c r="D35" s="2">
        <f t="shared" si="4"/>
        <v>465837.5</v>
      </c>
      <c r="F35" s="12">
        <f t="shared" si="0"/>
        <v>145735.55555555556</v>
      </c>
      <c r="G35" s="11">
        <f t="shared" si="2"/>
        <v>611573.0555555555</v>
      </c>
    </row>
    <row r="36" spans="1:7">
      <c r="A36" s="17">
        <v>21</v>
      </c>
      <c r="D36" s="2">
        <f t="shared" si="4"/>
        <v>465837.5</v>
      </c>
      <c r="F36" s="12">
        <f t="shared" si="0"/>
        <v>145735.55555555556</v>
      </c>
      <c r="G36" s="11">
        <f t="shared" si="2"/>
        <v>611573.0555555555</v>
      </c>
    </row>
    <row r="37" spans="1:7">
      <c r="A37" s="17">
        <v>22</v>
      </c>
      <c r="D37" s="2">
        <f t="shared" si="4"/>
        <v>465837.5</v>
      </c>
      <c r="F37" s="12">
        <f t="shared" si="0"/>
        <v>145735.55555555556</v>
      </c>
      <c r="G37" s="11">
        <f t="shared" si="2"/>
        <v>611573.0555555555</v>
      </c>
    </row>
    <row r="38" spans="1:7">
      <c r="A38" s="17">
        <v>23</v>
      </c>
      <c r="D38" s="2">
        <f t="shared" si="4"/>
        <v>465837.5</v>
      </c>
      <c r="F38" s="12">
        <f t="shared" si="0"/>
        <v>145735.55555555556</v>
      </c>
      <c r="G38" s="11">
        <f t="shared" si="2"/>
        <v>611573.0555555555</v>
      </c>
    </row>
    <row r="39" spans="1:7">
      <c r="A39" s="17">
        <v>24</v>
      </c>
      <c r="D39" s="2">
        <f t="shared" si="4"/>
        <v>465837.5</v>
      </c>
      <c r="F39" s="12">
        <f t="shared" si="0"/>
        <v>145735.55555555556</v>
      </c>
      <c r="G39" s="11">
        <f t="shared" si="2"/>
        <v>611573.0555555555</v>
      </c>
    </row>
    <row r="40" spans="1:7">
      <c r="A40" s="17">
        <v>25</v>
      </c>
      <c r="D40" s="2">
        <f t="shared" si="4"/>
        <v>465837.5</v>
      </c>
      <c r="F40" s="12">
        <f t="shared" si="0"/>
        <v>145735.55555555556</v>
      </c>
      <c r="G40" s="11">
        <f t="shared" si="2"/>
        <v>611573.0555555555</v>
      </c>
    </row>
    <row r="41" spans="1:7">
      <c r="A41" s="17">
        <v>26</v>
      </c>
      <c r="D41" s="2">
        <f t="shared" si="4"/>
        <v>465837.5</v>
      </c>
      <c r="F41" s="12">
        <f t="shared" si="0"/>
        <v>145735.55555555556</v>
      </c>
      <c r="G41" s="11">
        <f t="shared" si="2"/>
        <v>611573.0555555555</v>
      </c>
    </row>
    <row r="42" spans="1:7">
      <c r="A42" s="17">
        <v>27</v>
      </c>
      <c r="D42" s="2">
        <f t="shared" si="4"/>
        <v>465837.5</v>
      </c>
      <c r="F42" s="12">
        <f t="shared" si="0"/>
        <v>145735.55555555556</v>
      </c>
      <c r="G42" s="11">
        <f t="shared" si="2"/>
        <v>611573.0555555555</v>
      </c>
    </row>
    <row r="43" spans="1:7">
      <c r="A43" s="17">
        <v>28</v>
      </c>
      <c r="D43" s="2">
        <f t="shared" si="4"/>
        <v>465837.5</v>
      </c>
      <c r="F43" s="12">
        <f t="shared" si="0"/>
        <v>145735.55555555556</v>
      </c>
      <c r="G43" s="11">
        <f t="shared" si="2"/>
        <v>611573.0555555555</v>
      </c>
    </row>
    <row r="44" spans="1:7">
      <c r="A44" s="17">
        <v>29</v>
      </c>
      <c r="D44" s="2">
        <f t="shared" si="4"/>
        <v>465837.5</v>
      </c>
      <c r="F44" s="12">
        <f t="shared" si="0"/>
        <v>145735.55555555556</v>
      </c>
      <c r="G44" s="11">
        <f t="shared" si="2"/>
        <v>611573.0555555555</v>
      </c>
    </row>
    <row r="45" spans="1:7">
      <c r="A45" s="17">
        <v>30</v>
      </c>
      <c r="D45" s="2">
        <f t="shared" si="4"/>
        <v>465837.5</v>
      </c>
      <c r="F45" s="12">
        <f t="shared" si="0"/>
        <v>145735.55555555556</v>
      </c>
      <c r="G45" s="11">
        <f t="shared" si="2"/>
        <v>611573.0555555555</v>
      </c>
    </row>
    <row r="46" spans="1:7">
      <c r="A46" s="17">
        <v>31</v>
      </c>
      <c r="D46" s="2">
        <f t="shared" si="4"/>
        <v>465837.5</v>
      </c>
      <c r="F46" s="12">
        <f t="shared" si="0"/>
        <v>145735.55555555556</v>
      </c>
      <c r="G46" s="11">
        <f t="shared" si="2"/>
        <v>611573.0555555555</v>
      </c>
    </row>
    <row r="47" spans="1:7">
      <c r="A47" s="17">
        <v>32</v>
      </c>
      <c r="D47" s="2">
        <f t="shared" si="4"/>
        <v>465837.5</v>
      </c>
      <c r="F47" s="12">
        <f t="shared" si="0"/>
        <v>145735.55555555556</v>
      </c>
      <c r="G47" s="11">
        <f t="shared" si="2"/>
        <v>611573.0555555555</v>
      </c>
    </row>
    <row r="48" spans="1:7">
      <c r="A48" s="17">
        <v>33</v>
      </c>
      <c r="D48" s="2">
        <f t="shared" si="4"/>
        <v>465837.5</v>
      </c>
      <c r="F48" s="12">
        <f t="shared" si="0"/>
        <v>145735.55555555556</v>
      </c>
      <c r="G48" s="11">
        <f t="shared" si="2"/>
        <v>611573.0555555555</v>
      </c>
    </row>
    <row r="49" spans="1:7">
      <c r="A49" s="17">
        <v>34</v>
      </c>
      <c r="D49" s="2">
        <f t="shared" si="4"/>
        <v>465837.5</v>
      </c>
      <c r="F49" s="12">
        <f t="shared" si="0"/>
        <v>145735.55555555556</v>
      </c>
      <c r="G49" s="11">
        <f t="shared" si="2"/>
        <v>611573.0555555555</v>
      </c>
    </row>
    <row r="50" spans="1:7">
      <c r="A50" s="17">
        <v>35</v>
      </c>
      <c r="D50" s="2">
        <f t="shared" si="4"/>
        <v>465837.5</v>
      </c>
      <c r="F50" s="12">
        <f t="shared" si="0"/>
        <v>145735.55555555556</v>
      </c>
      <c r="G50" s="11">
        <f t="shared" si="2"/>
        <v>611573.0555555555</v>
      </c>
    </row>
    <row r="51" spans="1:7">
      <c r="A51" s="17">
        <v>36</v>
      </c>
      <c r="D51" s="2">
        <f t="shared" si="4"/>
        <v>465837.5</v>
      </c>
      <c r="F51" s="12">
        <f>5246480/36</f>
        <v>145735.55555555556</v>
      </c>
      <c r="G51" s="11">
        <f t="shared" si="2"/>
        <v>611573.0555555555</v>
      </c>
    </row>
    <row r="52" spans="1:7">
      <c r="A52" s="17">
        <v>37</v>
      </c>
      <c r="E52" s="11">
        <f>E$7/4</f>
        <v>367766.5</v>
      </c>
      <c r="G52" s="11">
        <f t="shared" si="2"/>
        <v>367766.5</v>
      </c>
    </row>
    <row r="53" spans="1:7">
      <c r="A53" s="17">
        <v>38</v>
      </c>
      <c r="E53" s="11">
        <f t="shared" ref="E53:E55" si="5">E$7/4</f>
        <v>367766.5</v>
      </c>
      <c r="G53" s="11">
        <f t="shared" si="2"/>
        <v>367766.5</v>
      </c>
    </row>
    <row r="54" spans="1:7">
      <c r="A54" s="17">
        <v>39</v>
      </c>
      <c r="E54" s="11">
        <f t="shared" si="5"/>
        <v>367766.5</v>
      </c>
      <c r="G54" s="11">
        <f t="shared" si="2"/>
        <v>367766.5</v>
      </c>
    </row>
    <row r="55" spans="1:7">
      <c r="A55" s="17">
        <v>40</v>
      </c>
      <c r="E55" s="11">
        <f t="shared" si="5"/>
        <v>367766.5</v>
      </c>
      <c r="G55" s="11">
        <f t="shared" si="2"/>
        <v>367766.5</v>
      </c>
    </row>
    <row r="56" spans="1:7" ht="18">
      <c r="F56" s="14" t="s">
        <v>44</v>
      </c>
      <c r="G56" s="13">
        <f>SUM(G16:G55)</f>
        <v>19711961.000000004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1" sqref="C1"/>
    </sheetView>
  </sheetViews>
  <sheetFormatPr baseColWidth="10" defaultRowHeight="15" x14ac:dyDescent="0"/>
  <sheetData>
    <row r="1" spans="1:2" ht="23">
      <c r="A1" s="7" t="s">
        <v>78</v>
      </c>
    </row>
    <row r="2" spans="1:2">
      <c r="A2">
        <v>1</v>
      </c>
      <c r="B2" t="s">
        <v>65</v>
      </c>
    </row>
    <row r="3" spans="1:2">
      <c r="A3">
        <v>2</v>
      </c>
      <c r="B3" t="s">
        <v>66</v>
      </c>
    </row>
    <row r="4" spans="1:2">
      <c r="A4">
        <v>3</v>
      </c>
      <c r="B4" t="s">
        <v>67</v>
      </c>
    </row>
    <row r="5" spans="1:2">
      <c r="A5">
        <v>4</v>
      </c>
      <c r="B5" t="s">
        <v>68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C1" sqref="C1"/>
    </sheetView>
  </sheetViews>
  <sheetFormatPr baseColWidth="10" defaultRowHeight="15" x14ac:dyDescent="0"/>
  <cols>
    <col min="3" max="3" width="14.1640625" bestFit="1" customWidth="1"/>
  </cols>
  <sheetData>
    <row r="1" spans="1:11" ht="23">
      <c r="A1" s="7" t="s">
        <v>24</v>
      </c>
    </row>
    <row r="2" spans="1:11">
      <c r="A2" s="4" t="s">
        <v>25</v>
      </c>
      <c r="G2" s="4" t="s">
        <v>30</v>
      </c>
    </row>
    <row r="3" spans="1:11">
      <c r="A3" s="1" t="s">
        <v>26</v>
      </c>
      <c r="G3" s="9" t="s">
        <v>31</v>
      </c>
      <c r="H3" s="9" t="s">
        <v>32</v>
      </c>
      <c r="I3" s="9" t="s">
        <v>33</v>
      </c>
      <c r="J3" s="9" t="s">
        <v>34</v>
      </c>
      <c r="K3" s="9" t="s">
        <v>35</v>
      </c>
    </row>
    <row r="4" spans="1:11">
      <c r="A4" s="1" t="s">
        <v>27</v>
      </c>
      <c r="G4" s="25" t="s">
        <v>36</v>
      </c>
      <c r="H4" s="8">
        <v>3.7</v>
      </c>
      <c r="I4" s="8">
        <v>6.7</v>
      </c>
      <c r="J4" s="8">
        <v>1.7</v>
      </c>
      <c r="K4" s="8">
        <v>1.1000000000000001</v>
      </c>
    </row>
    <row r="5" spans="1:11">
      <c r="A5" s="1" t="s">
        <v>28</v>
      </c>
      <c r="G5" s="25"/>
      <c r="H5" s="8"/>
      <c r="I5" s="8"/>
      <c r="J5" s="8"/>
      <c r="K5" s="8"/>
    </row>
    <row r="6" spans="1:11">
      <c r="A6" s="1" t="s">
        <v>29</v>
      </c>
      <c r="G6" s="25" t="s">
        <v>37</v>
      </c>
      <c r="H6" s="8">
        <v>7.1</v>
      </c>
      <c r="I6" s="8">
        <v>12.2</v>
      </c>
      <c r="J6" s="8">
        <v>8</v>
      </c>
      <c r="K6" s="8">
        <v>4.8</v>
      </c>
    </row>
    <row r="7" spans="1:11">
      <c r="G7" s="25"/>
      <c r="H7" s="8"/>
      <c r="I7" s="8"/>
      <c r="J7" s="8"/>
      <c r="K7" s="8"/>
    </row>
    <row r="8" spans="1:11">
      <c r="A8" s="4" t="s">
        <v>63</v>
      </c>
      <c r="G8" s="25" t="s">
        <v>38</v>
      </c>
      <c r="H8" s="8">
        <v>19.3</v>
      </c>
      <c r="I8" s="8">
        <v>22.7</v>
      </c>
      <c r="J8" s="8">
        <v>9.6</v>
      </c>
      <c r="K8" s="8">
        <v>5.0999999999999996</v>
      </c>
    </row>
    <row r="9" spans="1:11">
      <c r="A9" t="s">
        <v>54</v>
      </c>
      <c r="B9">
        <v>132</v>
      </c>
      <c r="C9" s="12">
        <f t="shared" ref="C9:C14" si="0">B9*10000</f>
        <v>1320000</v>
      </c>
      <c r="G9" s="25"/>
      <c r="H9" s="8"/>
      <c r="I9" s="8"/>
      <c r="J9" s="8"/>
      <c r="K9" s="8"/>
    </row>
    <row r="10" spans="1:11">
      <c r="A10" t="s">
        <v>55</v>
      </c>
      <c r="B10" s="1">
        <v>152</v>
      </c>
      <c r="C10" s="12">
        <f t="shared" si="0"/>
        <v>1520000</v>
      </c>
      <c r="G10" s="25" t="s">
        <v>39</v>
      </c>
      <c r="H10" s="8">
        <v>3.7</v>
      </c>
      <c r="I10" s="8">
        <v>8.5</v>
      </c>
      <c r="J10" s="8">
        <v>9.1</v>
      </c>
      <c r="K10" s="8">
        <v>7.1</v>
      </c>
    </row>
    <row r="11" spans="1:11">
      <c r="A11" t="s">
        <v>56</v>
      </c>
      <c r="B11">
        <v>166</v>
      </c>
      <c r="C11" s="12">
        <f t="shared" si="0"/>
        <v>1660000</v>
      </c>
      <c r="G11" s="25"/>
      <c r="H11" s="8"/>
      <c r="I11" s="8"/>
      <c r="J11" s="8"/>
      <c r="K11" s="8"/>
    </row>
    <row r="12" spans="1:11">
      <c r="A12" t="s">
        <v>57</v>
      </c>
      <c r="B12" s="1">
        <v>178</v>
      </c>
      <c r="C12" s="12">
        <f t="shared" si="0"/>
        <v>1780000</v>
      </c>
      <c r="G12" s="25" t="s">
        <v>40</v>
      </c>
      <c r="H12" s="8">
        <v>10.5</v>
      </c>
      <c r="I12" s="8">
        <v>15.8</v>
      </c>
      <c r="J12" s="8">
        <v>23.4</v>
      </c>
      <c r="K12" s="8">
        <v>8.8000000000000007</v>
      </c>
    </row>
    <row r="13" spans="1:11">
      <c r="A13" t="s">
        <v>58</v>
      </c>
      <c r="B13">
        <v>187</v>
      </c>
      <c r="C13" s="12">
        <f t="shared" si="0"/>
        <v>1870000</v>
      </c>
      <c r="G13" s="25"/>
      <c r="H13" s="8"/>
      <c r="I13" s="8"/>
      <c r="J13" s="8"/>
      <c r="K13" s="8"/>
    </row>
    <row r="14" spans="1:11">
      <c r="A14" t="s">
        <v>59</v>
      </c>
      <c r="B14" s="1">
        <v>199</v>
      </c>
      <c r="C14" s="12">
        <f t="shared" si="0"/>
        <v>1990000</v>
      </c>
    </row>
    <row r="15" spans="1:11">
      <c r="A15" s="69" t="s">
        <v>60</v>
      </c>
      <c r="B15" s="69">
        <v>211</v>
      </c>
      <c r="C15" s="66">
        <f>B15*10000</f>
        <v>2110000</v>
      </c>
      <c r="G15" s="4" t="s">
        <v>64</v>
      </c>
    </row>
    <row r="16" spans="1:11">
      <c r="A16" t="s">
        <v>61</v>
      </c>
      <c r="B16" s="1">
        <v>224</v>
      </c>
      <c r="C16" s="12">
        <f t="shared" ref="C16:C18" si="1">B16*10000</f>
        <v>2240000</v>
      </c>
      <c r="G16" s="1" t="s">
        <v>46</v>
      </c>
    </row>
    <row r="17" spans="1:12">
      <c r="A17" t="s">
        <v>62</v>
      </c>
      <c r="B17">
        <v>244</v>
      </c>
      <c r="C17" s="12">
        <f t="shared" si="1"/>
        <v>2440000</v>
      </c>
      <c r="G17" s="1">
        <v>62</v>
      </c>
      <c r="H17" s="1">
        <v>178</v>
      </c>
      <c r="I17" s="1">
        <v>286</v>
      </c>
      <c r="J17" s="1">
        <v>268</v>
      </c>
      <c r="K17" s="1">
        <v>134</v>
      </c>
      <c r="L17" s="1">
        <v>62</v>
      </c>
    </row>
    <row r="18" spans="1:12">
      <c r="A18" t="s">
        <v>53</v>
      </c>
      <c r="B18" s="1">
        <v>290</v>
      </c>
      <c r="C18" s="12">
        <f t="shared" si="1"/>
        <v>2900000</v>
      </c>
      <c r="G18" s="1"/>
      <c r="H18" s="1"/>
      <c r="I18" s="1"/>
      <c r="J18" s="1"/>
      <c r="K18" s="1"/>
      <c r="L18" s="1"/>
    </row>
    <row r="19" spans="1:12">
      <c r="G19" s="1" t="s">
        <v>47</v>
      </c>
      <c r="H19" s="1" t="s">
        <v>48</v>
      </c>
      <c r="I19" s="1" t="s">
        <v>49</v>
      </c>
      <c r="J19" s="1" t="s">
        <v>50</v>
      </c>
      <c r="K19" s="1" t="s">
        <v>51</v>
      </c>
      <c r="L19" s="1" t="s">
        <v>52</v>
      </c>
    </row>
    <row r="20" spans="1:12">
      <c r="A20" s="1"/>
      <c r="B20" s="1"/>
    </row>
    <row r="22" spans="1:12">
      <c r="A22" s="1"/>
      <c r="B22" s="1"/>
    </row>
    <row r="24" spans="1:12">
      <c r="A24" s="1"/>
      <c r="B24" s="1"/>
    </row>
    <row r="26" spans="1:12">
      <c r="A26" s="1"/>
      <c r="B26" s="1"/>
    </row>
    <row r="28" spans="1:12">
      <c r="A28" s="1"/>
      <c r="B28" s="1"/>
    </row>
  </sheetData>
  <mergeCells count="25">
    <mergeCell ref="G6:G7"/>
    <mergeCell ref="H6:H7"/>
    <mergeCell ref="I6:I7"/>
    <mergeCell ref="J6:J7"/>
    <mergeCell ref="K6:K7"/>
    <mergeCell ref="G10:G11"/>
    <mergeCell ref="H10:H11"/>
    <mergeCell ref="I10:I11"/>
    <mergeCell ref="J10:J11"/>
    <mergeCell ref="K10:K11"/>
    <mergeCell ref="G4:G5"/>
    <mergeCell ref="H4:H5"/>
    <mergeCell ref="I4:I5"/>
    <mergeCell ref="J4:J5"/>
    <mergeCell ref="K4:K5"/>
    <mergeCell ref="G12:G13"/>
    <mergeCell ref="H12:H13"/>
    <mergeCell ref="I12:I13"/>
    <mergeCell ref="J12:J13"/>
    <mergeCell ref="K12:K13"/>
    <mergeCell ref="G8:G9"/>
    <mergeCell ref="H8:H9"/>
    <mergeCell ref="I8:I9"/>
    <mergeCell ref="J8:J9"/>
    <mergeCell ref="K8:K9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C1" sqref="C1"/>
    </sheetView>
  </sheetViews>
  <sheetFormatPr baseColWidth="10" defaultRowHeight="15" x14ac:dyDescent="0"/>
  <cols>
    <col min="2" max="2" width="14.1640625" bestFit="1" customWidth="1"/>
  </cols>
  <sheetData>
    <row r="1" spans="1:2" ht="23">
      <c r="A1" s="7" t="s">
        <v>79</v>
      </c>
    </row>
    <row r="2" spans="1:2">
      <c r="A2" s="4" t="s">
        <v>69</v>
      </c>
    </row>
    <row r="3" spans="1:2">
      <c r="A3" t="s">
        <v>73</v>
      </c>
      <c r="B3" t="s">
        <v>74</v>
      </c>
    </row>
    <row r="4" spans="1:2">
      <c r="A4">
        <f>0.25*500^(1.06)</f>
        <v>181.48812475325084</v>
      </c>
      <c r="B4" s="12">
        <f>A4*10000</f>
        <v>1814881.2475325083</v>
      </c>
    </row>
    <row r="5" spans="1:2">
      <c r="A5" s="5" t="s">
        <v>70</v>
      </c>
    </row>
    <row r="6" spans="1:2">
      <c r="A6" t="s">
        <v>73</v>
      </c>
      <c r="B6" t="s">
        <v>74</v>
      </c>
    </row>
    <row r="7" spans="1:2">
      <c r="A7">
        <f>0.25*500^(1.03)</f>
        <v>150.61877570262064</v>
      </c>
      <c r="B7" s="12">
        <f>A7*10000</f>
        <v>1506187.7570262065</v>
      </c>
    </row>
    <row r="8" spans="1:2">
      <c r="A8" s="5" t="s">
        <v>71</v>
      </c>
    </row>
    <row r="9" spans="1:2">
      <c r="A9" t="s">
        <v>73</v>
      </c>
      <c r="B9" t="s">
        <v>75</v>
      </c>
    </row>
    <row r="10" spans="1:2">
      <c r="A10">
        <f>A4-A7</f>
        <v>30.869349050630206</v>
      </c>
      <c r="B10" s="12">
        <f>A10*10000</f>
        <v>308693.49050630204</v>
      </c>
    </row>
    <row r="11" spans="1:2">
      <c r="A11" s="5" t="s">
        <v>72</v>
      </c>
    </row>
    <row r="12" spans="1:2">
      <c r="A12" s="12">
        <f>((5*B10)-250000)/250000</f>
        <v>5.1738698101260407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1"/>
  <sheetViews>
    <sheetView workbookViewId="0">
      <selection activeCell="C1" sqref="C1"/>
    </sheetView>
  </sheetViews>
  <sheetFormatPr baseColWidth="10" defaultRowHeight="15" x14ac:dyDescent="0"/>
  <cols>
    <col min="2" max="2" width="15.83203125" customWidth="1"/>
    <col min="3" max="3" width="13.1640625" customWidth="1"/>
    <col min="4" max="4" width="12.5" bestFit="1" customWidth="1"/>
    <col min="5" max="6" width="14.1640625" customWidth="1"/>
    <col min="7" max="7" width="12.5" bestFit="1" customWidth="1"/>
    <col min="8" max="8" width="12.1640625" customWidth="1"/>
    <col min="9" max="9" width="13.5" customWidth="1"/>
    <col min="10" max="10" width="15.5" customWidth="1"/>
    <col min="11" max="11" width="15.1640625" bestFit="1" customWidth="1"/>
    <col min="12" max="12" width="15.5" customWidth="1"/>
    <col min="13" max="13" width="16" customWidth="1"/>
  </cols>
  <sheetData>
    <row r="1" spans="1:12" ht="23">
      <c r="A1" s="7" t="s">
        <v>80</v>
      </c>
    </row>
    <row r="2" spans="1:12" ht="20">
      <c r="A2" s="6" t="s">
        <v>81</v>
      </c>
      <c r="H2" s="6" t="s">
        <v>86</v>
      </c>
    </row>
    <row r="3" spans="1:12">
      <c r="A3" s="4" t="s">
        <v>25</v>
      </c>
      <c r="H3" s="4" t="s">
        <v>25</v>
      </c>
    </row>
    <row r="4" spans="1:12">
      <c r="A4" s="1" t="s">
        <v>82</v>
      </c>
      <c r="H4" s="1" t="s">
        <v>92</v>
      </c>
    </row>
    <row r="5" spans="1:12">
      <c r="A5" s="1" t="s">
        <v>83</v>
      </c>
      <c r="H5" s="1" t="s">
        <v>93</v>
      </c>
    </row>
    <row r="6" spans="1:12">
      <c r="A6" s="1" t="s">
        <v>84</v>
      </c>
      <c r="H6" s="1" t="s">
        <v>94</v>
      </c>
    </row>
    <row r="7" spans="1:12">
      <c r="A7" s="1" t="s">
        <v>85</v>
      </c>
      <c r="H7" s="1" t="s">
        <v>95</v>
      </c>
    </row>
    <row r="9" spans="1:12">
      <c r="A9" s="4" t="s">
        <v>30</v>
      </c>
      <c r="H9" s="4" t="s">
        <v>30</v>
      </c>
    </row>
    <row r="10" spans="1:12">
      <c r="A10" s="1" t="s">
        <v>31</v>
      </c>
      <c r="B10" s="1" t="s">
        <v>32</v>
      </c>
      <c r="C10" s="1" t="s">
        <v>33</v>
      </c>
      <c r="D10" s="1" t="s">
        <v>34</v>
      </c>
      <c r="E10" s="1" t="s">
        <v>35</v>
      </c>
      <c r="H10" s="1" t="s">
        <v>31</v>
      </c>
      <c r="I10" s="1" t="s">
        <v>32</v>
      </c>
      <c r="J10" s="1" t="s">
        <v>33</v>
      </c>
      <c r="K10" s="1" t="s">
        <v>34</v>
      </c>
      <c r="L10" s="1" t="s">
        <v>35</v>
      </c>
    </row>
    <row r="11" spans="1:12">
      <c r="A11" s="24" t="s">
        <v>36</v>
      </c>
      <c r="B11" s="8">
        <v>2.5</v>
      </c>
      <c r="C11" s="8">
        <v>4.5999999999999996</v>
      </c>
      <c r="D11" s="8">
        <v>1.2</v>
      </c>
      <c r="E11" s="8">
        <v>0.7</v>
      </c>
      <c r="H11" s="25" t="s">
        <v>36</v>
      </c>
      <c r="I11" s="8">
        <v>5.2</v>
      </c>
      <c r="J11" s="8">
        <v>9.5</v>
      </c>
      <c r="K11" s="8">
        <v>2.4</v>
      </c>
      <c r="L11" s="8">
        <v>1.5</v>
      </c>
    </row>
    <row r="12" spans="1:12">
      <c r="A12" s="24"/>
      <c r="B12" s="8"/>
      <c r="C12" s="8"/>
      <c r="D12" s="8"/>
      <c r="E12" s="8"/>
      <c r="H12" s="25"/>
      <c r="I12" s="8"/>
      <c r="J12" s="8"/>
      <c r="K12" s="8"/>
      <c r="L12" s="8"/>
    </row>
    <row r="13" spans="1:12">
      <c r="A13" s="24" t="s">
        <v>37</v>
      </c>
      <c r="B13" s="8">
        <v>4.9000000000000004</v>
      </c>
      <c r="C13" s="8">
        <v>8.4</v>
      </c>
      <c r="D13" s="8">
        <v>5.5</v>
      </c>
      <c r="E13" s="8">
        <v>3.3</v>
      </c>
      <c r="H13" s="25" t="s">
        <v>37</v>
      </c>
      <c r="I13" s="8">
        <v>10</v>
      </c>
      <c r="J13" s="8">
        <v>17.2</v>
      </c>
      <c r="K13" s="8">
        <v>11.3</v>
      </c>
      <c r="L13" s="8">
        <v>6.8</v>
      </c>
    </row>
    <row r="14" spans="1:12">
      <c r="A14" s="24"/>
      <c r="B14" s="8"/>
      <c r="C14" s="8"/>
      <c r="D14" s="8"/>
      <c r="E14" s="8"/>
      <c r="H14" s="25"/>
      <c r="I14" s="8"/>
      <c r="J14" s="8"/>
      <c r="K14" s="8"/>
      <c r="L14" s="8"/>
    </row>
    <row r="15" spans="1:12">
      <c r="A15" s="24" t="s">
        <v>38</v>
      </c>
      <c r="B15" s="8">
        <v>13.2</v>
      </c>
      <c r="C15" s="8">
        <v>15.6</v>
      </c>
      <c r="D15" s="8">
        <v>6.6</v>
      </c>
      <c r="E15" s="8">
        <v>3.5</v>
      </c>
      <c r="H15" s="25" t="s">
        <v>38</v>
      </c>
      <c r="I15" s="8">
        <v>27.2</v>
      </c>
      <c r="J15" s="8">
        <v>32</v>
      </c>
      <c r="K15" s="8">
        <v>13.6</v>
      </c>
      <c r="L15" s="8">
        <v>7.2</v>
      </c>
    </row>
    <row r="16" spans="1:12">
      <c r="A16" s="24"/>
      <c r="B16" s="8"/>
      <c r="C16" s="8"/>
      <c r="D16" s="8"/>
      <c r="E16" s="8"/>
      <c r="H16" s="25"/>
      <c r="I16" s="8"/>
      <c r="J16" s="8"/>
      <c r="K16" s="8"/>
      <c r="L16" s="8"/>
    </row>
    <row r="17" spans="1:12">
      <c r="A17" s="24" t="s">
        <v>39</v>
      </c>
      <c r="B17" s="8">
        <v>2.5</v>
      </c>
      <c r="C17" s="8">
        <v>5.8</v>
      </c>
      <c r="D17" s="8">
        <v>6.2</v>
      </c>
      <c r="E17" s="8">
        <v>4.9000000000000004</v>
      </c>
      <c r="H17" s="25" t="s">
        <v>39</v>
      </c>
      <c r="I17" s="8">
        <v>5.2</v>
      </c>
      <c r="J17" s="8">
        <v>12</v>
      </c>
      <c r="K17" s="8">
        <v>12.8</v>
      </c>
      <c r="L17" s="8">
        <v>10</v>
      </c>
    </row>
    <row r="18" spans="1:12">
      <c r="A18" s="24"/>
      <c r="B18" s="8"/>
      <c r="C18" s="8"/>
      <c r="D18" s="8"/>
      <c r="E18" s="8"/>
      <c r="H18" s="25"/>
      <c r="I18" s="8"/>
      <c r="J18" s="8"/>
      <c r="K18" s="8"/>
      <c r="L18" s="8"/>
    </row>
    <row r="19" spans="1:12">
      <c r="A19" s="24" t="s">
        <v>40</v>
      </c>
      <c r="B19" s="8">
        <v>7.2</v>
      </c>
      <c r="C19" s="8">
        <v>10.9</v>
      </c>
      <c r="D19" s="8">
        <v>16.100000000000001</v>
      </c>
      <c r="E19" s="8">
        <v>6</v>
      </c>
      <c r="H19" s="25" t="s">
        <v>40</v>
      </c>
      <c r="I19" s="8">
        <v>14.9</v>
      </c>
      <c r="J19" s="8">
        <v>22.3</v>
      </c>
      <c r="K19" s="8">
        <v>33</v>
      </c>
      <c r="L19" s="8">
        <v>12.4</v>
      </c>
    </row>
    <row r="20" spans="1:12">
      <c r="A20" s="24"/>
      <c r="B20" s="8"/>
      <c r="C20" s="8"/>
      <c r="D20" s="8"/>
      <c r="E20" s="8"/>
      <c r="H20" s="25"/>
      <c r="I20" s="8"/>
      <c r="J20" s="8"/>
      <c r="K20" s="8"/>
      <c r="L20" s="8"/>
    </row>
    <row r="22" spans="1:12">
      <c r="A22" s="4" t="s">
        <v>20</v>
      </c>
      <c r="H22" s="4" t="s">
        <v>20</v>
      </c>
    </row>
    <row r="23" spans="1:12">
      <c r="A23" s="1" t="s">
        <v>87</v>
      </c>
      <c r="H23" s="1" t="s">
        <v>96</v>
      </c>
    </row>
    <row r="24" spans="1:12">
      <c r="A24" s="1" t="s">
        <v>88</v>
      </c>
      <c r="H24" s="1" t="s">
        <v>97</v>
      </c>
    </row>
    <row r="25" spans="1:12">
      <c r="A25" s="1" t="s">
        <v>89</v>
      </c>
      <c r="H25" s="1" t="s">
        <v>98</v>
      </c>
    </row>
    <row r="26" spans="1:12">
      <c r="A26" s="1" t="s">
        <v>90</v>
      </c>
      <c r="H26" s="1" t="s">
        <v>99</v>
      </c>
    </row>
    <row r="27" spans="1:12">
      <c r="A27" s="1"/>
      <c r="H27" s="1"/>
    </row>
    <row r="28" spans="1:12">
      <c r="A28" s="4" t="s">
        <v>91</v>
      </c>
      <c r="H28" s="4" t="s">
        <v>91</v>
      </c>
    </row>
    <row r="29" spans="1:12">
      <c r="A29" s="1" t="s">
        <v>2</v>
      </c>
      <c r="B29" s="1" t="s">
        <v>3</v>
      </c>
      <c r="C29" s="1" t="s">
        <v>4</v>
      </c>
      <c r="D29" s="1" t="s">
        <v>5</v>
      </c>
      <c r="E29" s="1" t="s">
        <v>6</v>
      </c>
      <c r="H29" s="1" t="s">
        <v>2</v>
      </c>
      <c r="I29" s="1" t="s">
        <v>3</v>
      </c>
      <c r="J29" s="1" t="s">
        <v>4</v>
      </c>
      <c r="K29" s="1" t="s">
        <v>5</v>
      </c>
      <c r="L29" s="1" t="s">
        <v>6</v>
      </c>
    </row>
    <row r="30" spans="1:12">
      <c r="A30" s="1" t="s">
        <v>7</v>
      </c>
      <c r="B30" s="1">
        <v>65.8</v>
      </c>
      <c r="C30" s="1">
        <v>4.5999999999999996</v>
      </c>
      <c r="D30" s="1">
        <v>14.2</v>
      </c>
      <c r="E30" s="3">
        <v>657808</v>
      </c>
      <c r="H30" s="1" t="s">
        <v>7</v>
      </c>
      <c r="I30" s="1">
        <v>26.7</v>
      </c>
      <c r="J30" s="1">
        <v>3.4</v>
      </c>
      <c r="K30" s="1">
        <v>7.8</v>
      </c>
      <c r="L30" s="3">
        <v>266933</v>
      </c>
    </row>
    <row r="31" spans="1:12">
      <c r="A31" s="1" t="s">
        <v>8</v>
      </c>
      <c r="B31" s="1">
        <v>263.10000000000002</v>
      </c>
      <c r="C31" s="1">
        <v>13.9</v>
      </c>
      <c r="D31" s="1">
        <v>19</v>
      </c>
      <c r="E31" s="3">
        <v>2631232</v>
      </c>
      <c r="H31" s="1" t="s">
        <v>8</v>
      </c>
      <c r="I31" s="1">
        <v>106.8</v>
      </c>
      <c r="J31" s="1">
        <v>10.3</v>
      </c>
      <c r="K31" s="1">
        <v>10.4</v>
      </c>
      <c r="L31" s="3">
        <v>1067732</v>
      </c>
    </row>
    <row r="32" spans="1:12">
      <c r="A32" s="1" t="s">
        <v>9</v>
      </c>
      <c r="B32" s="1">
        <v>833.2</v>
      </c>
      <c r="C32" s="1">
        <v>23.1</v>
      </c>
      <c r="D32" s="1">
        <v>36.1</v>
      </c>
      <c r="E32" s="3">
        <v>8332235</v>
      </c>
      <c r="H32" s="1" t="s">
        <v>9</v>
      </c>
      <c r="I32" s="1">
        <v>338.1</v>
      </c>
      <c r="J32" s="1">
        <v>17.2</v>
      </c>
      <c r="K32" s="1">
        <v>19.7</v>
      </c>
      <c r="L32" s="3">
        <v>3381151</v>
      </c>
    </row>
    <row r="33" spans="1:13">
      <c r="A33" s="1" t="s">
        <v>10</v>
      </c>
      <c r="B33" s="1">
        <v>131.6</v>
      </c>
      <c r="C33" s="1">
        <v>4.5999999999999996</v>
      </c>
      <c r="D33" s="1">
        <v>28.5</v>
      </c>
      <c r="E33" s="3">
        <v>1315616</v>
      </c>
      <c r="H33" s="1" t="s">
        <v>10</v>
      </c>
      <c r="I33" s="1">
        <v>53.4</v>
      </c>
      <c r="J33" s="1">
        <v>3.4</v>
      </c>
      <c r="K33" s="1">
        <v>15.6</v>
      </c>
      <c r="L33" s="3">
        <v>533866</v>
      </c>
    </row>
    <row r="35" spans="1:13">
      <c r="A35" s="4" t="s">
        <v>11</v>
      </c>
      <c r="H35" s="4" t="s">
        <v>11</v>
      </c>
    </row>
    <row r="36" spans="1:13">
      <c r="A36" s="1" t="s">
        <v>12</v>
      </c>
      <c r="B36" s="1" t="s">
        <v>7</v>
      </c>
      <c r="C36" s="1" t="s">
        <v>8</v>
      </c>
      <c r="D36" s="1" t="s">
        <v>9</v>
      </c>
      <c r="E36" s="1" t="s">
        <v>10</v>
      </c>
      <c r="H36" s="1" t="s">
        <v>12</v>
      </c>
      <c r="I36" s="1" t="s">
        <v>7</v>
      </c>
      <c r="J36" s="1" t="s">
        <v>8</v>
      </c>
      <c r="K36" s="1" t="s">
        <v>9</v>
      </c>
      <c r="L36" s="1" t="s">
        <v>10</v>
      </c>
    </row>
    <row r="37" spans="1:13">
      <c r="A37" s="1" t="s">
        <v>13</v>
      </c>
      <c r="B37" s="1">
        <v>9.1999999999999993</v>
      </c>
      <c r="C37" s="1">
        <v>31.6</v>
      </c>
      <c r="D37" s="1">
        <v>83.3</v>
      </c>
      <c r="E37" s="1">
        <v>18.399999999999999</v>
      </c>
      <c r="H37" s="1" t="s">
        <v>13</v>
      </c>
      <c r="I37" s="1">
        <v>3.7</v>
      </c>
      <c r="J37" s="1">
        <v>12.8</v>
      </c>
      <c r="K37" s="1">
        <v>33.799999999999997</v>
      </c>
      <c r="L37" s="1">
        <v>7.5</v>
      </c>
    </row>
    <row r="38" spans="1:13">
      <c r="A38" s="1" t="s">
        <v>14</v>
      </c>
      <c r="B38" s="1">
        <v>6.6</v>
      </c>
      <c r="C38" s="1">
        <v>21</v>
      </c>
      <c r="D38" s="1">
        <v>41.7</v>
      </c>
      <c r="E38" s="1">
        <v>6.6</v>
      </c>
      <c r="H38" s="1" t="s">
        <v>14</v>
      </c>
      <c r="I38" s="1">
        <v>2.7</v>
      </c>
      <c r="J38" s="1">
        <v>8.5</v>
      </c>
      <c r="K38" s="1">
        <v>16.899999999999999</v>
      </c>
      <c r="L38" s="1">
        <v>2.7</v>
      </c>
    </row>
    <row r="39" spans="1:13">
      <c r="A39" s="1" t="s">
        <v>15</v>
      </c>
      <c r="B39" s="1">
        <v>25</v>
      </c>
      <c r="C39" s="1">
        <v>47.4</v>
      </c>
      <c r="D39" s="1">
        <v>66.7</v>
      </c>
      <c r="E39" s="1">
        <v>5.3</v>
      </c>
      <c r="H39" s="1" t="s">
        <v>15</v>
      </c>
      <c r="I39" s="1">
        <v>10.1</v>
      </c>
      <c r="J39" s="1">
        <v>19.2</v>
      </c>
      <c r="K39" s="1">
        <v>27</v>
      </c>
      <c r="L39" s="1">
        <v>2.1</v>
      </c>
    </row>
    <row r="40" spans="1:13">
      <c r="A40" s="1" t="s">
        <v>16</v>
      </c>
      <c r="B40" s="1">
        <v>12.5</v>
      </c>
      <c r="C40" s="1">
        <v>94.7</v>
      </c>
      <c r="D40" s="1">
        <v>133.30000000000001</v>
      </c>
      <c r="E40" s="1">
        <v>5.3</v>
      </c>
      <c r="H40" s="1" t="s">
        <v>16</v>
      </c>
      <c r="I40" s="1">
        <v>5.0999999999999996</v>
      </c>
      <c r="J40" s="1">
        <v>38.4</v>
      </c>
      <c r="K40" s="1">
        <v>54.1</v>
      </c>
      <c r="L40" s="1">
        <v>2.1</v>
      </c>
    </row>
    <row r="41" spans="1:13">
      <c r="A41" s="1" t="s">
        <v>17</v>
      </c>
      <c r="B41" s="1">
        <v>5.3</v>
      </c>
      <c r="C41" s="1">
        <v>34.200000000000003</v>
      </c>
      <c r="D41" s="1">
        <v>283.3</v>
      </c>
      <c r="E41" s="1">
        <v>25</v>
      </c>
      <c r="H41" s="1" t="s">
        <v>17</v>
      </c>
      <c r="I41" s="1">
        <v>2.1</v>
      </c>
      <c r="J41" s="1">
        <v>13.9</v>
      </c>
      <c r="K41" s="1">
        <v>115</v>
      </c>
      <c r="L41" s="1">
        <v>10.1</v>
      </c>
    </row>
    <row r="42" spans="1:13">
      <c r="A42" s="1" t="s">
        <v>18</v>
      </c>
      <c r="B42" s="1">
        <v>5.3</v>
      </c>
      <c r="C42" s="1">
        <v>26.3</v>
      </c>
      <c r="D42" s="1">
        <v>200</v>
      </c>
      <c r="E42" s="1">
        <v>31.6</v>
      </c>
      <c r="H42" s="1" t="s">
        <v>18</v>
      </c>
      <c r="I42" s="1">
        <v>2.1</v>
      </c>
      <c r="J42" s="1">
        <v>10.7</v>
      </c>
      <c r="K42" s="1">
        <v>81.099999999999994</v>
      </c>
      <c r="L42" s="1">
        <v>12.8</v>
      </c>
    </row>
    <row r="43" spans="1:13">
      <c r="A43" s="1" t="s">
        <v>19</v>
      </c>
      <c r="B43" s="1">
        <v>2</v>
      </c>
      <c r="C43" s="1">
        <v>7.9</v>
      </c>
      <c r="D43" s="1">
        <v>25</v>
      </c>
      <c r="E43" s="1">
        <v>39.5</v>
      </c>
      <c r="H43" s="1" t="s">
        <v>19</v>
      </c>
      <c r="I43" s="1">
        <v>0.8</v>
      </c>
      <c r="J43" s="1">
        <v>3.2</v>
      </c>
      <c r="K43" s="1">
        <v>10.1</v>
      </c>
      <c r="L43" s="1">
        <v>16</v>
      </c>
    </row>
    <row r="47" spans="1:13" ht="17">
      <c r="B47" s="36"/>
      <c r="C47" s="36"/>
      <c r="D47" s="32" t="s">
        <v>20</v>
      </c>
      <c r="E47" s="27"/>
      <c r="F47" s="27"/>
      <c r="G47" s="27"/>
      <c r="H47" s="41"/>
      <c r="I47" s="42"/>
      <c r="J47" s="38"/>
      <c r="K47" s="38"/>
      <c r="L47" s="38"/>
      <c r="M47" s="38"/>
    </row>
    <row r="48" spans="1:13" ht="15" customHeight="1">
      <c r="A48" s="29" t="s">
        <v>41</v>
      </c>
      <c r="B48" s="31" t="s">
        <v>100</v>
      </c>
      <c r="C48" s="30"/>
      <c r="D48" s="34" t="s">
        <v>8</v>
      </c>
      <c r="E48" s="34"/>
      <c r="F48" s="34" t="s">
        <v>9</v>
      </c>
      <c r="G48" s="33"/>
      <c r="H48" s="41" t="s">
        <v>103</v>
      </c>
      <c r="I48" s="42"/>
      <c r="J48" s="39" t="s">
        <v>101</v>
      </c>
      <c r="K48" s="40"/>
      <c r="L48" s="39" t="s">
        <v>102</v>
      </c>
      <c r="M48" s="40"/>
    </row>
    <row r="49" spans="1:13">
      <c r="A49" s="35">
        <v>1</v>
      </c>
      <c r="B49" s="37">
        <f>1298679/8</f>
        <v>162334.875</v>
      </c>
      <c r="C49" s="12">
        <f>2664838/10</f>
        <v>266483.8</v>
      </c>
      <c r="D49" s="37"/>
      <c r="E49" s="12"/>
      <c r="F49" s="37"/>
      <c r="G49" s="12"/>
      <c r="H49" s="37"/>
      <c r="I49" s="12"/>
      <c r="J49" s="37">
        <f>B49+D49+F49+H49</f>
        <v>162334.875</v>
      </c>
      <c r="K49" s="12">
        <f>C49+E49+G49+I49</f>
        <v>266483.8</v>
      </c>
      <c r="L49" s="37"/>
      <c r="M49" s="12"/>
    </row>
    <row r="50" spans="1:13">
      <c r="A50" s="35">
        <v>2</v>
      </c>
      <c r="B50" s="37">
        <f t="shared" ref="B50:B56" si="0">1298679/8</f>
        <v>162334.875</v>
      </c>
      <c r="C50" s="12">
        <f t="shared" ref="C50:C58" si="1">2664838/10</f>
        <v>266483.8</v>
      </c>
      <c r="D50" s="37"/>
      <c r="E50" s="12"/>
      <c r="F50" s="37"/>
      <c r="G50" s="12"/>
      <c r="H50" s="37"/>
      <c r="I50" s="12"/>
      <c r="J50" s="37">
        <f t="shared" ref="J50:J113" si="2">B50+D50+F50+H50</f>
        <v>162334.875</v>
      </c>
      <c r="K50" s="12">
        <f t="shared" ref="K50:K113" si="3">C50+E50+G50+I50</f>
        <v>266483.8</v>
      </c>
      <c r="L50" s="37"/>
      <c r="M50" s="12"/>
    </row>
    <row r="51" spans="1:13">
      <c r="A51" s="35">
        <v>3</v>
      </c>
      <c r="B51" s="37">
        <f t="shared" si="0"/>
        <v>162334.875</v>
      </c>
      <c r="C51" s="12">
        <f t="shared" si="1"/>
        <v>266483.8</v>
      </c>
      <c r="D51" s="37"/>
      <c r="E51" s="12"/>
      <c r="F51" s="37"/>
      <c r="G51" s="12"/>
      <c r="H51" s="37"/>
      <c r="I51" s="12"/>
      <c r="J51" s="37">
        <f t="shared" si="2"/>
        <v>162334.875</v>
      </c>
      <c r="K51" s="12">
        <f t="shared" si="3"/>
        <v>266483.8</v>
      </c>
      <c r="L51" s="37"/>
      <c r="M51" s="12"/>
    </row>
    <row r="52" spans="1:13">
      <c r="A52" s="35">
        <v>4</v>
      </c>
      <c r="B52" s="37">
        <f t="shared" si="0"/>
        <v>162334.875</v>
      </c>
      <c r="C52" s="12">
        <f t="shared" si="1"/>
        <v>266483.8</v>
      </c>
      <c r="D52" s="37"/>
      <c r="E52" s="12"/>
      <c r="F52" s="37"/>
      <c r="G52" s="12"/>
      <c r="H52" s="37"/>
      <c r="I52" s="12"/>
      <c r="J52" s="37">
        <f t="shared" si="2"/>
        <v>162334.875</v>
      </c>
      <c r="K52" s="12">
        <f t="shared" si="3"/>
        <v>266483.8</v>
      </c>
      <c r="L52" s="37"/>
      <c r="M52" s="12"/>
    </row>
    <row r="53" spans="1:13">
      <c r="A53" s="35">
        <v>5</v>
      </c>
      <c r="B53" s="37">
        <f t="shared" si="0"/>
        <v>162334.875</v>
      </c>
      <c r="C53" s="12">
        <f t="shared" si="1"/>
        <v>266483.8</v>
      </c>
      <c r="D53" s="37"/>
      <c r="E53" s="12"/>
      <c r="F53" s="37"/>
      <c r="G53" s="12"/>
      <c r="H53" s="37"/>
      <c r="I53" s="12"/>
      <c r="J53" s="37">
        <f t="shared" si="2"/>
        <v>162334.875</v>
      </c>
      <c r="K53" s="12">
        <f t="shared" si="3"/>
        <v>266483.8</v>
      </c>
      <c r="L53" s="37"/>
      <c r="M53" s="12"/>
    </row>
    <row r="54" spans="1:13">
      <c r="A54" s="35">
        <v>6</v>
      </c>
      <c r="B54" s="37">
        <f t="shared" si="0"/>
        <v>162334.875</v>
      </c>
      <c r="C54" s="12">
        <f t="shared" si="1"/>
        <v>266483.8</v>
      </c>
      <c r="D54" s="37"/>
      <c r="E54" s="12"/>
      <c r="F54" s="37"/>
      <c r="G54" s="12"/>
      <c r="H54" s="37"/>
      <c r="I54" s="12"/>
      <c r="J54" s="37">
        <f t="shared" si="2"/>
        <v>162334.875</v>
      </c>
      <c r="K54" s="12">
        <f t="shared" si="3"/>
        <v>266483.8</v>
      </c>
      <c r="L54" s="37"/>
      <c r="M54" s="12"/>
    </row>
    <row r="55" spans="1:13">
      <c r="A55" s="35">
        <v>7</v>
      </c>
      <c r="B55" s="37">
        <f t="shared" si="0"/>
        <v>162334.875</v>
      </c>
      <c r="C55" s="12">
        <f t="shared" si="1"/>
        <v>266483.8</v>
      </c>
      <c r="D55" s="37"/>
      <c r="E55" s="12"/>
      <c r="F55" s="37"/>
      <c r="G55" s="12"/>
      <c r="H55" s="37"/>
      <c r="I55" s="12"/>
      <c r="J55" s="37">
        <f t="shared" si="2"/>
        <v>162334.875</v>
      </c>
      <c r="K55" s="12">
        <f t="shared" si="3"/>
        <v>266483.8</v>
      </c>
      <c r="L55" s="37"/>
      <c r="M55" s="12"/>
    </row>
    <row r="56" spans="1:13">
      <c r="A56" s="35">
        <v>8</v>
      </c>
      <c r="B56" s="37">
        <f t="shared" si="0"/>
        <v>162334.875</v>
      </c>
      <c r="C56" s="12">
        <f t="shared" si="1"/>
        <v>266483.8</v>
      </c>
      <c r="D56" s="37"/>
      <c r="E56" s="12"/>
      <c r="F56" s="37"/>
      <c r="G56" s="12"/>
      <c r="H56" s="37"/>
      <c r="I56" s="12"/>
      <c r="J56" s="37">
        <f t="shared" si="2"/>
        <v>162334.875</v>
      </c>
      <c r="K56" s="12">
        <f t="shared" si="3"/>
        <v>266483.8</v>
      </c>
      <c r="L56" s="37"/>
      <c r="M56" s="12"/>
    </row>
    <row r="57" spans="1:13">
      <c r="A57" s="35">
        <v>9</v>
      </c>
      <c r="B57" s="37"/>
      <c r="C57" s="12">
        <f t="shared" si="1"/>
        <v>266483.8</v>
      </c>
      <c r="D57" s="37">
        <f>E$31/14</f>
        <v>187945.14285714287</v>
      </c>
      <c r="E57" s="12"/>
      <c r="F57" s="37"/>
      <c r="G57" s="12"/>
      <c r="H57" s="37"/>
      <c r="I57" s="12"/>
      <c r="J57" s="37">
        <f t="shared" si="2"/>
        <v>187945.14285714287</v>
      </c>
      <c r="K57" s="12">
        <f t="shared" si="3"/>
        <v>266483.8</v>
      </c>
      <c r="L57" s="37"/>
      <c r="M57" s="12"/>
    </row>
    <row r="58" spans="1:13">
      <c r="A58" s="35">
        <v>10</v>
      </c>
      <c r="B58" s="37"/>
      <c r="C58" s="12">
        <f t="shared" si="1"/>
        <v>266483.8</v>
      </c>
      <c r="D58" s="37">
        <f t="shared" ref="D58:D70" si="4">E$31/14</f>
        <v>187945.14285714287</v>
      </c>
      <c r="E58" s="12"/>
      <c r="F58" s="37"/>
      <c r="G58" s="12"/>
      <c r="H58" s="37"/>
      <c r="I58" s="12"/>
      <c r="J58" s="37">
        <f t="shared" si="2"/>
        <v>187945.14285714287</v>
      </c>
      <c r="K58" s="12">
        <f t="shared" si="3"/>
        <v>266483.8</v>
      </c>
      <c r="L58" s="37"/>
      <c r="M58" s="12"/>
    </row>
    <row r="59" spans="1:13">
      <c r="A59" s="35">
        <v>11</v>
      </c>
      <c r="B59" s="37"/>
      <c r="C59" s="12"/>
      <c r="D59" s="37">
        <f t="shared" si="4"/>
        <v>187945.14285714287</v>
      </c>
      <c r="E59" s="12">
        <f>L$31/10</f>
        <v>106773.2</v>
      </c>
      <c r="F59" s="37"/>
      <c r="G59" s="12"/>
      <c r="H59" s="37"/>
      <c r="I59" s="12"/>
      <c r="J59" s="37">
        <f t="shared" si="2"/>
        <v>187945.14285714287</v>
      </c>
      <c r="K59" s="12">
        <f t="shared" si="3"/>
        <v>106773.2</v>
      </c>
      <c r="L59" s="37"/>
      <c r="M59" s="12"/>
    </row>
    <row r="60" spans="1:13">
      <c r="A60" s="35">
        <v>12</v>
      </c>
      <c r="B60" s="37"/>
      <c r="C60" s="12"/>
      <c r="D60" s="37">
        <f t="shared" si="4"/>
        <v>187945.14285714287</v>
      </c>
      <c r="E60" s="12">
        <f t="shared" ref="E60:E68" si="5">L$31/10</f>
        <v>106773.2</v>
      </c>
      <c r="F60" s="37"/>
      <c r="G60" s="12"/>
      <c r="H60" s="37"/>
      <c r="I60" s="12"/>
      <c r="J60" s="37">
        <f t="shared" si="2"/>
        <v>187945.14285714287</v>
      </c>
      <c r="K60" s="12">
        <f t="shared" si="3"/>
        <v>106773.2</v>
      </c>
      <c r="L60" s="37">
        <f>SUM(J49:J60)</f>
        <v>2050459.5714285718</v>
      </c>
      <c r="M60" s="12">
        <f>SUM(K49:K60)</f>
        <v>2878384.4</v>
      </c>
    </row>
    <row r="61" spans="1:13">
      <c r="A61" s="23">
        <v>13</v>
      </c>
      <c r="B61" s="37"/>
      <c r="C61" s="12"/>
      <c r="D61" s="37">
        <f t="shared" si="4"/>
        <v>187945.14285714287</v>
      </c>
      <c r="E61" s="12">
        <f t="shared" si="5"/>
        <v>106773.2</v>
      </c>
      <c r="F61" s="37"/>
      <c r="G61" s="12"/>
      <c r="H61" s="37"/>
      <c r="I61" s="12"/>
      <c r="J61" s="37">
        <f t="shared" si="2"/>
        <v>187945.14285714287</v>
      </c>
      <c r="K61" s="12">
        <f t="shared" si="3"/>
        <v>106773.2</v>
      </c>
      <c r="L61" s="37"/>
      <c r="M61" s="12"/>
    </row>
    <row r="62" spans="1:13">
      <c r="A62" s="23">
        <v>14</v>
      </c>
      <c r="B62" s="37"/>
      <c r="C62" s="12"/>
      <c r="D62" s="37">
        <f t="shared" si="4"/>
        <v>187945.14285714287</v>
      </c>
      <c r="E62" s="12">
        <f t="shared" si="5"/>
        <v>106773.2</v>
      </c>
      <c r="F62" s="37"/>
      <c r="G62" s="12"/>
      <c r="H62" s="37"/>
      <c r="I62" s="12"/>
      <c r="J62" s="37">
        <f t="shared" si="2"/>
        <v>187945.14285714287</v>
      </c>
      <c r="K62" s="12">
        <f t="shared" si="3"/>
        <v>106773.2</v>
      </c>
      <c r="L62" s="37"/>
      <c r="M62" s="12"/>
    </row>
    <row r="63" spans="1:13">
      <c r="A63" s="23">
        <v>15</v>
      </c>
      <c r="B63" s="37"/>
      <c r="C63" s="12"/>
      <c r="D63" s="37">
        <f t="shared" si="4"/>
        <v>187945.14285714287</v>
      </c>
      <c r="E63" s="12">
        <f t="shared" si="5"/>
        <v>106773.2</v>
      </c>
      <c r="F63" s="37"/>
      <c r="G63" s="12"/>
      <c r="H63" s="37"/>
      <c r="I63" s="12"/>
      <c r="J63" s="37">
        <f t="shared" si="2"/>
        <v>187945.14285714287</v>
      </c>
      <c r="K63" s="12">
        <f t="shared" si="3"/>
        <v>106773.2</v>
      </c>
      <c r="L63" s="37"/>
      <c r="M63" s="12"/>
    </row>
    <row r="64" spans="1:13">
      <c r="A64" s="23">
        <v>16</v>
      </c>
      <c r="B64" s="37"/>
      <c r="C64" s="12"/>
      <c r="D64" s="37">
        <f t="shared" si="4"/>
        <v>187945.14285714287</v>
      </c>
      <c r="E64" s="12">
        <f t="shared" si="5"/>
        <v>106773.2</v>
      </c>
      <c r="F64" s="37"/>
      <c r="G64" s="12"/>
      <c r="H64" s="37"/>
      <c r="I64" s="12"/>
      <c r="J64" s="37">
        <f t="shared" si="2"/>
        <v>187945.14285714287</v>
      </c>
      <c r="K64" s="12">
        <f t="shared" si="3"/>
        <v>106773.2</v>
      </c>
      <c r="L64" s="37"/>
      <c r="M64" s="12"/>
    </row>
    <row r="65" spans="1:13">
      <c r="A65" s="23">
        <v>17</v>
      </c>
      <c r="B65" s="37"/>
      <c r="C65" s="12"/>
      <c r="D65" s="37">
        <f t="shared" si="4"/>
        <v>187945.14285714287</v>
      </c>
      <c r="E65" s="12">
        <f t="shared" si="5"/>
        <v>106773.2</v>
      </c>
      <c r="F65" s="37"/>
      <c r="G65" s="12"/>
      <c r="H65" s="37"/>
      <c r="I65" s="12"/>
      <c r="J65" s="37">
        <f t="shared" si="2"/>
        <v>187945.14285714287</v>
      </c>
      <c r="K65" s="12">
        <f t="shared" si="3"/>
        <v>106773.2</v>
      </c>
      <c r="L65" s="37"/>
      <c r="M65" s="12"/>
    </row>
    <row r="66" spans="1:13">
      <c r="A66" s="23">
        <v>18</v>
      </c>
      <c r="B66" s="37"/>
      <c r="C66" s="12"/>
      <c r="D66" s="37">
        <f t="shared" si="4"/>
        <v>187945.14285714287</v>
      </c>
      <c r="E66" s="12">
        <f t="shared" si="5"/>
        <v>106773.2</v>
      </c>
      <c r="F66" s="37"/>
      <c r="G66" s="12"/>
      <c r="H66" s="37"/>
      <c r="I66" s="12"/>
      <c r="J66" s="37">
        <f t="shared" si="2"/>
        <v>187945.14285714287</v>
      </c>
      <c r="K66" s="12">
        <f t="shared" si="3"/>
        <v>106773.2</v>
      </c>
      <c r="L66" s="37"/>
      <c r="M66" s="12"/>
    </row>
    <row r="67" spans="1:13">
      <c r="A67" s="23">
        <v>19</v>
      </c>
      <c r="B67" s="37"/>
      <c r="C67" s="12"/>
      <c r="D67" s="37">
        <f t="shared" si="4"/>
        <v>187945.14285714287</v>
      </c>
      <c r="E67" s="12">
        <f t="shared" si="5"/>
        <v>106773.2</v>
      </c>
      <c r="F67" s="37"/>
      <c r="G67" s="12"/>
      <c r="H67" s="37"/>
      <c r="I67" s="12"/>
      <c r="J67" s="37">
        <f t="shared" si="2"/>
        <v>187945.14285714287</v>
      </c>
      <c r="K67" s="12">
        <f t="shared" si="3"/>
        <v>106773.2</v>
      </c>
      <c r="L67" s="37"/>
      <c r="M67" s="12"/>
    </row>
    <row r="68" spans="1:13">
      <c r="A68" s="23">
        <v>20</v>
      </c>
      <c r="B68" s="37"/>
      <c r="C68" s="12"/>
      <c r="D68" s="37">
        <f t="shared" si="4"/>
        <v>187945.14285714287</v>
      </c>
      <c r="E68" s="12">
        <f t="shared" si="5"/>
        <v>106773.2</v>
      </c>
      <c r="F68" s="37"/>
      <c r="G68" s="12"/>
      <c r="H68" s="37"/>
      <c r="I68" s="12"/>
      <c r="J68" s="37">
        <f t="shared" si="2"/>
        <v>187945.14285714287</v>
      </c>
      <c r="K68" s="12">
        <f t="shared" si="3"/>
        <v>106773.2</v>
      </c>
      <c r="L68" s="37"/>
      <c r="M68" s="12"/>
    </row>
    <row r="69" spans="1:13">
      <c r="A69" s="23">
        <v>21</v>
      </c>
      <c r="B69" s="37"/>
      <c r="C69" s="12"/>
      <c r="D69" s="37">
        <f t="shared" si="4"/>
        <v>187945.14285714287</v>
      </c>
      <c r="E69" s="12"/>
      <c r="F69" s="37"/>
      <c r="G69" s="12">
        <f>L$32/17</f>
        <v>198891.23529411765</v>
      </c>
      <c r="H69" s="37"/>
      <c r="I69" s="12"/>
      <c r="J69" s="37">
        <f t="shared" si="2"/>
        <v>187945.14285714287</v>
      </c>
      <c r="K69" s="12">
        <f t="shared" si="3"/>
        <v>198891.23529411765</v>
      </c>
      <c r="L69" s="37"/>
      <c r="M69" s="12"/>
    </row>
    <row r="70" spans="1:13">
      <c r="A70" s="23">
        <v>22</v>
      </c>
      <c r="B70" s="37"/>
      <c r="C70" s="12"/>
      <c r="D70" s="37">
        <f t="shared" si="4"/>
        <v>187945.14285714287</v>
      </c>
      <c r="E70" s="12"/>
      <c r="F70" s="37"/>
      <c r="G70" s="12">
        <f t="shared" ref="G70:G85" si="6">L$32/17</f>
        <v>198891.23529411765</v>
      </c>
      <c r="H70" s="37"/>
      <c r="I70" s="12"/>
      <c r="J70" s="37">
        <f t="shared" si="2"/>
        <v>187945.14285714287</v>
      </c>
      <c r="K70" s="12">
        <f t="shared" si="3"/>
        <v>198891.23529411765</v>
      </c>
      <c r="L70" s="37"/>
      <c r="M70" s="12"/>
    </row>
    <row r="71" spans="1:13">
      <c r="A71" s="23">
        <v>23</v>
      </c>
      <c r="B71" s="37"/>
      <c r="C71" s="12"/>
      <c r="D71" s="37"/>
      <c r="E71" s="12"/>
      <c r="F71" s="37">
        <f>E$32/23</f>
        <v>362271.08695652173</v>
      </c>
      <c r="G71" s="12">
        <f t="shared" si="6"/>
        <v>198891.23529411765</v>
      </c>
      <c r="H71" s="37"/>
      <c r="I71" s="12"/>
      <c r="J71" s="37">
        <f t="shared" si="2"/>
        <v>362271.08695652173</v>
      </c>
      <c r="K71" s="12">
        <f t="shared" si="3"/>
        <v>198891.23529411765</v>
      </c>
      <c r="L71" s="37"/>
      <c r="M71" s="12"/>
    </row>
    <row r="72" spans="1:13">
      <c r="A72" s="23">
        <v>24</v>
      </c>
      <c r="B72" s="37"/>
      <c r="C72" s="12"/>
      <c r="D72" s="37"/>
      <c r="E72" s="12"/>
      <c r="F72" s="37">
        <f t="shared" ref="F72:F103" si="7">E$32/23</f>
        <v>362271.08695652173</v>
      </c>
      <c r="G72" s="12">
        <f t="shared" si="6"/>
        <v>198891.23529411765</v>
      </c>
      <c r="H72" s="37"/>
      <c r="I72" s="12"/>
      <c r="J72" s="37">
        <f t="shared" si="2"/>
        <v>362271.08695652173</v>
      </c>
      <c r="K72" s="12">
        <f t="shared" si="3"/>
        <v>198891.23529411765</v>
      </c>
      <c r="L72" s="37">
        <f>SUM(J61:J72)</f>
        <v>2603993.6024844721</v>
      </c>
      <c r="M72" s="12">
        <f>SUM(K61:K72)</f>
        <v>1649750.5411764702</v>
      </c>
    </row>
    <row r="73" spans="1:13">
      <c r="A73" s="35">
        <v>25</v>
      </c>
      <c r="B73" s="37"/>
      <c r="C73" s="12"/>
      <c r="D73" s="37"/>
      <c r="E73" s="12"/>
      <c r="F73" s="37">
        <f t="shared" si="7"/>
        <v>362271.08695652173</v>
      </c>
      <c r="G73" s="12">
        <f t="shared" si="6"/>
        <v>198891.23529411765</v>
      </c>
      <c r="H73" s="37"/>
      <c r="I73" s="12"/>
      <c r="J73" s="37">
        <f t="shared" si="2"/>
        <v>362271.08695652173</v>
      </c>
      <c r="K73" s="12">
        <f t="shared" si="3"/>
        <v>198891.23529411765</v>
      </c>
      <c r="L73" s="37"/>
      <c r="M73" s="12"/>
    </row>
    <row r="74" spans="1:13">
      <c r="A74" s="35">
        <v>26</v>
      </c>
      <c r="B74" s="37"/>
      <c r="C74" s="12"/>
      <c r="D74" s="37"/>
      <c r="E74" s="12"/>
      <c r="F74" s="37">
        <f t="shared" si="7"/>
        <v>362271.08695652173</v>
      </c>
      <c r="G74" s="12">
        <f t="shared" si="6"/>
        <v>198891.23529411765</v>
      </c>
      <c r="H74" s="37"/>
      <c r="I74" s="12"/>
      <c r="J74" s="37">
        <f t="shared" si="2"/>
        <v>362271.08695652173</v>
      </c>
      <c r="K74" s="12">
        <f t="shared" si="3"/>
        <v>198891.23529411765</v>
      </c>
      <c r="L74" s="37"/>
      <c r="M74" s="12"/>
    </row>
    <row r="75" spans="1:13">
      <c r="A75" s="35">
        <v>27</v>
      </c>
      <c r="B75" s="37"/>
      <c r="C75" s="12"/>
      <c r="D75" s="37"/>
      <c r="E75" s="12"/>
      <c r="F75" s="37">
        <f t="shared" si="7"/>
        <v>362271.08695652173</v>
      </c>
      <c r="G75" s="12">
        <f t="shared" si="6"/>
        <v>198891.23529411765</v>
      </c>
      <c r="H75" s="37"/>
      <c r="I75" s="12"/>
      <c r="J75" s="37">
        <f t="shared" si="2"/>
        <v>362271.08695652173</v>
      </c>
      <c r="K75" s="12">
        <f t="shared" si="3"/>
        <v>198891.23529411765</v>
      </c>
      <c r="L75" s="37"/>
      <c r="M75" s="12"/>
    </row>
    <row r="76" spans="1:13">
      <c r="A76" s="35">
        <v>28</v>
      </c>
      <c r="B76" s="37"/>
      <c r="C76" s="12"/>
      <c r="D76" s="37"/>
      <c r="E76" s="12"/>
      <c r="F76" s="37">
        <f t="shared" si="7"/>
        <v>362271.08695652173</v>
      </c>
      <c r="G76" s="12">
        <f t="shared" si="6"/>
        <v>198891.23529411765</v>
      </c>
      <c r="H76" s="37"/>
      <c r="I76" s="12"/>
      <c r="J76" s="37">
        <f t="shared" si="2"/>
        <v>362271.08695652173</v>
      </c>
      <c r="K76" s="12">
        <f t="shared" si="3"/>
        <v>198891.23529411765</v>
      </c>
      <c r="L76" s="37"/>
      <c r="M76" s="12"/>
    </row>
    <row r="77" spans="1:13">
      <c r="A77" s="35">
        <v>29</v>
      </c>
      <c r="B77" s="37"/>
      <c r="C77" s="12"/>
      <c r="D77" s="37"/>
      <c r="E77" s="12"/>
      <c r="F77" s="37">
        <f t="shared" si="7"/>
        <v>362271.08695652173</v>
      </c>
      <c r="G77" s="12">
        <f t="shared" si="6"/>
        <v>198891.23529411765</v>
      </c>
      <c r="H77" s="37"/>
      <c r="I77" s="12"/>
      <c r="J77" s="37">
        <f t="shared" si="2"/>
        <v>362271.08695652173</v>
      </c>
      <c r="K77" s="12">
        <f t="shared" si="3"/>
        <v>198891.23529411765</v>
      </c>
      <c r="L77" s="37"/>
      <c r="M77" s="12"/>
    </row>
    <row r="78" spans="1:13">
      <c r="A78" s="35">
        <v>30</v>
      </c>
      <c r="B78" s="37"/>
      <c r="C78" s="12"/>
      <c r="D78" s="37"/>
      <c r="E78" s="12"/>
      <c r="F78" s="37">
        <f t="shared" si="7"/>
        <v>362271.08695652173</v>
      </c>
      <c r="G78" s="12">
        <f t="shared" si="6"/>
        <v>198891.23529411765</v>
      </c>
      <c r="H78" s="37"/>
      <c r="I78" s="12"/>
      <c r="J78" s="37">
        <f t="shared" si="2"/>
        <v>362271.08695652173</v>
      </c>
      <c r="K78" s="12">
        <f t="shared" si="3"/>
        <v>198891.23529411765</v>
      </c>
      <c r="L78" s="37"/>
      <c r="M78" s="12"/>
    </row>
    <row r="79" spans="1:13">
      <c r="A79" s="35">
        <v>31</v>
      </c>
      <c r="B79" s="37"/>
      <c r="C79" s="12"/>
      <c r="D79" s="37"/>
      <c r="E79" s="12"/>
      <c r="F79" s="37">
        <f t="shared" si="7"/>
        <v>362271.08695652173</v>
      </c>
      <c r="G79" s="12">
        <f t="shared" si="6"/>
        <v>198891.23529411765</v>
      </c>
      <c r="H79" s="37"/>
      <c r="I79" s="12"/>
      <c r="J79" s="37">
        <f t="shared" si="2"/>
        <v>362271.08695652173</v>
      </c>
      <c r="K79" s="12">
        <f t="shared" si="3"/>
        <v>198891.23529411765</v>
      </c>
      <c r="L79" s="37"/>
      <c r="M79" s="12"/>
    </row>
    <row r="80" spans="1:13">
      <c r="A80" s="35">
        <v>32</v>
      </c>
      <c r="B80" s="37"/>
      <c r="C80" s="12"/>
      <c r="D80" s="37"/>
      <c r="E80" s="12"/>
      <c r="F80" s="37">
        <f t="shared" si="7"/>
        <v>362271.08695652173</v>
      </c>
      <c r="G80" s="12">
        <f t="shared" si="6"/>
        <v>198891.23529411765</v>
      </c>
      <c r="H80" s="37"/>
      <c r="I80" s="12"/>
      <c r="J80" s="37">
        <f t="shared" si="2"/>
        <v>362271.08695652173</v>
      </c>
      <c r="K80" s="12">
        <f t="shared" si="3"/>
        <v>198891.23529411765</v>
      </c>
      <c r="L80" s="37"/>
      <c r="M80" s="12"/>
    </row>
    <row r="81" spans="1:13">
      <c r="A81" s="35">
        <v>33</v>
      </c>
      <c r="B81" s="37"/>
      <c r="C81" s="12"/>
      <c r="D81" s="37"/>
      <c r="E81" s="12"/>
      <c r="F81" s="37">
        <f t="shared" si="7"/>
        <v>362271.08695652173</v>
      </c>
      <c r="G81" s="12">
        <f t="shared" si="6"/>
        <v>198891.23529411765</v>
      </c>
      <c r="H81" s="37"/>
      <c r="I81" s="12"/>
      <c r="J81" s="37">
        <f t="shared" si="2"/>
        <v>362271.08695652173</v>
      </c>
      <c r="K81" s="12">
        <f t="shared" si="3"/>
        <v>198891.23529411765</v>
      </c>
      <c r="L81" s="37"/>
      <c r="M81" s="12"/>
    </row>
    <row r="82" spans="1:13">
      <c r="A82" s="35">
        <v>34</v>
      </c>
      <c r="B82" s="37"/>
      <c r="C82" s="12"/>
      <c r="D82" s="37"/>
      <c r="E82" s="12"/>
      <c r="F82" s="37">
        <f t="shared" si="7"/>
        <v>362271.08695652173</v>
      </c>
      <c r="G82" s="12">
        <f t="shared" si="6"/>
        <v>198891.23529411765</v>
      </c>
      <c r="H82" s="37"/>
      <c r="I82" s="12"/>
      <c r="J82" s="37">
        <f t="shared" si="2"/>
        <v>362271.08695652173</v>
      </c>
      <c r="K82" s="12">
        <f t="shared" si="3"/>
        <v>198891.23529411765</v>
      </c>
      <c r="L82" s="37"/>
      <c r="M82" s="12"/>
    </row>
    <row r="83" spans="1:13">
      <c r="A83" s="35">
        <v>35</v>
      </c>
      <c r="B83" s="37"/>
      <c r="C83" s="12"/>
      <c r="D83" s="37"/>
      <c r="E83" s="12"/>
      <c r="F83" s="37">
        <f t="shared" si="7"/>
        <v>362271.08695652173</v>
      </c>
      <c r="G83" s="12">
        <f t="shared" si="6"/>
        <v>198891.23529411765</v>
      </c>
      <c r="H83" s="37"/>
      <c r="I83" s="12"/>
      <c r="J83" s="37">
        <f t="shared" si="2"/>
        <v>362271.08695652173</v>
      </c>
      <c r="K83" s="12">
        <f t="shared" si="3"/>
        <v>198891.23529411765</v>
      </c>
      <c r="L83" s="37"/>
      <c r="M83" s="12"/>
    </row>
    <row r="84" spans="1:13">
      <c r="A84" s="35">
        <v>36</v>
      </c>
      <c r="B84" s="37"/>
      <c r="C84" s="12"/>
      <c r="D84" s="37"/>
      <c r="E84" s="12"/>
      <c r="F84" s="37">
        <f t="shared" si="7"/>
        <v>362271.08695652173</v>
      </c>
      <c r="G84" s="12">
        <f t="shared" si="6"/>
        <v>198891.23529411765</v>
      </c>
      <c r="H84" s="37"/>
      <c r="I84" s="12"/>
      <c r="J84" s="37">
        <f t="shared" si="2"/>
        <v>362271.08695652173</v>
      </c>
      <c r="K84" s="12">
        <f t="shared" si="3"/>
        <v>198891.23529411765</v>
      </c>
      <c r="L84" s="37">
        <f>SUM(J73:J84)</f>
        <v>4347253.0434782598</v>
      </c>
      <c r="M84" s="12">
        <f>SUM(K73:K84)</f>
        <v>2386694.8235294116</v>
      </c>
    </row>
    <row r="85" spans="1:13">
      <c r="A85" s="23">
        <v>37</v>
      </c>
      <c r="B85" s="37"/>
      <c r="C85" s="12"/>
      <c r="D85" s="37"/>
      <c r="E85" s="12"/>
      <c r="F85" s="37">
        <f t="shared" si="7"/>
        <v>362271.08695652173</v>
      </c>
      <c r="G85" s="12">
        <f t="shared" si="6"/>
        <v>198891.23529411765</v>
      </c>
      <c r="H85" s="37"/>
      <c r="I85" s="12"/>
      <c r="J85" s="37">
        <f t="shared" si="2"/>
        <v>362271.08695652173</v>
      </c>
      <c r="K85" s="12">
        <f t="shared" si="3"/>
        <v>198891.23529411765</v>
      </c>
      <c r="L85" s="37"/>
      <c r="M85" s="12"/>
    </row>
    <row r="86" spans="1:13">
      <c r="A86" s="23">
        <v>38</v>
      </c>
      <c r="B86" s="37"/>
      <c r="C86" s="12"/>
      <c r="D86" s="37"/>
      <c r="E86" s="12"/>
      <c r="F86" s="37">
        <f t="shared" si="7"/>
        <v>362271.08695652173</v>
      </c>
      <c r="G86" s="12"/>
      <c r="H86" s="37"/>
      <c r="I86" s="12">
        <f>0.25*4448883/12</f>
        <v>92685.0625</v>
      </c>
      <c r="J86" s="37">
        <f t="shared" si="2"/>
        <v>362271.08695652173</v>
      </c>
      <c r="K86" s="12">
        <f t="shared" si="3"/>
        <v>92685.0625</v>
      </c>
      <c r="L86" s="37"/>
      <c r="M86" s="12"/>
    </row>
    <row r="87" spans="1:13">
      <c r="A87" s="23">
        <v>39</v>
      </c>
      <c r="B87" s="37"/>
      <c r="C87" s="12"/>
      <c r="D87" s="37"/>
      <c r="E87" s="12"/>
      <c r="F87" s="37">
        <f t="shared" si="7"/>
        <v>362271.08695652173</v>
      </c>
      <c r="G87" s="12"/>
      <c r="H87" s="37"/>
      <c r="I87" s="12">
        <f t="shared" ref="I87:I120" si="8">0.25*4448883/12</f>
        <v>92685.0625</v>
      </c>
      <c r="J87" s="37">
        <f t="shared" si="2"/>
        <v>362271.08695652173</v>
      </c>
      <c r="K87" s="12">
        <f t="shared" si="3"/>
        <v>92685.0625</v>
      </c>
      <c r="L87" s="37"/>
      <c r="M87" s="12"/>
    </row>
    <row r="88" spans="1:13">
      <c r="A88" s="23">
        <v>40</v>
      </c>
      <c r="B88" s="37"/>
      <c r="C88" s="12"/>
      <c r="D88" s="37"/>
      <c r="E88" s="12"/>
      <c r="F88" s="37">
        <f t="shared" si="7"/>
        <v>362271.08695652173</v>
      </c>
      <c r="G88" s="12"/>
      <c r="H88" s="37"/>
      <c r="I88" s="12">
        <f t="shared" si="8"/>
        <v>92685.0625</v>
      </c>
      <c r="J88" s="37">
        <f t="shared" si="2"/>
        <v>362271.08695652173</v>
      </c>
      <c r="K88" s="12">
        <f t="shared" si="3"/>
        <v>92685.0625</v>
      </c>
      <c r="L88" s="37"/>
      <c r="M88" s="12"/>
    </row>
    <row r="89" spans="1:13">
      <c r="A89" s="23">
        <v>41</v>
      </c>
      <c r="B89" s="37"/>
      <c r="C89" s="12"/>
      <c r="D89" s="37"/>
      <c r="E89" s="12"/>
      <c r="F89" s="37">
        <f t="shared" si="7"/>
        <v>362271.08695652173</v>
      </c>
      <c r="G89" s="12"/>
      <c r="H89" s="37"/>
      <c r="I89" s="12">
        <f t="shared" si="8"/>
        <v>92685.0625</v>
      </c>
      <c r="J89" s="37">
        <f t="shared" si="2"/>
        <v>362271.08695652173</v>
      </c>
      <c r="K89" s="12">
        <f t="shared" si="3"/>
        <v>92685.0625</v>
      </c>
      <c r="L89" s="37"/>
      <c r="M89" s="12"/>
    </row>
    <row r="90" spans="1:13">
      <c r="A90" s="23">
        <v>42</v>
      </c>
      <c r="B90" s="37"/>
      <c r="C90" s="12"/>
      <c r="D90" s="37"/>
      <c r="E90" s="12"/>
      <c r="F90" s="37">
        <f t="shared" si="7"/>
        <v>362271.08695652173</v>
      </c>
      <c r="G90" s="12"/>
      <c r="H90" s="37"/>
      <c r="I90" s="12">
        <f t="shared" si="8"/>
        <v>92685.0625</v>
      </c>
      <c r="J90" s="37">
        <f t="shared" si="2"/>
        <v>362271.08695652173</v>
      </c>
      <c r="K90" s="12">
        <f t="shared" si="3"/>
        <v>92685.0625</v>
      </c>
      <c r="L90" s="37"/>
      <c r="M90" s="12"/>
    </row>
    <row r="91" spans="1:13">
      <c r="A91" s="23">
        <v>43</v>
      </c>
      <c r="B91" s="37"/>
      <c r="C91" s="12"/>
      <c r="D91" s="37"/>
      <c r="E91" s="12"/>
      <c r="F91" s="37">
        <f t="shared" si="7"/>
        <v>362271.08695652173</v>
      </c>
      <c r="G91" s="12"/>
      <c r="H91" s="37"/>
      <c r="I91" s="12">
        <f t="shared" si="8"/>
        <v>92685.0625</v>
      </c>
      <c r="J91" s="37">
        <f t="shared" si="2"/>
        <v>362271.08695652173</v>
      </c>
      <c r="K91" s="12">
        <f t="shared" si="3"/>
        <v>92685.0625</v>
      </c>
      <c r="L91" s="37"/>
      <c r="M91" s="12"/>
    </row>
    <row r="92" spans="1:13">
      <c r="A92" s="23">
        <v>44</v>
      </c>
      <c r="B92" s="37"/>
      <c r="C92" s="12"/>
      <c r="D92" s="37"/>
      <c r="E92" s="12"/>
      <c r="F92" s="37">
        <f t="shared" si="7"/>
        <v>362271.08695652173</v>
      </c>
      <c r="G92" s="12"/>
      <c r="H92" s="37"/>
      <c r="I92" s="12">
        <f t="shared" si="8"/>
        <v>92685.0625</v>
      </c>
      <c r="J92" s="37">
        <f t="shared" si="2"/>
        <v>362271.08695652173</v>
      </c>
      <c r="K92" s="12">
        <f t="shared" si="3"/>
        <v>92685.0625</v>
      </c>
      <c r="L92" s="37"/>
      <c r="M92" s="12"/>
    </row>
    <row r="93" spans="1:13">
      <c r="A93" s="23">
        <v>45</v>
      </c>
      <c r="B93" s="37"/>
      <c r="C93" s="12"/>
      <c r="D93" s="37"/>
      <c r="E93" s="12"/>
      <c r="F93" s="37">
        <f t="shared" si="7"/>
        <v>362271.08695652173</v>
      </c>
      <c r="G93" s="12"/>
      <c r="H93" s="37"/>
      <c r="I93" s="12">
        <f t="shared" si="8"/>
        <v>92685.0625</v>
      </c>
      <c r="J93" s="37">
        <f t="shared" si="2"/>
        <v>362271.08695652173</v>
      </c>
      <c r="K93" s="12">
        <f t="shared" si="3"/>
        <v>92685.0625</v>
      </c>
      <c r="L93" s="37"/>
      <c r="M93" s="12"/>
    </row>
    <row r="94" spans="1:13">
      <c r="A94" s="23">
        <v>46</v>
      </c>
      <c r="B94" s="37"/>
      <c r="C94" s="12"/>
      <c r="D94" s="37"/>
      <c r="E94" s="12"/>
      <c r="F94" s="37"/>
      <c r="G94" s="12"/>
      <c r="H94" s="37">
        <f>10963467*0.25/12</f>
        <v>228405.5625</v>
      </c>
      <c r="I94" s="12">
        <f t="shared" si="8"/>
        <v>92685.0625</v>
      </c>
      <c r="J94" s="37">
        <f t="shared" si="2"/>
        <v>228405.5625</v>
      </c>
      <c r="K94" s="12">
        <f t="shared" si="3"/>
        <v>92685.0625</v>
      </c>
      <c r="L94" s="37"/>
      <c r="M94" s="12"/>
    </row>
    <row r="95" spans="1:13">
      <c r="A95" s="23">
        <v>47</v>
      </c>
      <c r="B95" s="37"/>
      <c r="C95" s="12"/>
      <c r="D95" s="37"/>
      <c r="E95" s="12"/>
      <c r="F95" s="37"/>
      <c r="G95" s="12"/>
      <c r="H95" s="37">
        <f t="shared" ref="H95:H120" si="9">10963467*0.25/12</f>
        <v>228405.5625</v>
      </c>
      <c r="I95" s="12">
        <f t="shared" si="8"/>
        <v>92685.0625</v>
      </c>
      <c r="J95" s="37">
        <f t="shared" si="2"/>
        <v>228405.5625</v>
      </c>
      <c r="K95" s="12">
        <f t="shared" si="3"/>
        <v>92685.0625</v>
      </c>
      <c r="L95" s="37"/>
      <c r="M95" s="12"/>
    </row>
    <row r="96" spans="1:13">
      <c r="A96" s="23">
        <v>48</v>
      </c>
      <c r="B96" s="37"/>
      <c r="C96" s="12"/>
      <c r="D96" s="37"/>
      <c r="E96" s="12"/>
      <c r="F96" s="37"/>
      <c r="G96" s="12"/>
      <c r="H96" s="37">
        <f t="shared" si="9"/>
        <v>228405.5625</v>
      </c>
      <c r="I96" s="12">
        <f t="shared" si="8"/>
        <v>92685.0625</v>
      </c>
      <c r="J96" s="37">
        <f t="shared" si="2"/>
        <v>228405.5625</v>
      </c>
      <c r="K96" s="12">
        <f t="shared" si="3"/>
        <v>92685.0625</v>
      </c>
      <c r="L96" s="37">
        <f>SUM(J85:J96)</f>
        <v>3945656.4701086953</v>
      </c>
      <c r="M96" s="12">
        <f>SUM(K85:K96)</f>
        <v>1218426.9227941176</v>
      </c>
    </row>
    <row r="97" spans="1:13">
      <c r="A97" s="35">
        <v>49</v>
      </c>
      <c r="B97" s="37"/>
      <c r="C97" s="12"/>
      <c r="D97" s="37"/>
      <c r="E97" s="12"/>
      <c r="F97" s="37"/>
      <c r="G97" s="12"/>
      <c r="H97" s="37">
        <f t="shared" si="9"/>
        <v>228405.5625</v>
      </c>
      <c r="I97" s="12">
        <f t="shared" si="8"/>
        <v>92685.0625</v>
      </c>
      <c r="J97" s="37">
        <f t="shared" si="2"/>
        <v>228405.5625</v>
      </c>
      <c r="K97" s="12">
        <f t="shared" si="3"/>
        <v>92685.0625</v>
      </c>
      <c r="L97" s="37"/>
      <c r="M97" s="12"/>
    </row>
    <row r="98" spans="1:13">
      <c r="A98" s="35">
        <v>50</v>
      </c>
      <c r="B98" s="37"/>
      <c r="C98" s="12"/>
      <c r="D98" s="37"/>
      <c r="E98" s="12"/>
      <c r="F98" s="37"/>
      <c r="G98" s="12"/>
      <c r="H98" s="37">
        <f t="shared" si="9"/>
        <v>228405.5625</v>
      </c>
      <c r="I98" s="12">
        <f t="shared" si="8"/>
        <v>92685.0625</v>
      </c>
      <c r="J98" s="37">
        <f t="shared" si="2"/>
        <v>228405.5625</v>
      </c>
      <c r="K98" s="12">
        <f t="shared" si="3"/>
        <v>92685.0625</v>
      </c>
      <c r="L98" s="37"/>
      <c r="M98" s="12"/>
    </row>
    <row r="99" spans="1:13">
      <c r="A99" s="35">
        <v>51</v>
      </c>
      <c r="B99" s="37"/>
      <c r="C99" s="12"/>
      <c r="D99" s="37"/>
      <c r="E99" s="12"/>
      <c r="F99" s="37"/>
      <c r="G99" s="12"/>
      <c r="H99" s="37">
        <f t="shared" si="9"/>
        <v>228405.5625</v>
      </c>
      <c r="I99" s="12">
        <f t="shared" si="8"/>
        <v>92685.0625</v>
      </c>
      <c r="J99" s="37">
        <f t="shared" si="2"/>
        <v>228405.5625</v>
      </c>
      <c r="K99" s="12">
        <f t="shared" si="3"/>
        <v>92685.0625</v>
      </c>
      <c r="L99" s="37"/>
      <c r="M99" s="12"/>
    </row>
    <row r="100" spans="1:13">
      <c r="A100" s="35">
        <v>52</v>
      </c>
      <c r="B100" s="37"/>
      <c r="C100" s="12"/>
      <c r="D100" s="37"/>
      <c r="E100" s="12"/>
      <c r="F100" s="37"/>
      <c r="G100" s="12"/>
      <c r="H100" s="37">
        <f t="shared" si="9"/>
        <v>228405.5625</v>
      </c>
      <c r="I100" s="12">
        <f t="shared" si="8"/>
        <v>92685.0625</v>
      </c>
      <c r="J100" s="37">
        <f t="shared" si="2"/>
        <v>228405.5625</v>
      </c>
      <c r="K100" s="12">
        <f t="shared" si="3"/>
        <v>92685.0625</v>
      </c>
      <c r="L100" s="37"/>
      <c r="M100" s="12"/>
    </row>
    <row r="101" spans="1:13">
      <c r="A101" s="35">
        <v>53</v>
      </c>
      <c r="B101" s="37"/>
      <c r="C101" s="12"/>
      <c r="D101" s="37"/>
      <c r="E101" s="12"/>
      <c r="F101" s="37"/>
      <c r="G101" s="12"/>
      <c r="H101" s="37">
        <f t="shared" si="9"/>
        <v>228405.5625</v>
      </c>
      <c r="I101" s="12">
        <f t="shared" si="8"/>
        <v>92685.0625</v>
      </c>
      <c r="J101" s="37">
        <f t="shared" si="2"/>
        <v>228405.5625</v>
      </c>
      <c r="K101" s="12">
        <f t="shared" si="3"/>
        <v>92685.0625</v>
      </c>
      <c r="L101" s="37"/>
      <c r="M101" s="12"/>
    </row>
    <row r="102" spans="1:13">
      <c r="A102" s="35">
        <v>54</v>
      </c>
      <c r="B102" s="37"/>
      <c r="C102" s="12"/>
      <c r="D102" s="37"/>
      <c r="E102" s="12"/>
      <c r="F102" s="37"/>
      <c r="G102" s="12"/>
      <c r="H102" s="37">
        <f t="shared" si="9"/>
        <v>228405.5625</v>
      </c>
      <c r="I102" s="12">
        <f t="shared" si="8"/>
        <v>92685.0625</v>
      </c>
      <c r="J102" s="37">
        <f t="shared" si="2"/>
        <v>228405.5625</v>
      </c>
      <c r="K102" s="12">
        <f t="shared" si="3"/>
        <v>92685.0625</v>
      </c>
      <c r="L102" s="37"/>
      <c r="M102" s="12"/>
    </row>
    <row r="103" spans="1:13">
      <c r="A103" s="35">
        <v>55</v>
      </c>
      <c r="B103" s="37"/>
      <c r="C103" s="12"/>
      <c r="D103" s="37"/>
      <c r="E103" s="12"/>
      <c r="F103" s="37"/>
      <c r="G103" s="12"/>
      <c r="H103" s="37">
        <f t="shared" si="9"/>
        <v>228405.5625</v>
      </c>
      <c r="I103" s="12">
        <f t="shared" si="8"/>
        <v>92685.0625</v>
      </c>
      <c r="J103" s="37">
        <f t="shared" si="2"/>
        <v>228405.5625</v>
      </c>
      <c r="K103" s="12">
        <f t="shared" si="3"/>
        <v>92685.0625</v>
      </c>
      <c r="L103" s="37"/>
      <c r="M103" s="12"/>
    </row>
    <row r="104" spans="1:13">
      <c r="A104" s="35">
        <v>56</v>
      </c>
      <c r="B104" s="37"/>
      <c r="C104" s="12"/>
      <c r="D104" s="37"/>
      <c r="E104" s="12"/>
      <c r="F104" s="37"/>
      <c r="G104" s="12"/>
      <c r="H104" s="37">
        <f t="shared" si="9"/>
        <v>228405.5625</v>
      </c>
      <c r="I104" s="12">
        <f t="shared" si="8"/>
        <v>92685.0625</v>
      </c>
      <c r="J104" s="37">
        <f t="shared" si="2"/>
        <v>228405.5625</v>
      </c>
      <c r="K104" s="12">
        <f t="shared" si="3"/>
        <v>92685.0625</v>
      </c>
      <c r="L104" s="37"/>
      <c r="M104" s="12"/>
    </row>
    <row r="105" spans="1:13">
      <c r="A105" s="35">
        <v>57</v>
      </c>
      <c r="B105" s="37"/>
      <c r="C105" s="12"/>
      <c r="D105" s="37"/>
      <c r="E105" s="12"/>
      <c r="F105" s="37"/>
      <c r="G105" s="12"/>
      <c r="H105" s="37">
        <f t="shared" si="9"/>
        <v>228405.5625</v>
      </c>
      <c r="I105" s="12">
        <f t="shared" si="8"/>
        <v>92685.0625</v>
      </c>
      <c r="J105" s="37">
        <f t="shared" si="2"/>
        <v>228405.5625</v>
      </c>
      <c r="K105" s="12">
        <f t="shared" si="3"/>
        <v>92685.0625</v>
      </c>
      <c r="L105" s="37"/>
      <c r="M105" s="12"/>
    </row>
    <row r="106" spans="1:13">
      <c r="A106" s="35">
        <v>58</v>
      </c>
      <c r="B106" s="37"/>
      <c r="C106" s="12"/>
      <c r="D106" s="37"/>
      <c r="E106" s="12"/>
      <c r="F106" s="37"/>
      <c r="G106" s="12"/>
      <c r="H106" s="37">
        <f t="shared" si="9"/>
        <v>228405.5625</v>
      </c>
      <c r="I106" s="12">
        <f t="shared" si="8"/>
        <v>92685.0625</v>
      </c>
      <c r="J106" s="37">
        <f t="shared" si="2"/>
        <v>228405.5625</v>
      </c>
      <c r="K106" s="12">
        <f t="shared" si="3"/>
        <v>92685.0625</v>
      </c>
      <c r="L106" s="37"/>
      <c r="M106" s="12"/>
    </row>
    <row r="107" spans="1:13">
      <c r="A107" s="35">
        <v>59</v>
      </c>
      <c r="B107" s="37"/>
      <c r="C107" s="12"/>
      <c r="D107" s="37"/>
      <c r="E107" s="12"/>
      <c r="F107" s="37"/>
      <c r="G107" s="12"/>
      <c r="H107" s="37">
        <f t="shared" si="9"/>
        <v>228405.5625</v>
      </c>
      <c r="I107" s="12">
        <f t="shared" si="8"/>
        <v>92685.0625</v>
      </c>
      <c r="J107" s="37">
        <f t="shared" si="2"/>
        <v>228405.5625</v>
      </c>
      <c r="K107" s="12">
        <f t="shared" si="3"/>
        <v>92685.0625</v>
      </c>
      <c r="L107" s="37"/>
      <c r="M107" s="12"/>
    </row>
    <row r="108" spans="1:13">
      <c r="A108" s="35">
        <v>60</v>
      </c>
      <c r="B108" s="37"/>
      <c r="C108" s="12"/>
      <c r="D108" s="37"/>
      <c r="E108" s="12"/>
      <c r="F108" s="37"/>
      <c r="G108" s="12"/>
      <c r="H108" s="37">
        <f t="shared" si="9"/>
        <v>228405.5625</v>
      </c>
      <c r="I108" s="12">
        <f t="shared" si="8"/>
        <v>92685.0625</v>
      </c>
      <c r="J108" s="37">
        <f t="shared" si="2"/>
        <v>228405.5625</v>
      </c>
      <c r="K108" s="12">
        <f t="shared" si="3"/>
        <v>92685.0625</v>
      </c>
      <c r="L108" s="37">
        <f>SUM(J97:J108)</f>
        <v>2740866.75</v>
      </c>
      <c r="M108" s="12">
        <f>SUM(K97:K108)</f>
        <v>1112220.75</v>
      </c>
    </row>
    <row r="109" spans="1:13">
      <c r="A109" s="35">
        <v>61</v>
      </c>
      <c r="B109" s="37"/>
      <c r="D109" s="37"/>
      <c r="F109" s="37"/>
      <c r="H109" s="37">
        <f t="shared" si="9"/>
        <v>228405.5625</v>
      </c>
      <c r="I109" s="12">
        <f t="shared" si="8"/>
        <v>92685.0625</v>
      </c>
      <c r="J109" s="37">
        <f t="shared" si="2"/>
        <v>228405.5625</v>
      </c>
      <c r="K109" s="12">
        <f t="shared" si="3"/>
        <v>92685.0625</v>
      </c>
      <c r="L109" s="37"/>
    </row>
    <row r="110" spans="1:13">
      <c r="A110" s="35">
        <v>62</v>
      </c>
      <c r="B110" s="37"/>
      <c r="D110" s="37"/>
      <c r="F110" s="37"/>
      <c r="H110" s="37">
        <f t="shared" si="9"/>
        <v>228405.5625</v>
      </c>
      <c r="I110" s="12">
        <f t="shared" si="8"/>
        <v>92685.0625</v>
      </c>
      <c r="J110" s="37">
        <f t="shared" si="2"/>
        <v>228405.5625</v>
      </c>
      <c r="K110" s="12">
        <f t="shared" si="3"/>
        <v>92685.0625</v>
      </c>
      <c r="L110" s="37"/>
    </row>
    <row r="111" spans="1:13">
      <c r="A111" s="35">
        <v>63</v>
      </c>
      <c r="B111" s="37"/>
      <c r="D111" s="37"/>
      <c r="F111" s="37"/>
      <c r="H111" s="37">
        <f t="shared" si="9"/>
        <v>228405.5625</v>
      </c>
      <c r="I111" s="12">
        <f t="shared" si="8"/>
        <v>92685.0625</v>
      </c>
      <c r="J111" s="37">
        <f t="shared" si="2"/>
        <v>228405.5625</v>
      </c>
      <c r="K111" s="12">
        <f t="shared" si="3"/>
        <v>92685.0625</v>
      </c>
      <c r="L111" s="37"/>
    </row>
    <row r="112" spans="1:13">
      <c r="A112" s="35">
        <v>64</v>
      </c>
      <c r="B112" s="37"/>
      <c r="D112" s="37"/>
      <c r="F112" s="37"/>
      <c r="H112" s="37">
        <f t="shared" si="9"/>
        <v>228405.5625</v>
      </c>
      <c r="I112" s="12">
        <f t="shared" si="8"/>
        <v>92685.0625</v>
      </c>
      <c r="J112" s="37">
        <f t="shared" si="2"/>
        <v>228405.5625</v>
      </c>
      <c r="K112" s="12">
        <f t="shared" si="3"/>
        <v>92685.0625</v>
      </c>
      <c r="L112" s="37"/>
    </row>
    <row r="113" spans="1:13">
      <c r="A113" s="35">
        <v>65</v>
      </c>
      <c r="B113" s="37"/>
      <c r="D113" s="37"/>
      <c r="F113" s="37"/>
      <c r="H113" s="37">
        <f t="shared" si="9"/>
        <v>228405.5625</v>
      </c>
      <c r="I113" s="12">
        <f t="shared" si="8"/>
        <v>92685.0625</v>
      </c>
      <c r="J113" s="37">
        <f t="shared" si="2"/>
        <v>228405.5625</v>
      </c>
      <c r="K113" s="12">
        <f t="shared" si="3"/>
        <v>92685.0625</v>
      </c>
      <c r="L113" s="37"/>
    </row>
    <row r="114" spans="1:13">
      <c r="A114" s="35">
        <v>66</v>
      </c>
      <c r="B114" s="37"/>
      <c r="D114" s="37"/>
      <c r="F114" s="37"/>
      <c r="H114" s="37">
        <f t="shared" si="9"/>
        <v>228405.5625</v>
      </c>
      <c r="I114" s="12">
        <f t="shared" si="8"/>
        <v>92685.0625</v>
      </c>
      <c r="J114" s="37">
        <f t="shared" ref="J114:K120" si="10">B114+D114+F114+H114</f>
        <v>228405.5625</v>
      </c>
      <c r="K114" s="12">
        <f t="shared" si="10"/>
        <v>92685.0625</v>
      </c>
      <c r="L114" s="37"/>
    </row>
    <row r="115" spans="1:13">
      <c r="A115" s="35">
        <v>67</v>
      </c>
      <c r="B115" s="37"/>
      <c r="D115" s="37"/>
      <c r="F115" s="37"/>
      <c r="H115" s="37">
        <f t="shared" si="9"/>
        <v>228405.5625</v>
      </c>
      <c r="I115" s="12">
        <f t="shared" si="8"/>
        <v>92685.0625</v>
      </c>
      <c r="J115" s="37">
        <f t="shared" si="10"/>
        <v>228405.5625</v>
      </c>
      <c r="K115" s="12">
        <f t="shared" si="10"/>
        <v>92685.0625</v>
      </c>
      <c r="L115" s="37"/>
    </row>
    <row r="116" spans="1:13">
      <c r="A116" s="35">
        <v>68</v>
      </c>
      <c r="B116" s="37"/>
      <c r="D116" s="37"/>
      <c r="F116" s="37"/>
      <c r="H116" s="37">
        <f t="shared" si="9"/>
        <v>228405.5625</v>
      </c>
      <c r="I116" s="12">
        <f t="shared" si="8"/>
        <v>92685.0625</v>
      </c>
      <c r="J116" s="37">
        <f t="shared" si="10"/>
        <v>228405.5625</v>
      </c>
      <c r="K116" s="12">
        <f t="shared" si="10"/>
        <v>92685.0625</v>
      </c>
      <c r="L116" s="37"/>
    </row>
    <row r="117" spans="1:13">
      <c r="A117" s="35">
        <v>69</v>
      </c>
      <c r="B117" s="37"/>
      <c r="D117" s="37"/>
      <c r="F117" s="37"/>
      <c r="H117" s="37">
        <f t="shared" si="9"/>
        <v>228405.5625</v>
      </c>
      <c r="I117" s="12">
        <f t="shared" si="8"/>
        <v>92685.0625</v>
      </c>
      <c r="J117" s="37">
        <f t="shared" si="10"/>
        <v>228405.5625</v>
      </c>
      <c r="K117" s="12">
        <f t="shared" si="10"/>
        <v>92685.0625</v>
      </c>
      <c r="L117" s="37"/>
    </row>
    <row r="118" spans="1:13">
      <c r="A118" s="35">
        <v>70</v>
      </c>
      <c r="B118" s="37"/>
      <c r="D118" s="37"/>
      <c r="F118" s="37"/>
      <c r="H118" s="37">
        <f t="shared" si="9"/>
        <v>228405.5625</v>
      </c>
      <c r="I118" s="12">
        <f t="shared" si="8"/>
        <v>92685.0625</v>
      </c>
      <c r="J118" s="37">
        <f t="shared" si="10"/>
        <v>228405.5625</v>
      </c>
      <c r="K118" s="12">
        <f t="shared" si="10"/>
        <v>92685.0625</v>
      </c>
      <c r="L118" s="37"/>
    </row>
    <row r="119" spans="1:13">
      <c r="A119" s="35">
        <v>71</v>
      </c>
      <c r="B119" s="37"/>
      <c r="D119" s="37"/>
      <c r="F119" s="37"/>
      <c r="H119" s="37">
        <f t="shared" si="9"/>
        <v>228405.5625</v>
      </c>
      <c r="I119" s="12">
        <f t="shared" si="8"/>
        <v>92685.0625</v>
      </c>
      <c r="J119" s="37">
        <f t="shared" si="10"/>
        <v>228405.5625</v>
      </c>
      <c r="K119" s="12">
        <f t="shared" si="10"/>
        <v>92685.0625</v>
      </c>
      <c r="L119" s="37"/>
    </row>
    <row r="120" spans="1:13">
      <c r="A120" s="35">
        <v>72</v>
      </c>
      <c r="B120" s="37"/>
      <c r="D120" s="37"/>
      <c r="F120" s="37"/>
      <c r="H120" s="37">
        <f t="shared" si="9"/>
        <v>228405.5625</v>
      </c>
      <c r="I120" s="12">
        <f t="shared" si="8"/>
        <v>92685.0625</v>
      </c>
      <c r="J120" s="37">
        <f t="shared" si="10"/>
        <v>228405.5625</v>
      </c>
      <c r="K120" s="12">
        <f t="shared" si="10"/>
        <v>92685.0625</v>
      </c>
      <c r="L120" s="37">
        <f>SUM(J109:J120)</f>
        <v>2740866.75</v>
      </c>
      <c r="M120" s="43">
        <f>SUM(K109:K120)</f>
        <v>1112220.75</v>
      </c>
    </row>
    <row r="121" spans="1:13">
      <c r="L121" s="44">
        <f>SUM(L49:L120)</f>
        <v>18429096.1875</v>
      </c>
      <c r="M121" s="44">
        <f>SUM(M49:M120)</f>
        <v>10357698.1875</v>
      </c>
    </row>
  </sheetData>
  <mergeCells count="58">
    <mergeCell ref="D48:E48"/>
    <mergeCell ref="F48:G48"/>
    <mergeCell ref="B48:C48"/>
    <mergeCell ref="J48:K48"/>
    <mergeCell ref="L48:M48"/>
    <mergeCell ref="D47:G47"/>
    <mergeCell ref="H48:I48"/>
    <mergeCell ref="H47:I47"/>
    <mergeCell ref="I19:I20"/>
    <mergeCell ref="J19:J20"/>
    <mergeCell ref="K19:K20"/>
    <mergeCell ref="L19:L20"/>
    <mergeCell ref="I15:I16"/>
    <mergeCell ref="J15:J16"/>
    <mergeCell ref="K15:K16"/>
    <mergeCell ref="L15:L16"/>
    <mergeCell ref="H17:H18"/>
    <mergeCell ref="I17:I18"/>
    <mergeCell ref="J17:J18"/>
    <mergeCell ref="K17:K18"/>
    <mergeCell ref="L17:L18"/>
    <mergeCell ref="I11:I12"/>
    <mergeCell ref="J11:J12"/>
    <mergeCell ref="K11:K12"/>
    <mergeCell ref="L11:L12"/>
    <mergeCell ref="H13:H14"/>
    <mergeCell ref="I13:I14"/>
    <mergeCell ref="J13:J14"/>
    <mergeCell ref="K13:K14"/>
    <mergeCell ref="L13:L14"/>
    <mergeCell ref="A19:A20"/>
    <mergeCell ref="B19:B20"/>
    <mergeCell ref="C19:C20"/>
    <mergeCell ref="D19:D20"/>
    <mergeCell ref="E19:E20"/>
    <mergeCell ref="H11:H12"/>
    <mergeCell ref="H15:H16"/>
    <mergeCell ref="H19:H20"/>
    <mergeCell ref="A15:A16"/>
    <mergeCell ref="B15:B16"/>
    <mergeCell ref="C15:C16"/>
    <mergeCell ref="D15:D16"/>
    <mergeCell ref="E15:E16"/>
    <mergeCell ref="A17:A18"/>
    <mergeCell ref="B17:B18"/>
    <mergeCell ref="C17:C18"/>
    <mergeCell ref="D17:D18"/>
    <mergeCell ref="E17:E18"/>
    <mergeCell ref="A11:A12"/>
    <mergeCell ref="B11:B12"/>
    <mergeCell ref="C11:C12"/>
    <mergeCell ref="D11:D12"/>
    <mergeCell ref="E11:E12"/>
    <mergeCell ref="A13:A14"/>
    <mergeCell ref="B13:B14"/>
    <mergeCell ref="C13:C14"/>
    <mergeCell ref="D13:D14"/>
    <mergeCell ref="E13:E1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Problem 1</vt:lpstr>
      <vt:lpstr>Problem 2</vt:lpstr>
      <vt:lpstr>Problem 3</vt:lpstr>
      <vt:lpstr>Problem 4</vt:lpstr>
      <vt:lpstr>Problem 5</vt:lpstr>
      <vt:lpstr>Problem 6</vt:lpstr>
      <vt:lpstr>Problem 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Mazza</dc:creator>
  <cp:lastModifiedBy>Steve Mazza</cp:lastModifiedBy>
  <dcterms:created xsi:type="dcterms:W3CDTF">2011-12-18T13:10:19Z</dcterms:created>
  <dcterms:modified xsi:type="dcterms:W3CDTF">2011-12-19T00:43:04Z</dcterms:modified>
</cp:coreProperties>
</file>