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490" windowHeight="8190"/>
  </bookViews>
  <sheets>
    <sheet name="Relative Cost" sheetId="7" r:id="rId1"/>
    <sheet name="Stakeholder Assessment" sheetId="4" r:id="rId2"/>
    <sheet name="Swing Weights" sheetId="5" r:id="rId3"/>
    <sheet name="Value Curves" sheetId="6" r:id="rId4"/>
    <sheet name="System Value" sheetId="3" r:id="rId5"/>
    <sheet name="Sheet1" sheetId="2" r:id="rId6"/>
  </sheets>
  <calcPr calcId="125725"/>
</workbook>
</file>

<file path=xl/calcChain.xml><?xml version="1.0" encoding="utf-8"?>
<calcChain xmlns="http://schemas.openxmlformats.org/spreadsheetml/2006/main">
  <c r="L16" i="7"/>
  <c r="L12"/>
  <c r="L7"/>
  <c r="L2"/>
  <c r="C9" i="5"/>
  <c r="C8"/>
  <c r="C7"/>
  <c r="C6"/>
  <c r="C5"/>
  <c r="C4"/>
  <c r="C3"/>
  <c r="K10" i="3"/>
  <c r="U10" s="1"/>
  <c r="I10"/>
  <c r="S10" s="1"/>
  <c r="G10"/>
  <c r="Q10" s="1"/>
  <c r="K9"/>
  <c r="U9" s="1"/>
  <c r="I9"/>
  <c r="S9" s="1"/>
  <c r="G9"/>
  <c r="Q9" s="1"/>
  <c r="K8"/>
  <c r="U8" s="1"/>
  <c r="I8"/>
  <c r="S8" s="1"/>
  <c r="G8"/>
  <c r="K7"/>
  <c r="U7" s="1"/>
  <c r="I7"/>
  <c r="S7" s="1"/>
  <c r="G7"/>
  <c r="Q7" s="1"/>
  <c r="K6"/>
  <c r="U6" s="1"/>
  <c r="I6"/>
  <c r="S6" s="1"/>
  <c r="G6"/>
  <c r="Q6" s="1"/>
  <c r="E10"/>
  <c r="O10" s="1"/>
  <c r="E9"/>
  <c r="O9" s="1"/>
  <c r="E8"/>
  <c r="O8" s="1"/>
  <c r="E7"/>
  <c r="O7" s="1"/>
  <c r="E6"/>
  <c r="O6" s="1"/>
  <c r="K5"/>
  <c r="U5" s="1"/>
  <c r="I5"/>
  <c r="S5" s="1"/>
  <c r="G5"/>
  <c r="K4"/>
  <c r="U4" s="1"/>
  <c r="I4"/>
  <c r="S4" s="1"/>
  <c r="G4"/>
  <c r="Q5"/>
  <c r="E5"/>
  <c r="O5" s="1"/>
  <c r="E4"/>
  <c r="O4" s="1"/>
  <c r="Q4"/>
  <c r="E9" i="5"/>
  <c r="N10" i="3" s="1"/>
  <c r="E8" i="5"/>
  <c r="N9" i="3" s="1"/>
  <c r="E7" i="5"/>
  <c r="N8" i="3" s="1"/>
  <c r="E6" i="5"/>
  <c r="N7" i="3" s="1"/>
  <c r="E5" i="5"/>
  <c r="N6" i="3" s="1"/>
  <c r="E4" i="5"/>
  <c r="N5" i="3" s="1"/>
  <c r="E3" i="5"/>
  <c r="N4" i="3" s="1"/>
  <c r="E2" i="5"/>
  <c r="E15" i="4"/>
  <c r="D11"/>
  <c r="E11"/>
  <c r="F11"/>
  <c r="G11"/>
  <c r="H11"/>
  <c r="I11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F15"/>
  <c r="G15"/>
  <c r="H15"/>
  <c r="I15"/>
  <c r="I10"/>
  <c r="I16" s="1"/>
  <c r="H10"/>
  <c r="G10"/>
  <c r="G16" s="1"/>
  <c r="F10"/>
  <c r="F16" s="1"/>
  <c r="E10"/>
  <c r="E16" s="1"/>
  <c r="D10"/>
  <c r="C11"/>
  <c r="C12"/>
  <c r="C13"/>
  <c r="C14"/>
  <c r="C15"/>
  <c r="C10"/>
  <c r="C16" s="1"/>
  <c r="Q8" i="3"/>
  <c r="N30" i="2"/>
  <c r="N29"/>
  <c r="N28"/>
  <c r="O28" s="1"/>
  <c r="N27"/>
  <c r="O30"/>
  <c r="J30"/>
  <c r="J29"/>
  <c r="J28"/>
  <c r="J27"/>
  <c r="AC44"/>
  <c r="AD44"/>
  <c r="AE44"/>
  <c r="AC45"/>
  <c r="AD45"/>
  <c r="AE45"/>
  <c r="AC46"/>
  <c r="AD46"/>
  <c r="AE46"/>
  <c r="AC47"/>
  <c r="AD47"/>
  <c r="AE47"/>
  <c r="AC48"/>
  <c r="AD48"/>
  <c r="AE48"/>
  <c r="AC49"/>
  <c r="AD49"/>
  <c r="AE49"/>
  <c r="AB49"/>
  <c r="AB48"/>
  <c r="AB47"/>
  <c r="AB46"/>
  <c r="AB45"/>
  <c r="AB44"/>
  <c r="AC43"/>
  <c r="AD43"/>
  <c r="AD50" s="1"/>
  <c r="AE43"/>
  <c r="AB43"/>
  <c r="AB50" s="1"/>
  <c r="X40"/>
  <c r="S41" s="1"/>
  <c r="R35"/>
  <c r="R34"/>
  <c r="R33"/>
  <c r="R32"/>
  <c r="S33"/>
  <c r="S34"/>
  <c r="S35"/>
  <c r="S32"/>
  <c r="P35"/>
  <c r="Q35" s="1"/>
  <c r="P34"/>
  <c r="Q34" s="1"/>
  <c r="P33"/>
  <c r="Q33" s="1"/>
  <c r="P32"/>
  <c r="Q32" s="1"/>
  <c r="O29"/>
  <c r="O27"/>
  <c r="L30"/>
  <c r="M30" s="1"/>
  <c r="L29"/>
  <c r="M29" s="1"/>
  <c r="L28"/>
  <c r="M28" s="1"/>
  <c r="L27"/>
  <c r="M27" s="1"/>
  <c r="I30"/>
  <c r="I29"/>
  <c r="I28"/>
  <c r="I27"/>
  <c r="L15"/>
  <c r="N15"/>
  <c r="L16"/>
  <c r="N16"/>
  <c r="L17"/>
  <c r="N17"/>
  <c r="L18"/>
  <c r="N18"/>
  <c r="L19"/>
  <c r="N19"/>
  <c r="L20"/>
  <c r="N20"/>
  <c r="L21"/>
  <c r="N21"/>
  <c r="L22"/>
  <c r="N22"/>
  <c r="L23"/>
  <c r="N23"/>
  <c r="N14"/>
  <c r="N24" s="1"/>
  <c r="L14"/>
  <c r="L24" s="1"/>
  <c r="K15"/>
  <c r="K16"/>
  <c r="K17"/>
  <c r="K18"/>
  <c r="K19"/>
  <c r="K20"/>
  <c r="K21"/>
  <c r="K22"/>
  <c r="K23"/>
  <c r="K14"/>
  <c r="K24" s="1"/>
  <c r="J15"/>
  <c r="J16"/>
  <c r="J17"/>
  <c r="J18"/>
  <c r="J19"/>
  <c r="J20"/>
  <c r="J21"/>
  <c r="J22"/>
  <c r="J23"/>
  <c r="J14"/>
  <c r="J24" s="1"/>
  <c r="E24"/>
  <c r="B7"/>
  <c r="C7"/>
  <c r="D7"/>
  <c r="E7"/>
  <c r="F7"/>
  <c r="G7"/>
  <c r="H7"/>
  <c r="I7"/>
  <c r="J7"/>
  <c r="A7"/>
  <c r="D8" l="1"/>
  <c r="B10" s="1"/>
  <c r="P27"/>
  <c r="I8"/>
  <c r="B15" s="1"/>
  <c r="E8"/>
  <c r="B11" s="1"/>
  <c r="P28"/>
  <c r="K7"/>
  <c r="H8" s="1"/>
  <c r="B14" s="1"/>
  <c r="T35"/>
  <c r="T33"/>
  <c r="D16" i="4"/>
  <c r="R5" i="3"/>
  <c r="V5"/>
  <c r="P7"/>
  <c r="P9"/>
  <c r="T7"/>
  <c r="T9"/>
  <c r="P29" i="2"/>
  <c r="T32"/>
  <c r="T34"/>
  <c r="P30"/>
  <c r="R4" i="3"/>
  <c r="V4"/>
  <c r="P6"/>
  <c r="P8"/>
  <c r="P10"/>
  <c r="T6"/>
  <c r="T8"/>
  <c r="T10"/>
  <c r="V9"/>
  <c r="P5"/>
  <c r="T5"/>
  <c r="R7"/>
  <c r="R9"/>
  <c r="R10"/>
  <c r="R8"/>
  <c r="V6"/>
  <c r="R6"/>
  <c r="V10"/>
  <c r="V8"/>
  <c r="V7"/>
  <c r="P4"/>
  <c r="T4"/>
  <c r="O11"/>
  <c r="H16" i="4"/>
  <c r="I17" s="1"/>
  <c r="C17"/>
  <c r="AE50" i="2"/>
  <c r="AC50"/>
  <c r="Q41"/>
  <c r="V41"/>
  <c r="T41"/>
  <c r="R41"/>
  <c r="W41"/>
  <c r="U41"/>
  <c r="F17" i="4" l="1"/>
  <c r="G17"/>
  <c r="C8" i="2"/>
  <c r="B9" s="1"/>
  <c r="G8"/>
  <c r="B13" s="1"/>
  <c r="A8"/>
  <c r="B8"/>
  <c r="F8"/>
  <c r="B12" s="1"/>
  <c r="J8"/>
  <c r="B16" s="1"/>
  <c r="S11" i="3"/>
  <c r="Q11"/>
  <c r="U11"/>
  <c r="D17" i="4"/>
  <c r="H17"/>
  <c r="E17"/>
</calcChain>
</file>

<file path=xl/sharedStrings.xml><?xml version="1.0" encoding="utf-8"?>
<sst xmlns="http://schemas.openxmlformats.org/spreadsheetml/2006/main" count="183" uniqueCount="112">
  <si>
    <t xml:space="preserve">Evaluation Measure (Based on KPPs) </t>
  </si>
  <si>
    <t xml:space="preserve">T </t>
  </si>
  <si>
    <t>O</t>
  </si>
  <si>
    <t xml:space="preserve">Concept </t>
  </si>
  <si>
    <t>Detection Range (in meters - More is better)</t>
  </si>
  <si>
    <t>Classification Accuracy – ( Friend vs Foe % - More is better)</t>
  </si>
  <si>
    <t>Data Latency (in milliseconds – less is better)</t>
  </si>
  <si>
    <t>Warning Time (in seconds – less is better)</t>
  </si>
  <si>
    <t>Threats Neutralized (% neutralized – more is better)</t>
  </si>
  <si>
    <t>Mean Time Between Failures (in hours - Less is better)</t>
  </si>
  <si>
    <t>Operational Availability (More is better)</t>
  </si>
  <si>
    <t>Semi Autonomous</t>
  </si>
  <si>
    <t>Sonar</t>
  </si>
  <si>
    <t>Satellite Based</t>
  </si>
  <si>
    <t>Video Based</t>
  </si>
  <si>
    <t>Value</t>
  </si>
  <si>
    <t>Performance</t>
  </si>
  <si>
    <t xml:space="preserve">Weight </t>
  </si>
  <si>
    <t>Total Score</t>
  </si>
  <si>
    <t>Score</t>
  </si>
  <si>
    <t xml:space="preserve">Stakeholder </t>
  </si>
  <si>
    <t xml:space="preserve">Detection Range </t>
  </si>
  <si>
    <t xml:space="preserve">Classification Accuracy </t>
  </si>
  <si>
    <t xml:space="preserve">Data Latency  </t>
  </si>
  <si>
    <t xml:space="preserve">Warning Time </t>
  </si>
  <si>
    <t xml:space="preserve">Threats Neutralized </t>
  </si>
  <si>
    <t xml:space="preserve">Reliability </t>
  </si>
  <si>
    <t xml:space="preserve">Availability </t>
  </si>
  <si>
    <t xml:space="preserve">Infantry Soldier </t>
  </si>
  <si>
    <t xml:space="preserve">FOB Commander </t>
  </si>
  <si>
    <t xml:space="preserve">Maintainer </t>
  </si>
  <si>
    <t xml:space="preserve">Logicians </t>
  </si>
  <si>
    <t xml:space="preserve">Trainer </t>
  </si>
  <si>
    <t xml:space="preserve">Guard </t>
  </si>
  <si>
    <t xml:space="preserve">Total </t>
  </si>
  <si>
    <t xml:space="preserve">Overall Weighting </t>
  </si>
  <si>
    <t>Overall Importance</t>
  </si>
  <si>
    <t>Attribute Swung from worst to best</t>
  </si>
  <si>
    <t>Consequences to compare</t>
  </si>
  <si>
    <t>Rank</t>
  </si>
  <si>
    <t>Rate</t>
  </si>
  <si>
    <t>Weight</t>
  </si>
  <si>
    <t>benchmark</t>
  </si>
  <si>
    <t>Best Detection Range</t>
  </si>
  <si>
    <t>Best Classification Accuracy</t>
  </si>
  <si>
    <t>Best Data Latency</t>
  </si>
  <si>
    <t>Best Warning Time</t>
  </si>
  <si>
    <t>Best Threat Neutralization</t>
  </si>
  <si>
    <t>Best Reliability</t>
  </si>
  <si>
    <t>Best Availability</t>
  </si>
  <si>
    <t>500,0.95,400,3,0.95,750,0.9</t>
  </si>
  <si>
    <r>
      <t>500,0.95,400,3,0.95,750,</t>
    </r>
    <r>
      <rPr>
        <b/>
        <sz val="11"/>
        <color theme="1"/>
        <rFont val="Calibri"/>
        <family val="2"/>
        <scheme val="minor"/>
      </rPr>
      <t>0.92</t>
    </r>
  </si>
  <si>
    <r>
      <t>500,0.95,400,3,0.95,</t>
    </r>
    <r>
      <rPr>
        <b/>
        <sz val="11"/>
        <color theme="1"/>
        <rFont val="Calibri"/>
        <family val="2"/>
        <scheme val="minor"/>
      </rPr>
      <t>1000</t>
    </r>
    <r>
      <rPr>
        <sz val="11"/>
        <color theme="1"/>
        <rFont val="Calibri"/>
        <family val="2"/>
        <scheme val="minor"/>
      </rPr>
      <t>,0.9</t>
    </r>
  </si>
  <si>
    <r>
      <t>500,0.95,400,3,</t>
    </r>
    <r>
      <rPr>
        <b/>
        <sz val="11"/>
        <color theme="1"/>
        <rFont val="Calibri"/>
        <family val="2"/>
        <scheme val="minor"/>
      </rPr>
      <t>0.99</t>
    </r>
    <r>
      <rPr>
        <sz val="11"/>
        <color theme="1"/>
        <rFont val="Calibri"/>
        <family val="2"/>
        <scheme val="minor"/>
      </rPr>
      <t>,750,0.9</t>
    </r>
  </si>
  <si>
    <r>
      <t>500,0.95,400,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,0.95,750,0.9</t>
    </r>
  </si>
  <si>
    <r>
      <t>500,0.95,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,3,0.95,750,0.9</t>
    </r>
  </si>
  <si>
    <r>
      <t>500,</t>
    </r>
    <r>
      <rPr>
        <b/>
        <sz val="11"/>
        <color theme="1"/>
        <rFont val="Calibri"/>
        <family val="2"/>
        <scheme val="minor"/>
      </rPr>
      <t>0.99</t>
    </r>
    <r>
      <rPr>
        <sz val="11"/>
        <color theme="1"/>
        <rFont val="Calibri"/>
        <family val="2"/>
        <scheme val="minor"/>
      </rPr>
      <t>,400,3,0.95,750,0.9</t>
    </r>
  </si>
  <si>
    <r>
      <rPr>
        <b/>
        <sz val="11"/>
        <color theme="1"/>
        <rFont val="Calibri"/>
        <family val="2"/>
        <scheme val="minor"/>
      </rPr>
      <t>1500</t>
    </r>
    <r>
      <rPr>
        <sz val="11"/>
        <color theme="1"/>
        <rFont val="Calibri"/>
        <family val="2"/>
        <scheme val="minor"/>
      </rPr>
      <t>,0.95,400,3,0.95,750,0.9</t>
    </r>
  </si>
  <si>
    <t>Relative (1-9)</t>
  </si>
  <si>
    <t>Detection Range</t>
  </si>
  <si>
    <t>Classification Accuracy</t>
  </si>
  <si>
    <t>Data Latency</t>
  </si>
  <si>
    <t>Warning Time</t>
  </si>
  <si>
    <t>Threats Neutralized</t>
  </si>
  <si>
    <t>Reliability</t>
  </si>
  <si>
    <t>Availability</t>
  </si>
  <si>
    <t xml:space="preserve">System Total </t>
  </si>
  <si>
    <t xml:space="preserve">Detection System </t>
  </si>
  <si>
    <t xml:space="preserve">Assessment System </t>
  </si>
  <si>
    <t xml:space="preserve">Communication System </t>
  </si>
  <si>
    <t xml:space="preserve">Defense System </t>
  </si>
  <si>
    <t xml:space="preserve"> Passive Infrared Detector </t>
  </si>
  <si>
    <t xml:space="preserve">Blue Force Tracker </t>
  </si>
  <si>
    <t xml:space="preserve">Computer </t>
  </si>
  <si>
    <t xml:space="preserve">Semi Autonomous Weapon </t>
  </si>
  <si>
    <t>Radar</t>
  </si>
  <si>
    <t xml:space="preserve">Biometric Scanner </t>
  </si>
  <si>
    <t>Siren</t>
  </si>
  <si>
    <t xml:space="preserve">Semi Autonomous Armed UGV </t>
  </si>
  <si>
    <t>Semi Autonomous UMS</t>
  </si>
  <si>
    <t>Intrabase Network</t>
  </si>
  <si>
    <t xml:space="preserve">Deployable Tire Spikes </t>
  </si>
  <si>
    <t xml:space="preserve">RF Detection </t>
  </si>
  <si>
    <t xml:space="preserve">Threat Prioritization Matrix </t>
  </si>
  <si>
    <t xml:space="preserve">Radar </t>
  </si>
  <si>
    <t xml:space="preserve">Siren </t>
  </si>
  <si>
    <t xml:space="preserve">Semi-Autonomous Armed UGV </t>
  </si>
  <si>
    <t xml:space="preserve">Infrared Camera </t>
  </si>
  <si>
    <t xml:space="preserve">IR/Thermal/NV Imaging </t>
  </si>
  <si>
    <t xml:space="preserve">Intrabase Network </t>
  </si>
  <si>
    <t xml:space="preserve">Camcorder </t>
  </si>
  <si>
    <t xml:space="preserve">Vector Analysis </t>
  </si>
  <si>
    <t xml:space="preserve">Server System </t>
  </si>
  <si>
    <t xml:space="preserve">Video </t>
  </si>
  <si>
    <t xml:space="preserve">Microphone </t>
  </si>
  <si>
    <t xml:space="preserve">Radio </t>
  </si>
  <si>
    <t xml:space="preserve">Boomerang </t>
  </si>
  <si>
    <t xml:space="preserve">Lights </t>
  </si>
  <si>
    <t xml:space="preserve">Computer System </t>
  </si>
  <si>
    <t xml:space="preserve">Inertia Sensor </t>
  </si>
  <si>
    <t xml:space="preserve">Ground Sensor </t>
  </si>
  <si>
    <t xml:space="preserve">Satellite </t>
  </si>
  <si>
    <t xml:space="preserve">Semi – Autonomous Weapon </t>
  </si>
  <si>
    <t xml:space="preserve">Microphonic System </t>
  </si>
  <si>
    <t xml:space="preserve">Sonic Signature </t>
  </si>
  <si>
    <t xml:space="preserve">Phone </t>
  </si>
  <si>
    <t xml:space="preserve">Unmanned Aerial Vehicle (UAV) </t>
  </si>
  <si>
    <t xml:space="preserve">Response Matrix </t>
  </si>
  <si>
    <t>Detection System
(Weight =.25)</t>
  </si>
  <si>
    <t>Assessment System
(Weight =.25)</t>
  </si>
  <si>
    <t>Communication System
(Weight =.25)</t>
  </si>
  <si>
    <t>Defense System
(Weight =.25)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</si>
</sst>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hadow/>
      <sz val="12"/>
      <color rgb="FFFFFFFF"/>
      <name val="Calibri"/>
      <family val="2"/>
    </font>
    <font>
      <b/>
      <shadow/>
      <sz val="10"/>
      <color rgb="FFFFFFFF"/>
      <name val="Calibri"/>
      <family val="2"/>
    </font>
    <font>
      <shadow/>
      <sz val="12"/>
      <color rgb="FF000000"/>
      <name val="Calibri"/>
      <family val="2"/>
    </font>
    <font>
      <shadow/>
      <sz val="10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rgb="FFFF0000"/>
      <name val="Calibri"/>
      <family val="2"/>
    </font>
    <font>
      <sz val="14"/>
      <color rgb="FF000000"/>
      <name val="Calibri"/>
      <family val="2"/>
    </font>
    <font>
      <sz val="14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Lucida Grande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Lucida Grande"/>
    </font>
    <font>
      <b/>
      <sz val="10"/>
      <color rgb="FFFF0000"/>
      <name val="Calibri"/>
      <family val="2"/>
    </font>
    <font>
      <b/>
      <shadow/>
      <sz val="10"/>
      <color rgb="FFFFFFFF"/>
      <name val="Calibri"/>
      <family val="2"/>
    </font>
    <font>
      <shadow/>
      <sz val="10"/>
      <color rgb="FF00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BEAF"/>
        <bgColor indexed="64"/>
      </patternFill>
    </fill>
    <fill>
      <patternFill patternType="solid">
        <fgColor rgb="FFE8E8E3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/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ck">
        <color rgb="FFFF0000"/>
      </top>
      <bottom/>
      <diagonal/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7">
    <xf numFmtId="0" fontId="0" fillId="0" borderId="0" xfId="0"/>
    <xf numFmtId="0" fontId="0" fillId="0" borderId="0" xfId="0" applyFont="1"/>
    <xf numFmtId="0" fontId="18" fillId="33" borderId="10" xfId="0" applyFont="1" applyFill="1" applyBorder="1" applyAlignment="1">
      <alignment horizontal="center" vertical="top" wrapText="1" readingOrder="1"/>
    </xf>
    <xf numFmtId="0" fontId="19" fillId="33" borderId="10" xfId="0" applyFont="1" applyFill="1" applyBorder="1" applyAlignment="1">
      <alignment horizontal="center" vertical="top" wrapText="1" readingOrder="1"/>
    </xf>
    <xf numFmtId="0" fontId="20" fillId="34" borderId="11" xfId="0" applyFont="1" applyFill="1" applyBorder="1" applyAlignment="1">
      <alignment horizontal="center" vertical="top" wrapText="1" readingOrder="1"/>
    </xf>
    <xf numFmtId="0" fontId="21" fillId="34" borderId="11" xfId="0" applyFont="1" applyFill="1" applyBorder="1" applyAlignment="1">
      <alignment horizontal="center" vertical="top" wrapText="1" readingOrder="1"/>
    </xf>
    <xf numFmtId="0" fontId="20" fillId="35" borderId="12" xfId="0" applyFont="1" applyFill="1" applyBorder="1" applyAlignment="1">
      <alignment horizontal="center" vertical="top" wrapText="1" readingOrder="1"/>
    </xf>
    <xf numFmtId="0" fontId="21" fillId="35" borderId="12" xfId="0" applyFont="1" applyFill="1" applyBorder="1" applyAlignment="1">
      <alignment horizontal="center" vertical="top" wrapText="1" readingOrder="1"/>
    </xf>
    <xf numFmtId="0" fontId="20" fillId="34" borderId="12" xfId="0" applyFont="1" applyFill="1" applyBorder="1" applyAlignment="1">
      <alignment horizontal="center" vertical="top" wrapText="1" readingOrder="1"/>
    </xf>
    <xf numFmtId="0" fontId="21" fillId="34" borderId="12" xfId="0" applyFont="1" applyFill="1" applyBorder="1" applyAlignment="1">
      <alignment horizontal="center" vertical="top" wrapText="1" readingOrder="1"/>
    </xf>
    <xf numFmtId="0" fontId="22" fillId="0" borderId="13" xfId="0" applyFont="1" applyBorder="1" applyAlignment="1">
      <alignment horizontal="left" vertical="center" wrapText="1" indent="1" readingOrder="1"/>
    </xf>
    <xf numFmtId="0" fontId="23" fillId="0" borderId="13" xfId="0" applyFont="1" applyBorder="1" applyAlignment="1">
      <alignment horizontal="right" wrapText="1" readingOrder="1"/>
    </xf>
    <xf numFmtId="0" fontId="24" fillId="0" borderId="13" xfId="0" applyFont="1" applyBorder="1" applyAlignment="1">
      <alignment horizontal="left" vertical="center" wrapText="1" indent="1" readingOrder="1"/>
    </xf>
    <xf numFmtId="0" fontId="26" fillId="0" borderId="13" xfId="0" applyFont="1" applyBorder="1" applyAlignment="1">
      <alignment horizontal="left" vertical="center" wrapText="1" indent="1" readingOrder="1"/>
    </xf>
    <xf numFmtId="0" fontId="27" fillId="0" borderId="13" xfId="0" applyFont="1" applyBorder="1" applyAlignment="1">
      <alignment horizontal="left" vertical="center" wrapText="1" indent="1" readingOrder="1"/>
    </xf>
    <xf numFmtId="0" fontId="28" fillId="33" borderId="10" xfId="0" applyFont="1" applyFill="1" applyBorder="1" applyAlignment="1">
      <alignment horizontal="center" wrapText="1" readingOrder="1"/>
    </xf>
    <xf numFmtId="0" fontId="25" fillId="0" borderId="13" xfId="0" applyFont="1" applyBorder="1" applyAlignment="1">
      <alignment horizontal="left" vertical="center" wrapText="1" indent="1" readingOrder="1"/>
    </xf>
    <xf numFmtId="0" fontId="24" fillId="0" borderId="0" xfId="0" applyFont="1" applyFill="1" applyBorder="1" applyAlignment="1">
      <alignment horizontal="left" vertical="center" wrapText="1" indent="1" readingOrder="1"/>
    </xf>
    <xf numFmtId="0" fontId="29" fillId="0" borderId="0" xfId="0" applyFont="1" applyFill="1" applyBorder="1" applyAlignment="1">
      <alignment horizontal="left" vertical="center" wrapText="1" indent="1" readingOrder="1"/>
    </xf>
    <xf numFmtId="0" fontId="30" fillId="0" borderId="0" xfId="0" applyFont="1"/>
    <xf numFmtId="0" fontId="31" fillId="0" borderId="13" xfId="0" applyFont="1" applyBorder="1" applyAlignment="1">
      <alignment horizontal="left" wrapText="1" indent="1" readingOrder="1"/>
    </xf>
    <xf numFmtId="0" fontId="32" fillId="0" borderId="13" xfId="0" applyFont="1" applyBorder="1" applyAlignment="1">
      <alignment horizontal="center" vertical="center" wrapText="1" readingOrder="1"/>
    </xf>
    <xf numFmtId="0" fontId="32" fillId="0" borderId="13" xfId="0" applyFont="1" applyBorder="1" applyAlignment="1">
      <alignment horizontal="left" vertical="center" wrapText="1" indent="1" readingOrder="1"/>
    </xf>
    <xf numFmtId="0" fontId="0" fillId="0" borderId="19" xfId="0" applyBorder="1"/>
    <xf numFmtId="0" fontId="33" fillId="36" borderId="19" xfId="0" applyFont="1" applyFill="1" applyBorder="1" applyAlignment="1">
      <alignment horizontal="center" vertical="center" wrapText="1" readingOrder="1"/>
    </xf>
    <xf numFmtId="0" fontId="31" fillId="0" borderId="13" xfId="0" applyFont="1" applyBorder="1" applyAlignment="1">
      <alignment vertical="center" wrapText="1" readingOrder="1"/>
    </xf>
    <xf numFmtId="0" fontId="33" fillId="0" borderId="13" xfId="0" applyFont="1" applyBorder="1" applyAlignment="1">
      <alignment horizontal="center" wrapText="1" readingOrder="1"/>
    </xf>
    <xf numFmtId="0" fontId="32" fillId="0" borderId="13" xfId="0" applyFont="1" applyBorder="1" applyAlignment="1">
      <alignment horizontal="center" wrapText="1" readingOrder="1"/>
    </xf>
    <xf numFmtId="0" fontId="34" fillId="0" borderId="16" xfId="0" applyFont="1" applyBorder="1" applyAlignment="1">
      <alignment horizontal="right" wrapText="1" indent="1" readingOrder="1"/>
    </xf>
    <xf numFmtId="0" fontId="34" fillId="0" borderId="17" xfId="0" applyFont="1" applyBorder="1" applyAlignment="1">
      <alignment horizontal="right" wrapText="1" indent="1" readingOrder="1"/>
    </xf>
    <xf numFmtId="0" fontId="32" fillId="34" borderId="11" xfId="0" applyFont="1" applyFill="1" applyBorder="1" applyAlignment="1">
      <alignment horizontal="center" vertical="top" wrapText="1" readingOrder="1"/>
    </xf>
    <xf numFmtId="0" fontId="32" fillId="35" borderId="12" xfId="0" applyFont="1" applyFill="1" applyBorder="1" applyAlignment="1">
      <alignment horizontal="center" vertical="top" wrapText="1" readingOrder="1"/>
    </xf>
    <xf numFmtId="0" fontId="32" fillId="34" borderId="12" xfId="0" applyFont="1" applyFill="1" applyBorder="1" applyAlignment="1">
      <alignment horizontal="center" vertical="top" wrapText="1" readingOrder="1"/>
    </xf>
    <xf numFmtId="0" fontId="36" fillId="33" borderId="10" xfId="0" applyFont="1" applyFill="1" applyBorder="1" applyAlignment="1">
      <alignment horizontal="center" vertical="center" wrapText="1" readingOrder="1"/>
    </xf>
    <xf numFmtId="0" fontId="32" fillId="34" borderId="11" xfId="0" applyFont="1" applyFill="1" applyBorder="1" applyAlignment="1">
      <alignment horizontal="left" vertical="top" wrapText="1" readingOrder="1"/>
    </xf>
    <xf numFmtId="0" fontId="37" fillId="34" borderId="11" xfId="0" applyFont="1" applyFill="1" applyBorder="1" applyAlignment="1">
      <alignment horizontal="center" vertical="top" wrapText="1" readingOrder="1"/>
    </xf>
    <xf numFmtId="0" fontId="32" fillId="35" borderId="12" xfId="0" applyFont="1" applyFill="1" applyBorder="1" applyAlignment="1">
      <alignment horizontal="left" vertical="top" wrapText="1" readingOrder="1"/>
    </xf>
    <xf numFmtId="0" fontId="37" fillId="35" borderId="12" xfId="0" applyFont="1" applyFill="1" applyBorder="1" applyAlignment="1">
      <alignment horizontal="center" vertical="top" wrapText="1" readingOrder="1"/>
    </xf>
    <xf numFmtId="0" fontId="32" fillId="34" borderId="12" xfId="0" applyFont="1" applyFill="1" applyBorder="1" applyAlignment="1">
      <alignment horizontal="left" vertical="top" wrapText="1" readingOrder="1"/>
    </xf>
    <xf numFmtId="0" fontId="37" fillId="34" borderId="12" xfId="0" applyFont="1" applyFill="1" applyBorder="1" applyAlignment="1">
      <alignment horizontal="center" vertical="top" wrapText="1" readingOrder="1"/>
    </xf>
    <xf numFmtId="0" fontId="33" fillId="34" borderId="12" xfId="0" applyFont="1" applyFill="1" applyBorder="1" applyAlignment="1">
      <alignment horizontal="center" wrapText="1" readingOrder="1"/>
    </xf>
    <xf numFmtId="164" fontId="33" fillId="37" borderId="12" xfId="0" applyNumberFormat="1" applyFont="1" applyFill="1" applyBorder="1" applyAlignment="1">
      <alignment horizontal="center" wrapText="1" readingOrder="1"/>
    </xf>
    <xf numFmtId="0" fontId="16" fillId="0" borderId="0" xfId="0" applyFont="1" applyAlignment="1">
      <alignment horizontal="center"/>
    </xf>
    <xf numFmtId="0" fontId="31" fillId="0" borderId="19" xfId="0" applyFont="1" applyBorder="1" applyAlignment="1">
      <alignment horizontal="left" wrapText="1" indent="1" readingOrder="1"/>
    </xf>
    <xf numFmtId="0" fontId="0" fillId="0" borderId="31" xfId="0" applyBorder="1"/>
    <xf numFmtId="0" fontId="0" fillId="0" borderId="19" xfId="0" applyBorder="1" applyAlignment="1">
      <alignment horizontal="center"/>
    </xf>
    <xf numFmtId="0" fontId="31" fillId="37" borderId="19" xfId="0" applyFont="1" applyFill="1" applyBorder="1" applyAlignment="1">
      <alignment horizontal="left" wrapText="1" indent="1" readingOrder="1"/>
    </xf>
    <xf numFmtId="165" fontId="32" fillId="0" borderId="13" xfId="0" applyNumberFormat="1" applyFont="1" applyBorder="1" applyAlignment="1">
      <alignment horizontal="center" wrapText="1" readingOrder="1"/>
    </xf>
    <xf numFmtId="0" fontId="33" fillId="0" borderId="15" xfId="0" applyFont="1" applyBorder="1" applyAlignment="1">
      <alignment horizontal="center" vertical="center" wrapText="1" readingOrder="1"/>
    </xf>
    <xf numFmtId="0" fontId="38" fillId="0" borderId="13" xfId="0" applyFont="1" applyBorder="1" applyAlignment="1">
      <alignment horizontal="left" vertical="center" wrapText="1" indent="1" readingOrder="1"/>
    </xf>
    <xf numFmtId="0" fontId="39" fillId="0" borderId="15" xfId="0" applyFont="1" applyBorder="1" applyAlignment="1">
      <alignment horizontal="center" vertical="center" wrapText="1" readingOrder="1"/>
    </xf>
    <xf numFmtId="0" fontId="0" fillId="0" borderId="25" xfId="0" applyBorder="1" applyAlignment="1"/>
    <xf numFmtId="0" fontId="40" fillId="36" borderId="35" xfId="0" applyFont="1" applyFill="1" applyBorder="1" applyAlignment="1">
      <alignment horizontal="center" wrapText="1" readingOrder="1"/>
    </xf>
    <xf numFmtId="0" fontId="40" fillId="36" borderId="35" xfId="0" applyFont="1" applyFill="1" applyBorder="1" applyAlignment="1">
      <alignment horizontal="center" vertical="center" wrapText="1" readingOrder="1"/>
    </xf>
    <xf numFmtId="0" fontId="40" fillId="39" borderId="38" xfId="0" applyFont="1" applyFill="1" applyBorder="1" applyAlignment="1">
      <alignment horizontal="center" vertical="center" wrapText="1" readingOrder="1"/>
    </xf>
    <xf numFmtId="0" fontId="40" fillId="37" borderId="38" xfId="0" applyFont="1" applyFill="1" applyBorder="1" applyAlignment="1">
      <alignment horizontal="center" vertical="center" wrapText="1" readingOrder="1"/>
    </xf>
    <xf numFmtId="0" fontId="40" fillId="37" borderId="13" xfId="0" applyFont="1" applyFill="1" applyBorder="1" applyAlignment="1">
      <alignment horizontal="center" vertical="center" wrapText="1" readingOrder="1"/>
    </xf>
    <xf numFmtId="0" fontId="40" fillId="39" borderId="13" xfId="0" applyFont="1" applyFill="1" applyBorder="1" applyAlignment="1">
      <alignment horizontal="center" vertical="center" wrapText="1" readingOrder="1"/>
    </xf>
    <xf numFmtId="0" fontId="40" fillId="40" borderId="13" xfId="0" applyFont="1" applyFill="1" applyBorder="1" applyAlignment="1">
      <alignment horizontal="center" vertical="center" wrapText="1" readingOrder="1"/>
    </xf>
    <xf numFmtId="0" fontId="40" fillId="38" borderId="13" xfId="0" applyFont="1" applyFill="1" applyBorder="1" applyAlignment="1">
      <alignment horizontal="center" vertical="center" wrapText="1"/>
    </xf>
    <xf numFmtId="0" fontId="40" fillId="38" borderId="35" xfId="0" applyFont="1" applyFill="1" applyBorder="1" applyAlignment="1">
      <alignment horizontal="center" vertical="center" wrapText="1"/>
    </xf>
    <xf numFmtId="0" fontId="40" fillId="39" borderId="35" xfId="0" applyFont="1" applyFill="1" applyBorder="1" applyAlignment="1">
      <alignment horizontal="center" vertical="center" wrapText="1" readingOrder="1"/>
    </xf>
    <xf numFmtId="0" fontId="40" fillId="40" borderId="38" xfId="0" applyFont="1" applyFill="1" applyBorder="1" applyAlignment="1">
      <alignment horizontal="center" vertical="center" wrapText="1" readingOrder="1"/>
    </xf>
    <xf numFmtId="0" fontId="41" fillId="0" borderId="0" xfId="0" applyFont="1"/>
    <xf numFmtId="0" fontId="40" fillId="36" borderId="14" xfId="0" applyFont="1" applyFill="1" applyBorder="1" applyAlignment="1">
      <alignment horizontal="center" wrapText="1" readingOrder="1"/>
    </xf>
    <xf numFmtId="0" fontId="40" fillId="36" borderId="14" xfId="0" applyFont="1" applyFill="1" applyBorder="1" applyAlignment="1">
      <alignment horizontal="center" vertical="center" wrapText="1" readingOrder="1"/>
    </xf>
    <xf numFmtId="0" fontId="42" fillId="0" borderId="38" xfId="0" applyFont="1" applyBorder="1" applyAlignment="1">
      <alignment horizontal="center" vertical="center" wrapText="1" readingOrder="1"/>
    </xf>
    <xf numFmtId="0" fontId="42" fillId="0" borderId="13" xfId="0" applyFont="1" applyBorder="1" applyAlignment="1">
      <alignment horizontal="center" vertical="center" wrapText="1" readingOrder="1"/>
    </xf>
    <xf numFmtId="0" fontId="42" fillId="38" borderId="13" xfId="0" applyFont="1" applyFill="1" applyBorder="1" applyAlignment="1">
      <alignment horizontal="center" vertical="center" wrapText="1"/>
    </xf>
    <xf numFmtId="0" fontId="42" fillId="38" borderId="35" xfId="0" applyFont="1" applyFill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 readingOrder="1"/>
    </xf>
    <xf numFmtId="0" fontId="40" fillId="36" borderId="14" xfId="0" applyFont="1" applyFill="1" applyBorder="1" applyAlignment="1">
      <alignment wrapText="1" readingOrder="1"/>
    </xf>
    <xf numFmtId="0" fontId="40" fillId="36" borderId="14" xfId="0" applyFont="1" applyFill="1" applyBorder="1" applyAlignment="1">
      <alignment vertical="center" wrapText="1" readingOrder="1"/>
    </xf>
    <xf numFmtId="0" fontId="40" fillId="0" borderId="37" xfId="0" applyFont="1" applyBorder="1" applyAlignment="1">
      <alignment horizontal="center" vertical="center" wrapText="1" readingOrder="1"/>
    </xf>
    <xf numFmtId="0" fontId="40" fillId="0" borderId="18" xfId="0" applyFont="1" applyBorder="1" applyAlignment="1">
      <alignment horizontal="center" vertical="center" wrapText="1" readingOrder="1"/>
    </xf>
    <xf numFmtId="0" fontId="40" fillId="0" borderId="36" xfId="0" applyFont="1" applyBorder="1" applyAlignment="1">
      <alignment horizontal="center" vertical="center" wrapText="1" readingOrder="1"/>
    </xf>
    <xf numFmtId="0" fontId="32" fillId="34" borderId="29" xfId="0" applyFont="1" applyFill="1" applyBorder="1" applyAlignment="1">
      <alignment horizontal="left" vertical="top" wrapText="1" readingOrder="1"/>
    </xf>
    <xf numFmtId="0" fontId="32" fillId="34" borderId="30" xfId="0" applyFont="1" applyFill="1" applyBorder="1" applyAlignment="1">
      <alignment horizontal="left" vertical="top" wrapText="1" readingOrder="1"/>
    </xf>
    <xf numFmtId="0" fontId="32" fillId="35" borderId="29" xfId="0" applyFont="1" applyFill="1" applyBorder="1" applyAlignment="1">
      <alignment horizontal="left" vertical="top" wrapText="1" readingOrder="1"/>
    </xf>
    <xf numFmtId="0" fontId="32" fillId="35" borderId="30" xfId="0" applyFont="1" applyFill="1" applyBorder="1" applyAlignment="1">
      <alignment horizontal="left" vertical="top" wrapText="1" readingOrder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33" fillId="36" borderId="23" xfId="0" applyFont="1" applyFill="1" applyBorder="1" applyAlignment="1">
      <alignment horizontal="center" vertical="center" wrapText="1" readingOrder="1"/>
    </xf>
    <xf numFmtId="0" fontId="33" fillId="36" borderId="0" xfId="0" applyFont="1" applyFill="1" applyBorder="1" applyAlignment="1">
      <alignment horizontal="center" vertical="center" wrapText="1" readingOrder="1"/>
    </xf>
    <xf numFmtId="0" fontId="33" fillId="36" borderId="14" xfId="0" applyFont="1" applyFill="1" applyBorder="1" applyAlignment="1">
      <alignment horizontal="center" vertical="center" wrapText="1" readingOrder="1"/>
    </xf>
    <xf numFmtId="0" fontId="33" fillId="36" borderId="18" xfId="0" applyFont="1" applyFill="1" applyBorder="1" applyAlignment="1">
      <alignment horizontal="center" vertical="center" wrapText="1" readingOrder="1"/>
    </xf>
    <xf numFmtId="0" fontId="33" fillId="36" borderId="15" xfId="0" applyFont="1" applyFill="1" applyBorder="1" applyAlignment="1">
      <alignment horizontal="center" vertical="center" wrapText="1" readingOrder="1"/>
    </xf>
    <xf numFmtId="0" fontId="33" fillId="36" borderId="21" xfId="0" applyFont="1" applyFill="1" applyBorder="1" applyAlignment="1">
      <alignment horizontal="center" vertical="center" wrapText="1" readingOrder="1"/>
    </xf>
    <xf numFmtId="0" fontId="33" fillId="36" borderId="20" xfId="0" applyFont="1" applyFill="1" applyBorder="1" applyAlignment="1">
      <alignment horizontal="center" vertical="center" wrapText="1" readingOrder="1"/>
    </xf>
    <xf numFmtId="0" fontId="33" fillId="36" borderId="24" xfId="0" applyFont="1" applyFill="1" applyBorder="1" applyAlignment="1">
      <alignment horizontal="center" vertical="center" wrapText="1" readingOrder="1"/>
    </xf>
    <xf numFmtId="0" fontId="33" fillId="36" borderId="25" xfId="0" applyFont="1" applyFill="1" applyBorder="1" applyAlignment="1">
      <alignment horizontal="center" vertical="center" wrapText="1" readingOrder="1"/>
    </xf>
    <xf numFmtId="0" fontId="33" fillId="36" borderId="27" xfId="0" applyFont="1" applyFill="1" applyBorder="1" applyAlignment="1">
      <alignment horizontal="center" wrapText="1" readingOrder="1"/>
    </xf>
    <xf numFmtId="0" fontId="33" fillId="36" borderId="0" xfId="0" applyFont="1" applyFill="1" applyBorder="1" applyAlignment="1">
      <alignment horizontal="center" wrapText="1" readingOrder="1"/>
    </xf>
    <xf numFmtId="0" fontId="33" fillId="36" borderId="28" xfId="0" applyFont="1" applyFill="1" applyBorder="1" applyAlignment="1">
      <alignment horizontal="center" wrapText="1" readingOrder="1"/>
    </xf>
    <xf numFmtId="165" fontId="35" fillId="0" borderId="16" xfId="0" applyNumberFormat="1" applyFont="1" applyBorder="1" applyAlignment="1">
      <alignment horizontal="center" wrapText="1" readingOrder="1"/>
    </xf>
    <xf numFmtId="165" fontId="35" fillId="0" borderId="17" xfId="0" applyNumberFormat="1" applyFont="1" applyBorder="1" applyAlignment="1">
      <alignment horizontal="center" wrapText="1" readingOrder="1"/>
    </xf>
    <xf numFmtId="165" fontId="35" fillId="37" borderId="16" xfId="0" applyNumberFormat="1" applyFont="1" applyFill="1" applyBorder="1" applyAlignment="1">
      <alignment horizontal="center" wrapText="1" readingOrder="1"/>
    </xf>
    <xf numFmtId="165" fontId="35" fillId="37" borderId="17" xfId="0" applyNumberFormat="1" applyFont="1" applyFill="1" applyBorder="1" applyAlignment="1">
      <alignment horizontal="center" wrapText="1" readingOrder="1"/>
    </xf>
    <xf numFmtId="0" fontId="0" fillId="0" borderId="0" xfId="0"/>
    <xf numFmtId="0" fontId="33" fillId="36" borderId="16" xfId="0" applyFont="1" applyFill="1" applyBorder="1" applyAlignment="1">
      <alignment horizontal="center" vertical="center" wrapText="1" readingOrder="1"/>
    </xf>
    <xf numFmtId="0" fontId="0" fillId="0" borderId="17" xfId="0" applyBorder="1"/>
    <xf numFmtId="0" fontId="0" fillId="0" borderId="26" xfId="0" applyBorder="1"/>
    <xf numFmtId="0" fontId="33" fillId="36" borderId="32" xfId="0" applyFont="1" applyFill="1" applyBorder="1" applyAlignment="1">
      <alignment horizontal="center" vertical="center" wrapText="1" readingOrder="1"/>
    </xf>
    <xf numFmtId="0" fontId="33" fillId="36" borderId="34" xfId="0" applyFont="1" applyFill="1" applyBorder="1" applyAlignment="1">
      <alignment horizontal="center" vertical="center" wrapText="1" readingOrder="1"/>
    </xf>
    <xf numFmtId="0" fontId="33" fillId="36" borderId="33" xfId="0" applyFont="1" applyFill="1" applyBorder="1" applyAlignment="1">
      <alignment horizontal="center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Detection Range Value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'Value Curves'!$A$3:$A$7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'Value Curves'!$B$3:$B$7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  <c:pt idx="4">
                  <c:v>0</c:v>
                </c:pt>
              </c:numCache>
            </c:numRef>
          </c:yVal>
          <c:smooth val="1"/>
        </c:ser>
        <c:axId val="102616448"/>
        <c:axId val="111894528"/>
      </c:scatterChart>
      <c:valAx>
        <c:axId val="102616448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11894528"/>
        <c:crosses val="autoZero"/>
        <c:crossBetween val="midCat"/>
      </c:valAx>
      <c:valAx>
        <c:axId val="11189452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0261644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Data Latency Value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'Value Curves'!$A$11:$A$15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'Value Curves'!$B$11:$B$15</c:f>
              <c:numCache>
                <c:formatCode>General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0.75</c:v>
                </c:pt>
                <c:pt idx="3">
                  <c:v>0.4</c:v>
                </c:pt>
                <c:pt idx="4">
                  <c:v>0</c:v>
                </c:pt>
              </c:numCache>
            </c:numRef>
          </c:yVal>
          <c:smooth val="1"/>
        </c:ser>
        <c:axId val="114067328"/>
        <c:axId val="114069504"/>
      </c:scatterChart>
      <c:valAx>
        <c:axId val="114067328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14069504"/>
        <c:crosses val="autoZero"/>
        <c:crossBetween val="midCat"/>
      </c:valAx>
      <c:valAx>
        <c:axId val="11406950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1406732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Threat Neutralization Value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'Value Curves'!$A$19:$A$23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'Value Curves'!$B$19:$B$23</c:f>
              <c:numCache>
                <c:formatCode>General</c:formatCode>
                <c:ptCount val="5"/>
                <c:pt idx="0">
                  <c:v>1</c:v>
                </c:pt>
                <c:pt idx="1">
                  <c:v>0.6</c:v>
                </c:pt>
                <c:pt idx="2">
                  <c:v>0.25</c:v>
                </c:pt>
                <c:pt idx="3">
                  <c:v>0.1</c:v>
                </c:pt>
                <c:pt idx="4">
                  <c:v>0</c:v>
                </c:pt>
              </c:numCache>
            </c:numRef>
          </c:yVal>
          <c:smooth val="1"/>
        </c:ser>
        <c:axId val="114077056"/>
        <c:axId val="114091520"/>
      </c:scatterChart>
      <c:valAx>
        <c:axId val="114077056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14091520"/>
        <c:crosses val="autoZero"/>
        <c:crossBetween val="midCat"/>
      </c:valAx>
      <c:valAx>
        <c:axId val="11409152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1407705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Classification Accuracy Value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'Value Curves'!$D$3:$D$7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'Value Curves'!$E$3:$E$7</c:f>
              <c:numCache>
                <c:formatCode>General</c:formatCode>
                <c:ptCount val="5"/>
                <c:pt idx="0">
                  <c:v>1</c:v>
                </c:pt>
                <c:pt idx="1">
                  <c:v>0.85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yVal>
          <c:smooth val="1"/>
        </c:ser>
        <c:axId val="112366720"/>
        <c:axId val="112368640"/>
      </c:scatterChart>
      <c:valAx>
        <c:axId val="112366720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12368640"/>
        <c:crosses val="autoZero"/>
        <c:crossBetween val="midCat"/>
      </c:valAx>
      <c:valAx>
        <c:axId val="11236864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123667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Warning Time Value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'Value Curves'!$D$11:$D$15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'Value Curves'!$E$11:$E$15</c:f>
              <c:numCache>
                <c:formatCode>General</c:formatCode>
                <c:ptCount val="5"/>
                <c:pt idx="0">
                  <c:v>1</c:v>
                </c:pt>
                <c:pt idx="1">
                  <c:v>0.7</c:v>
                </c:pt>
                <c:pt idx="2">
                  <c:v>0.6</c:v>
                </c:pt>
                <c:pt idx="3">
                  <c:v>0.3</c:v>
                </c:pt>
                <c:pt idx="4">
                  <c:v>0</c:v>
                </c:pt>
              </c:numCache>
            </c:numRef>
          </c:yVal>
          <c:smooth val="1"/>
        </c:ser>
        <c:axId val="114190976"/>
        <c:axId val="114201344"/>
      </c:scatterChart>
      <c:valAx>
        <c:axId val="114190976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14201344"/>
        <c:crosses val="autoZero"/>
        <c:crossBetween val="midCat"/>
      </c:valAx>
      <c:valAx>
        <c:axId val="11420134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1419097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Reliability Value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'Value Curves'!$D$19:$D$23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'Value Curves'!$E$19:$E$23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</c:numCache>
            </c:numRef>
          </c:yVal>
          <c:smooth val="1"/>
        </c:ser>
        <c:axId val="114217344"/>
        <c:axId val="114219264"/>
      </c:scatterChart>
      <c:valAx>
        <c:axId val="114217344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14219264"/>
        <c:crosses val="autoZero"/>
        <c:crossBetween val="midCat"/>
      </c:valAx>
      <c:valAx>
        <c:axId val="11421926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1421734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Availability Value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'Value Curves'!$G$3:$G$7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xVal>
          <c:yVal>
            <c:numRef>
              <c:f>'Value Curves'!$H$3:$H$7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</c:numCache>
            </c:numRef>
          </c:yVal>
          <c:smooth val="1"/>
        </c:ser>
        <c:axId val="114100096"/>
        <c:axId val="114102272"/>
      </c:scatterChart>
      <c:valAx>
        <c:axId val="11410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Perforrmance Score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4102272"/>
        <c:crosses val="autoZero"/>
        <c:crossBetween val="midCat"/>
      </c:valAx>
      <c:valAx>
        <c:axId val="114102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Value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410009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Sheet1!$I$27:$I$30</c:f>
              <c:numCache>
                <c:formatCode>General</c:formatCode>
                <c:ptCount val="4"/>
                <c:pt idx="0">
                  <c:v>1</c:v>
                </c:pt>
                <c:pt idx="1">
                  <c:v>0.80769230769230771</c:v>
                </c:pt>
                <c:pt idx="2">
                  <c:v>0.76923076923076927</c:v>
                </c:pt>
                <c:pt idx="3">
                  <c:v>0.84615384615384615</c:v>
                </c:pt>
              </c:numCache>
            </c:numRef>
          </c:xVal>
          <c:yVal>
            <c:numRef>
              <c:f>Sheet1!$J$27:$J$30</c:f>
              <c:numCache>
                <c:formatCode>General</c:formatCode>
                <c:ptCount val="4"/>
                <c:pt idx="0">
                  <c:v>1</c:v>
                </c:pt>
                <c:pt idx="1">
                  <c:v>0.86440677966101698</c:v>
                </c:pt>
                <c:pt idx="2">
                  <c:v>0.77351132443377835</c:v>
                </c:pt>
                <c:pt idx="3">
                  <c:v>0.71171441427928606</c:v>
                </c:pt>
              </c:numCache>
            </c:numRef>
          </c:yVal>
        </c:ser>
        <c:axId val="114368512"/>
        <c:axId val="114370432"/>
      </c:scatterChart>
      <c:valAx>
        <c:axId val="114368512"/>
        <c:scaling>
          <c:orientation val="minMax"/>
          <c:max val="1"/>
          <c:min val="0.70000000000000029"/>
        </c:scaling>
        <c:axPos val="b"/>
        <c:title/>
        <c:numFmt formatCode="General" sourceLinked="1"/>
        <c:majorTickMark val="none"/>
        <c:tickLblPos val="nextTo"/>
        <c:crossAx val="114370432"/>
        <c:crosses val="autoZero"/>
        <c:crossBetween val="midCat"/>
      </c:valAx>
      <c:valAx>
        <c:axId val="114370432"/>
        <c:scaling>
          <c:orientation val="minMax"/>
          <c:max val="1"/>
          <c:min val="0.70000000000000029"/>
        </c:scaling>
        <c:axPos val="l"/>
        <c:majorGridlines/>
        <c:title/>
        <c:numFmt formatCode="General" sourceLinked="1"/>
        <c:majorTickMark val="none"/>
        <c:tickLblPos val="nextTo"/>
        <c:crossAx val="114368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38100</xdr:rowOff>
    </xdr:from>
    <xdr:to>
      <xdr:col>17</xdr:col>
      <xdr:colOff>304800</xdr:colOff>
      <xdr:row>14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95250</xdr:colOff>
      <xdr:row>0</xdr:row>
      <xdr:rowOff>95250</xdr:rowOff>
    </xdr:from>
    <xdr:to>
      <xdr:col>25</xdr:col>
      <xdr:colOff>400050</xdr:colOff>
      <xdr:row>14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16</xdr:row>
      <xdr:rowOff>19050</xdr:rowOff>
    </xdr:from>
    <xdr:to>
      <xdr:col>17</xdr:col>
      <xdr:colOff>323850</xdr:colOff>
      <xdr:row>30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95250</xdr:colOff>
      <xdr:row>16</xdr:row>
      <xdr:rowOff>57150</xdr:rowOff>
    </xdr:from>
    <xdr:to>
      <xdr:col>25</xdr:col>
      <xdr:colOff>400050</xdr:colOff>
      <xdr:row>30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31</xdr:row>
      <xdr:rowOff>114300</xdr:rowOff>
    </xdr:from>
    <xdr:to>
      <xdr:col>25</xdr:col>
      <xdr:colOff>457200</xdr:colOff>
      <xdr:row>46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</xdr:colOff>
      <xdr:row>31</xdr:row>
      <xdr:rowOff>114300</xdr:rowOff>
    </xdr:from>
    <xdr:to>
      <xdr:col>17</xdr:col>
      <xdr:colOff>342900</xdr:colOff>
      <xdr:row>46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533400</xdr:colOff>
      <xdr:row>0</xdr:row>
      <xdr:rowOff>114300</xdr:rowOff>
    </xdr:from>
    <xdr:to>
      <xdr:col>33</xdr:col>
      <xdr:colOff>228600</xdr:colOff>
      <xdr:row>15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34</xdr:row>
      <xdr:rowOff>9525</xdr:rowOff>
    </xdr:from>
    <xdr:to>
      <xdr:col>14</xdr:col>
      <xdr:colOff>200025</xdr:colOff>
      <xdr:row>48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C14" sqref="C14"/>
    </sheetView>
  </sheetViews>
  <sheetFormatPr defaultRowHeight="15"/>
  <cols>
    <col min="1" max="1" width="9" style="63" customWidth="1"/>
    <col min="2" max="5" width="17.5703125" style="63" customWidth="1"/>
    <col min="7" max="7" width="6.5703125" style="63" bestFit="1" customWidth="1"/>
    <col min="8" max="12" width="12" style="63" customWidth="1"/>
  </cols>
  <sheetData>
    <row r="1" spans="1:12" ht="35.25" thickBot="1">
      <c r="A1" s="52" t="s">
        <v>3</v>
      </c>
      <c r="B1" s="52" t="s">
        <v>67</v>
      </c>
      <c r="C1" s="52" t="s">
        <v>68</v>
      </c>
      <c r="D1" s="52" t="s">
        <v>69</v>
      </c>
      <c r="E1" s="53" t="s">
        <v>70</v>
      </c>
      <c r="G1" s="71" t="s">
        <v>3</v>
      </c>
      <c r="H1" s="64" t="s">
        <v>108</v>
      </c>
      <c r="I1" s="64" t="s">
        <v>109</v>
      </c>
      <c r="J1" s="64" t="s">
        <v>110</v>
      </c>
      <c r="K1" s="65" t="s">
        <v>111</v>
      </c>
      <c r="L1" s="72" t="s">
        <v>66</v>
      </c>
    </row>
    <row r="2" spans="1:12" ht="23.25" thickTop="1">
      <c r="A2" s="73">
        <v>1</v>
      </c>
      <c r="B2" s="54" t="s">
        <v>71</v>
      </c>
      <c r="C2" s="55" t="s">
        <v>72</v>
      </c>
      <c r="D2" s="55" t="s">
        <v>73</v>
      </c>
      <c r="E2" s="55" t="s">
        <v>74</v>
      </c>
      <c r="G2" s="73">
        <v>1</v>
      </c>
      <c r="H2" s="66">
        <v>1</v>
      </c>
      <c r="I2" s="66">
        <v>2</v>
      </c>
      <c r="J2" s="66">
        <v>2</v>
      </c>
      <c r="K2" s="66">
        <v>2</v>
      </c>
      <c r="L2" s="73">
        <f>SUM(H2:K4,I5:I6)*0.25</f>
        <v>6.5</v>
      </c>
    </row>
    <row r="3" spans="1:12" ht="22.5">
      <c r="A3" s="74"/>
      <c r="B3" s="56" t="s">
        <v>75</v>
      </c>
      <c r="C3" s="56" t="s">
        <v>76</v>
      </c>
      <c r="D3" s="57" t="s">
        <v>77</v>
      </c>
      <c r="E3" s="58" t="s">
        <v>78</v>
      </c>
      <c r="G3" s="74"/>
      <c r="H3" s="67">
        <v>2</v>
      </c>
      <c r="I3" s="67">
        <v>2</v>
      </c>
      <c r="J3" s="67">
        <v>1</v>
      </c>
      <c r="K3" s="67">
        <v>3</v>
      </c>
      <c r="L3" s="74"/>
    </row>
    <row r="4" spans="1:12">
      <c r="A4" s="74"/>
      <c r="B4" s="58" t="s">
        <v>79</v>
      </c>
      <c r="C4" s="57" t="s">
        <v>73</v>
      </c>
      <c r="D4" s="58" t="s">
        <v>80</v>
      </c>
      <c r="E4" s="57" t="s">
        <v>81</v>
      </c>
      <c r="G4" s="74"/>
      <c r="H4" s="67">
        <v>3</v>
      </c>
      <c r="I4" s="67">
        <v>2</v>
      </c>
      <c r="J4" s="67">
        <v>3</v>
      </c>
      <c r="K4" s="67">
        <v>1</v>
      </c>
      <c r="L4" s="74"/>
    </row>
    <row r="5" spans="1:12">
      <c r="A5" s="74"/>
      <c r="B5" s="59"/>
      <c r="C5" s="57" t="s">
        <v>82</v>
      </c>
      <c r="D5" s="59"/>
      <c r="E5" s="59"/>
      <c r="G5" s="74"/>
      <c r="H5" s="68"/>
      <c r="I5" s="67">
        <v>1</v>
      </c>
      <c r="J5" s="68"/>
      <c r="K5" s="68"/>
      <c r="L5" s="74"/>
    </row>
    <row r="6" spans="1:12" ht="23.25" thickBot="1">
      <c r="A6" s="75"/>
      <c r="B6" s="60"/>
      <c r="C6" s="61" t="s">
        <v>83</v>
      </c>
      <c r="D6" s="60"/>
      <c r="E6" s="60"/>
      <c r="G6" s="75"/>
      <c r="H6" s="69"/>
      <c r="I6" s="70">
        <v>1</v>
      </c>
      <c r="J6" s="69"/>
      <c r="K6" s="69"/>
      <c r="L6" s="75"/>
    </row>
    <row r="7" spans="1:12" ht="23.25" thickTop="1">
      <c r="A7" s="73">
        <v>2</v>
      </c>
      <c r="B7" s="55" t="s">
        <v>84</v>
      </c>
      <c r="C7" s="55" t="s">
        <v>72</v>
      </c>
      <c r="D7" s="54" t="s">
        <v>85</v>
      </c>
      <c r="E7" s="62" t="s">
        <v>86</v>
      </c>
      <c r="G7" s="73">
        <v>2</v>
      </c>
      <c r="H7" s="66">
        <v>2</v>
      </c>
      <c r="I7" s="66">
        <v>2</v>
      </c>
      <c r="J7" s="66">
        <v>1</v>
      </c>
      <c r="K7" s="66">
        <v>3</v>
      </c>
      <c r="L7" s="73">
        <f>SUM(H7:J9,K7:K8,I10:I11)*0.25</f>
        <v>5.25</v>
      </c>
    </row>
    <row r="8" spans="1:12">
      <c r="A8" s="74"/>
      <c r="B8" s="57" t="s">
        <v>87</v>
      </c>
      <c r="C8" s="56" t="s">
        <v>88</v>
      </c>
      <c r="D8" s="58" t="s">
        <v>89</v>
      </c>
      <c r="E8" s="57" t="s">
        <v>81</v>
      </c>
      <c r="G8" s="74"/>
      <c r="H8" s="67">
        <v>1</v>
      </c>
      <c r="I8" s="67">
        <v>2</v>
      </c>
      <c r="J8" s="67">
        <v>3</v>
      </c>
      <c r="K8" s="67">
        <v>1</v>
      </c>
      <c r="L8" s="74"/>
    </row>
    <row r="9" spans="1:12">
      <c r="A9" s="74"/>
      <c r="B9" s="57" t="s">
        <v>90</v>
      </c>
      <c r="C9" s="57" t="s">
        <v>91</v>
      </c>
      <c r="D9" s="56" t="s">
        <v>92</v>
      </c>
      <c r="E9" s="59"/>
      <c r="G9" s="74"/>
      <c r="H9" s="67">
        <v>1</v>
      </c>
      <c r="I9" s="67">
        <v>1</v>
      </c>
      <c r="J9" s="67">
        <v>2</v>
      </c>
      <c r="K9" s="68"/>
      <c r="L9" s="74"/>
    </row>
    <row r="10" spans="1:12">
      <c r="A10" s="74"/>
      <c r="B10" s="59"/>
      <c r="C10" s="57" t="s">
        <v>93</v>
      </c>
      <c r="D10" s="59"/>
      <c r="E10" s="59"/>
      <c r="G10" s="74"/>
      <c r="H10" s="68"/>
      <c r="I10" s="67">
        <v>1</v>
      </c>
      <c r="J10" s="68"/>
      <c r="K10" s="68"/>
      <c r="L10" s="74"/>
    </row>
    <row r="11" spans="1:12" ht="23.25" thickBot="1">
      <c r="A11" s="75"/>
      <c r="B11" s="60"/>
      <c r="C11" s="61" t="s">
        <v>83</v>
      </c>
      <c r="D11" s="60"/>
      <c r="E11" s="60"/>
      <c r="G11" s="75"/>
      <c r="H11" s="69"/>
      <c r="I11" s="70">
        <v>1</v>
      </c>
      <c r="J11" s="69"/>
      <c r="K11" s="69"/>
      <c r="L11" s="75"/>
    </row>
    <row r="12" spans="1:12" ht="23.25" thickTop="1">
      <c r="A12" s="73">
        <v>3</v>
      </c>
      <c r="B12" s="54" t="s">
        <v>94</v>
      </c>
      <c r="C12" s="55" t="s">
        <v>88</v>
      </c>
      <c r="D12" s="54" t="s">
        <v>95</v>
      </c>
      <c r="E12" s="62" t="s">
        <v>86</v>
      </c>
      <c r="G12" s="73">
        <v>3</v>
      </c>
      <c r="H12" s="66">
        <v>1</v>
      </c>
      <c r="I12" s="66">
        <v>2</v>
      </c>
      <c r="J12" s="66">
        <v>1</v>
      </c>
      <c r="K12" s="66">
        <v>3</v>
      </c>
      <c r="L12" s="73">
        <f>SUM(H12:K13,H14:J15)*0.25</f>
        <v>5</v>
      </c>
    </row>
    <row r="13" spans="1:12">
      <c r="A13" s="74"/>
      <c r="B13" s="56" t="s">
        <v>96</v>
      </c>
      <c r="C13" s="56" t="s">
        <v>76</v>
      </c>
      <c r="D13" s="57" t="s">
        <v>97</v>
      </c>
      <c r="E13" s="57" t="s">
        <v>81</v>
      </c>
      <c r="G13" s="74"/>
      <c r="H13" s="67">
        <v>2</v>
      </c>
      <c r="I13" s="67">
        <v>2</v>
      </c>
      <c r="J13" s="67">
        <v>1</v>
      </c>
      <c r="K13" s="67">
        <v>1</v>
      </c>
      <c r="L13" s="74"/>
    </row>
    <row r="14" spans="1:12">
      <c r="A14" s="74"/>
      <c r="B14" s="56" t="s">
        <v>84</v>
      </c>
      <c r="C14" s="57" t="s">
        <v>73</v>
      </c>
      <c r="D14" s="56" t="s">
        <v>98</v>
      </c>
      <c r="E14" s="59"/>
      <c r="G14" s="74"/>
      <c r="H14" s="67">
        <v>2</v>
      </c>
      <c r="I14" s="67">
        <v>2</v>
      </c>
      <c r="J14" s="67">
        <v>2</v>
      </c>
      <c r="K14" s="68"/>
      <c r="L14" s="74"/>
    </row>
    <row r="15" spans="1:12" ht="23.25" thickBot="1">
      <c r="A15" s="75"/>
      <c r="B15" s="60"/>
      <c r="C15" s="61" t="s">
        <v>83</v>
      </c>
      <c r="D15" s="60"/>
      <c r="E15" s="60"/>
      <c r="G15" s="75"/>
      <c r="H15" s="69"/>
      <c r="I15" s="70">
        <v>1</v>
      </c>
      <c r="J15" s="69"/>
      <c r="K15" s="69"/>
      <c r="L15" s="75"/>
    </row>
    <row r="16" spans="1:12" ht="23.25" thickTop="1">
      <c r="A16" s="73">
        <v>4</v>
      </c>
      <c r="B16" s="54" t="s">
        <v>99</v>
      </c>
      <c r="C16" s="55" t="s">
        <v>100</v>
      </c>
      <c r="D16" s="62" t="s">
        <v>101</v>
      </c>
      <c r="E16" s="55" t="s">
        <v>102</v>
      </c>
      <c r="G16" s="73">
        <v>4</v>
      </c>
      <c r="H16" s="66">
        <v>1</v>
      </c>
      <c r="I16" s="66">
        <v>2</v>
      </c>
      <c r="J16" s="66">
        <v>3</v>
      </c>
      <c r="K16" s="66">
        <v>2</v>
      </c>
      <c r="L16" s="73">
        <f>SUM(H16:K19)*0.25</f>
        <v>5.5</v>
      </c>
    </row>
    <row r="17" spans="1:12">
      <c r="A17" s="74"/>
      <c r="B17" s="56" t="s">
        <v>103</v>
      </c>
      <c r="C17" s="56" t="s">
        <v>104</v>
      </c>
      <c r="D17" s="57" t="s">
        <v>105</v>
      </c>
      <c r="E17" s="57" t="s">
        <v>81</v>
      </c>
      <c r="G17" s="74"/>
      <c r="H17" s="67">
        <v>2</v>
      </c>
      <c r="I17" s="67">
        <v>2</v>
      </c>
      <c r="J17" s="67">
        <v>1</v>
      </c>
      <c r="K17" s="67">
        <v>1</v>
      </c>
      <c r="L17" s="74"/>
    </row>
    <row r="18" spans="1:12" ht="22.5">
      <c r="A18" s="74"/>
      <c r="B18" s="58" t="s">
        <v>106</v>
      </c>
      <c r="C18" s="57" t="s">
        <v>73</v>
      </c>
      <c r="D18" s="56" t="s">
        <v>73</v>
      </c>
      <c r="E18" s="59"/>
      <c r="G18" s="74"/>
      <c r="H18" s="67">
        <v>3</v>
      </c>
      <c r="I18" s="67">
        <v>2</v>
      </c>
      <c r="J18" s="67">
        <v>2</v>
      </c>
      <c r="K18" s="68"/>
      <c r="L18" s="74"/>
    </row>
    <row r="19" spans="1:12" ht="15.75" thickBot="1">
      <c r="A19" s="75"/>
      <c r="B19" s="60"/>
      <c r="C19" s="61" t="s">
        <v>107</v>
      </c>
      <c r="D19" s="60"/>
      <c r="E19" s="60"/>
      <c r="G19" s="75"/>
      <c r="H19" s="69"/>
      <c r="I19" s="70">
        <v>1</v>
      </c>
      <c r="J19" s="69"/>
      <c r="K19" s="69"/>
      <c r="L19" s="75"/>
    </row>
    <row r="20" spans="1:12" ht="15.75" thickTop="1"/>
  </sheetData>
  <mergeCells count="12">
    <mergeCell ref="G12:G15"/>
    <mergeCell ref="L12:L15"/>
    <mergeCell ref="G16:G19"/>
    <mergeCell ref="L16:L19"/>
    <mergeCell ref="A2:A6"/>
    <mergeCell ref="A7:A11"/>
    <mergeCell ref="A12:A15"/>
    <mergeCell ref="A16:A19"/>
    <mergeCell ref="G2:G6"/>
    <mergeCell ref="L2:L6"/>
    <mergeCell ref="G7:G11"/>
    <mergeCell ref="L7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19" sqref="B19"/>
    </sheetView>
  </sheetViews>
  <sheetFormatPr defaultRowHeight="15"/>
  <cols>
    <col min="1" max="1" width="17.85546875" customWidth="1"/>
    <col min="3" max="3" width="11.42578125" bestFit="1" customWidth="1"/>
    <col min="4" max="4" width="12.85546875" customWidth="1"/>
    <col min="5" max="6" width="11.42578125" bestFit="1" customWidth="1"/>
    <col min="7" max="7" width="10.140625" customWidth="1"/>
    <col min="8" max="9" width="11.42578125" bestFit="1" customWidth="1"/>
  </cols>
  <sheetData>
    <row r="1" spans="1:9" ht="35.25" customHeight="1" thickBot="1">
      <c r="A1" s="33" t="s">
        <v>20</v>
      </c>
      <c r="B1" s="33" t="s">
        <v>17</v>
      </c>
      <c r="C1" s="33" t="s">
        <v>21</v>
      </c>
      <c r="D1" s="33" t="s">
        <v>22</v>
      </c>
      <c r="E1" s="33" t="s">
        <v>23</v>
      </c>
      <c r="F1" s="33" t="s">
        <v>24</v>
      </c>
      <c r="G1" s="33" t="s">
        <v>25</v>
      </c>
      <c r="H1" s="33" t="s">
        <v>26</v>
      </c>
      <c r="I1" s="33" t="s">
        <v>27</v>
      </c>
    </row>
    <row r="2" spans="1:9" ht="16.5" thickTop="1" thickBot="1">
      <c r="A2" s="34" t="s">
        <v>28</v>
      </c>
      <c r="B2" s="35">
        <v>9</v>
      </c>
      <c r="C2" s="30">
        <v>7</v>
      </c>
      <c r="D2" s="30">
        <v>5</v>
      </c>
      <c r="E2" s="30">
        <v>7</v>
      </c>
      <c r="F2" s="30">
        <v>7</v>
      </c>
      <c r="G2" s="30">
        <v>9</v>
      </c>
      <c r="H2" s="30">
        <v>5</v>
      </c>
      <c r="I2" s="30">
        <v>5</v>
      </c>
    </row>
    <row r="3" spans="1:9" ht="15.75" thickBot="1">
      <c r="A3" s="36" t="s">
        <v>29</v>
      </c>
      <c r="B3" s="37">
        <v>7</v>
      </c>
      <c r="C3" s="31">
        <v>9</v>
      </c>
      <c r="D3" s="31">
        <v>7</v>
      </c>
      <c r="E3" s="31">
        <v>7</v>
      </c>
      <c r="F3" s="31">
        <v>5</v>
      </c>
      <c r="G3" s="31">
        <v>9</v>
      </c>
      <c r="H3" s="31">
        <v>7</v>
      </c>
      <c r="I3" s="31">
        <v>5</v>
      </c>
    </row>
    <row r="4" spans="1:9" ht="15.75" thickBot="1">
      <c r="A4" s="38" t="s">
        <v>30</v>
      </c>
      <c r="B4" s="39">
        <v>5</v>
      </c>
      <c r="C4" s="32">
        <v>7</v>
      </c>
      <c r="D4" s="32">
        <v>3</v>
      </c>
      <c r="E4" s="32">
        <v>5</v>
      </c>
      <c r="F4" s="32">
        <v>5</v>
      </c>
      <c r="G4" s="32">
        <v>9</v>
      </c>
      <c r="H4" s="32">
        <v>9</v>
      </c>
      <c r="I4" s="32">
        <v>7</v>
      </c>
    </row>
    <row r="5" spans="1:9" ht="15.75" thickBot="1">
      <c r="A5" s="36" t="s">
        <v>31</v>
      </c>
      <c r="B5" s="37">
        <v>3</v>
      </c>
      <c r="C5" s="31">
        <v>1</v>
      </c>
      <c r="D5" s="31">
        <v>1</v>
      </c>
      <c r="E5" s="31">
        <v>1</v>
      </c>
      <c r="F5" s="31">
        <v>1</v>
      </c>
      <c r="G5" s="31">
        <v>5</v>
      </c>
      <c r="H5" s="31">
        <v>7</v>
      </c>
      <c r="I5" s="31">
        <v>5</v>
      </c>
    </row>
    <row r="6" spans="1:9" ht="15.75" thickBot="1">
      <c r="A6" s="38" t="s">
        <v>32</v>
      </c>
      <c r="B6" s="39">
        <v>1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</row>
    <row r="7" spans="1:9" ht="15.75" thickBot="1">
      <c r="A7" s="36" t="s">
        <v>33</v>
      </c>
      <c r="B7" s="37">
        <v>9</v>
      </c>
      <c r="C7" s="31">
        <v>5</v>
      </c>
      <c r="D7" s="31">
        <v>9</v>
      </c>
      <c r="E7" s="31">
        <v>5</v>
      </c>
      <c r="F7" s="31">
        <v>7</v>
      </c>
      <c r="G7" s="31">
        <v>9</v>
      </c>
      <c r="H7" s="31">
        <v>5</v>
      </c>
      <c r="I7" s="31">
        <v>5</v>
      </c>
    </row>
    <row r="8" spans="1:9" ht="15.75" thickBot="1"/>
    <row r="9" spans="1:9" ht="26.25" thickBot="1">
      <c r="A9" s="33" t="s">
        <v>20</v>
      </c>
      <c r="B9" s="33" t="s">
        <v>17</v>
      </c>
      <c r="C9" s="33" t="s">
        <v>21</v>
      </c>
      <c r="D9" s="33" t="s">
        <v>22</v>
      </c>
      <c r="E9" s="33" t="s">
        <v>23</v>
      </c>
      <c r="F9" s="33" t="s">
        <v>24</v>
      </c>
      <c r="G9" s="33" t="s">
        <v>25</v>
      </c>
      <c r="H9" s="33" t="s">
        <v>26</v>
      </c>
      <c r="I9" s="33" t="s">
        <v>27</v>
      </c>
    </row>
    <row r="10" spans="1:9" ht="16.5" thickTop="1" thickBot="1">
      <c r="A10" s="34" t="s">
        <v>28</v>
      </c>
      <c r="B10" s="35">
        <v>9</v>
      </c>
      <c r="C10" s="30">
        <f>C2*B10</f>
        <v>63</v>
      </c>
      <c r="D10" s="30">
        <f>D2*B10</f>
        <v>45</v>
      </c>
      <c r="E10" s="30">
        <f>E2*B10</f>
        <v>63</v>
      </c>
      <c r="F10" s="30">
        <f>F2*B10</f>
        <v>63</v>
      </c>
      <c r="G10" s="30">
        <f>G2*B10</f>
        <v>81</v>
      </c>
      <c r="H10" s="30">
        <f>H2*B10</f>
        <v>45</v>
      </c>
      <c r="I10" s="30">
        <f>I2*B10</f>
        <v>45</v>
      </c>
    </row>
    <row r="11" spans="1:9" ht="16.5" thickTop="1" thickBot="1">
      <c r="A11" s="36" t="s">
        <v>29</v>
      </c>
      <c r="B11" s="37">
        <v>7</v>
      </c>
      <c r="C11" s="30">
        <f t="shared" ref="C11:C15" si="0">C3*B11</f>
        <v>63</v>
      </c>
      <c r="D11" s="30">
        <f t="shared" ref="D11:D15" si="1">D3*B11</f>
        <v>49</v>
      </c>
      <c r="E11" s="30">
        <f t="shared" ref="E11:E14" si="2">E3*B11</f>
        <v>49</v>
      </c>
      <c r="F11" s="30">
        <f t="shared" ref="F11:F15" si="3">F3*B11</f>
        <v>35</v>
      </c>
      <c r="G11" s="30">
        <f t="shared" ref="G11:G15" si="4">G3*B11</f>
        <v>63</v>
      </c>
      <c r="H11" s="30">
        <f t="shared" ref="H11:H15" si="5">H3*B11</f>
        <v>49</v>
      </c>
      <c r="I11" s="30">
        <f t="shared" ref="I11:I15" si="6">I3*B11</f>
        <v>35</v>
      </c>
    </row>
    <row r="12" spans="1:9" ht="16.5" thickTop="1" thickBot="1">
      <c r="A12" s="38" t="s">
        <v>30</v>
      </c>
      <c r="B12" s="39">
        <v>5</v>
      </c>
      <c r="C12" s="30">
        <f t="shared" si="0"/>
        <v>35</v>
      </c>
      <c r="D12" s="30">
        <f t="shared" si="1"/>
        <v>15</v>
      </c>
      <c r="E12" s="30">
        <f t="shared" si="2"/>
        <v>25</v>
      </c>
      <c r="F12" s="30">
        <f t="shared" si="3"/>
        <v>25</v>
      </c>
      <c r="G12" s="30">
        <f t="shared" si="4"/>
        <v>45</v>
      </c>
      <c r="H12" s="30">
        <f t="shared" si="5"/>
        <v>45</v>
      </c>
      <c r="I12" s="30">
        <f t="shared" si="6"/>
        <v>35</v>
      </c>
    </row>
    <row r="13" spans="1:9" ht="16.5" thickTop="1" thickBot="1">
      <c r="A13" s="36" t="s">
        <v>31</v>
      </c>
      <c r="B13" s="37">
        <v>3</v>
      </c>
      <c r="C13" s="30">
        <f t="shared" si="0"/>
        <v>3</v>
      </c>
      <c r="D13" s="30">
        <f t="shared" si="1"/>
        <v>3</v>
      </c>
      <c r="E13" s="30">
        <f t="shared" si="2"/>
        <v>3</v>
      </c>
      <c r="F13" s="30">
        <f t="shared" si="3"/>
        <v>3</v>
      </c>
      <c r="G13" s="30">
        <f t="shared" si="4"/>
        <v>15</v>
      </c>
      <c r="H13" s="30">
        <f t="shared" si="5"/>
        <v>21</v>
      </c>
      <c r="I13" s="30">
        <f t="shared" si="6"/>
        <v>15</v>
      </c>
    </row>
    <row r="14" spans="1:9" ht="16.5" thickTop="1" thickBot="1">
      <c r="A14" s="38" t="s">
        <v>32</v>
      </c>
      <c r="B14" s="39">
        <v>1</v>
      </c>
      <c r="C14" s="30">
        <f t="shared" si="0"/>
        <v>1</v>
      </c>
      <c r="D14" s="30">
        <f t="shared" si="1"/>
        <v>1</v>
      </c>
      <c r="E14" s="30">
        <f t="shared" si="2"/>
        <v>1</v>
      </c>
      <c r="F14" s="30">
        <f t="shared" si="3"/>
        <v>1</v>
      </c>
      <c r="G14" s="30">
        <f t="shared" si="4"/>
        <v>1</v>
      </c>
      <c r="H14" s="30">
        <f t="shared" si="5"/>
        <v>1</v>
      </c>
      <c r="I14" s="30">
        <f t="shared" si="6"/>
        <v>1</v>
      </c>
    </row>
    <row r="15" spans="1:9" ht="16.5" thickTop="1" thickBot="1">
      <c r="A15" s="36" t="s">
        <v>33</v>
      </c>
      <c r="B15" s="37">
        <v>9</v>
      </c>
      <c r="C15" s="30">
        <f t="shared" si="0"/>
        <v>45</v>
      </c>
      <c r="D15" s="30">
        <f t="shared" si="1"/>
        <v>81</v>
      </c>
      <c r="E15" s="30">
        <f>E7*B15</f>
        <v>45</v>
      </c>
      <c r="F15" s="30">
        <f t="shared" si="3"/>
        <v>63</v>
      </c>
      <c r="G15" s="30">
        <f t="shared" si="4"/>
        <v>81</v>
      </c>
      <c r="H15" s="30">
        <f t="shared" si="5"/>
        <v>45</v>
      </c>
      <c r="I15" s="30">
        <f t="shared" si="6"/>
        <v>45</v>
      </c>
    </row>
    <row r="16" spans="1:9" ht="15.75" thickBot="1">
      <c r="A16" s="76" t="s">
        <v>34</v>
      </c>
      <c r="B16" s="77"/>
      <c r="C16" s="40">
        <f t="shared" ref="C16:H16" si="7">SUM(C10:C15)</f>
        <v>210</v>
      </c>
      <c r="D16" s="40">
        <f t="shared" si="7"/>
        <v>194</v>
      </c>
      <c r="E16" s="40">
        <f t="shared" si="7"/>
        <v>186</v>
      </c>
      <c r="F16" s="40">
        <f t="shared" si="7"/>
        <v>190</v>
      </c>
      <c r="G16" s="40">
        <f t="shared" si="7"/>
        <v>286</v>
      </c>
      <c r="H16" s="40">
        <f t="shared" si="7"/>
        <v>206</v>
      </c>
      <c r="I16" s="40">
        <f>SUM(I10:I15)</f>
        <v>176</v>
      </c>
    </row>
    <row r="17" spans="1:9" ht="15.75" thickBot="1">
      <c r="A17" s="78" t="s">
        <v>35</v>
      </c>
      <c r="B17" s="79"/>
      <c r="C17" s="41">
        <f>C16/(C16+D16+E16+F16+G16+H16+I16)</f>
        <v>0.14502762430939226</v>
      </c>
      <c r="D17" s="41">
        <f>D16/(C16+D16+E16+F16+G16+H16+I16)</f>
        <v>0.13397790055248618</v>
      </c>
      <c r="E17" s="41">
        <f>E16/(C16+D16+E16+F16+G16+H16+I16)</f>
        <v>0.12845303867403315</v>
      </c>
      <c r="F17" s="41">
        <f>F16/(C16+D16+E16+F16+G16+H16+I16)</f>
        <v>0.13121546961325967</v>
      </c>
      <c r="G17" s="41">
        <f>G16/(C16+D16+E16+F16+G16+H16+I16)</f>
        <v>0.19751381215469613</v>
      </c>
      <c r="H17" s="41">
        <f>H16/(C16+D16+E16+F16+G16+H16+I16)</f>
        <v>0.14226519337016574</v>
      </c>
      <c r="I17" s="41">
        <f>I16/(C16+D16+E16+F16+G16+H16+I16)</f>
        <v>0.12154696132596685</v>
      </c>
    </row>
    <row r="18" spans="1:9" ht="15.75" thickBot="1">
      <c r="A18" s="78" t="s">
        <v>36</v>
      </c>
      <c r="B18" s="79"/>
      <c r="C18" s="42">
        <v>2</v>
      </c>
      <c r="D18" s="42">
        <v>4</v>
      </c>
      <c r="E18" s="42">
        <v>6</v>
      </c>
      <c r="F18" s="42">
        <v>5</v>
      </c>
      <c r="G18" s="42">
        <v>1</v>
      </c>
      <c r="H18" s="42">
        <v>3</v>
      </c>
      <c r="I18" s="42">
        <v>7</v>
      </c>
    </row>
  </sheetData>
  <mergeCells count="3">
    <mergeCell ref="A16:B16"/>
    <mergeCell ref="A17:B17"/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D23" sqref="D23"/>
    </sheetView>
  </sheetViews>
  <sheetFormatPr defaultRowHeight="15"/>
  <cols>
    <col min="1" max="1" width="32.85546875" bestFit="1" customWidth="1"/>
    <col min="2" max="2" width="26.42578125" customWidth="1"/>
  </cols>
  <sheetData>
    <row r="1" spans="1:5">
      <c r="A1" s="23" t="s">
        <v>37</v>
      </c>
      <c r="B1" s="23" t="s">
        <v>38</v>
      </c>
      <c r="C1" s="23" t="s">
        <v>39</v>
      </c>
      <c r="D1" s="23" t="s">
        <v>40</v>
      </c>
      <c r="E1" s="23" t="s">
        <v>41</v>
      </c>
    </row>
    <row r="2" spans="1:5">
      <c r="A2" s="23" t="s">
        <v>42</v>
      </c>
      <c r="B2" s="23" t="s">
        <v>50</v>
      </c>
      <c r="C2" s="45">
        <v>8</v>
      </c>
      <c r="D2" s="45">
        <v>0</v>
      </c>
      <c r="E2" s="23">
        <f>D2/SUM(D2:D9)</f>
        <v>0</v>
      </c>
    </row>
    <row r="3" spans="1:5">
      <c r="A3" s="46" t="s">
        <v>43</v>
      </c>
      <c r="B3" s="23" t="s">
        <v>57</v>
      </c>
      <c r="C3" s="45">
        <f>'Stakeholder Assessment'!C18</f>
        <v>2</v>
      </c>
      <c r="D3" s="45">
        <v>90</v>
      </c>
      <c r="E3" s="23">
        <f>D3/SUM(D2:D9)</f>
        <v>0.16917293233082706</v>
      </c>
    </row>
    <row r="4" spans="1:5">
      <c r="A4" s="43" t="s">
        <v>44</v>
      </c>
      <c r="B4" s="23" t="s">
        <v>56</v>
      </c>
      <c r="C4" s="45">
        <f>'Stakeholder Assessment'!D18</f>
        <v>4</v>
      </c>
      <c r="D4" s="45">
        <v>75</v>
      </c>
      <c r="E4" s="23">
        <f>D4/SUM(D2:D9)</f>
        <v>0.14097744360902256</v>
      </c>
    </row>
    <row r="5" spans="1:5">
      <c r="A5" s="43" t="s">
        <v>45</v>
      </c>
      <c r="B5" s="23" t="s">
        <v>55</v>
      </c>
      <c r="C5" s="45">
        <f>'Stakeholder Assessment'!E18</f>
        <v>6</v>
      </c>
      <c r="D5" s="45">
        <v>65</v>
      </c>
      <c r="E5" s="23">
        <f>D5/SUM(D2:D9)</f>
        <v>0.12218045112781954</v>
      </c>
    </row>
    <row r="6" spans="1:5">
      <c r="A6" s="43" t="s">
        <v>46</v>
      </c>
      <c r="B6" s="23" t="s">
        <v>54</v>
      </c>
      <c r="C6" s="45">
        <f>'Stakeholder Assessment'!F18</f>
        <v>5</v>
      </c>
      <c r="D6" s="45">
        <v>70</v>
      </c>
      <c r="E6" s="23">
        <f>D6/SUM(D2:D9)</f>
        <v>0.13157894736842105</v>
      </c>
    </row>
    <row r="7" spans="1:5">
      <c r="A7" s="46" t="s">
        <v>47</v>
      </c>
      <c r="B7" s="23" t="s">
        <v>53</v>
      </c>
      <c r="C7" s="45">
        <f>'Stakeholder Assessment'!G18</f>
        <v>1</v>
      </c>
      <c r="D7" s="45">
        <v>100</v>
      </c>
      <c r="E7" s="23">
        <f>D7/SUM(D2:D9)</f>
        <v>0.18796992481203006</v>
      </c>
    </row>
    <row r="8" spans="1:5">
      <c r="A8" s="46" t="s">
        <v>48</v>
      </c>
      <c r="B8" s="23" t="s">
        <v>52</v>
      </c>
      <c r="C8" s="45">
        <f>'Stakeholder Assessment'!H18</f>
        <v>3</v>
      </c>
      <c r="D8" s="45">
        <v>82</v>
      </c>
      <c r="E8" s="23">
        <f>D8/SUM(D2:D9)</f>
        <v>0.15413533834586465</v>
      </c>
    </row>
    <row r="9" spans="1:5">
      <c r="A9" s="43" t="s">
        <v>49</v>
      </c>
      <c r="B9" s="23" t="s">
        <v>51</v>
      </c>
      <c r="C9" s="45">
        <f>'Stakeholder Assessment'!I18</f>
        <v>7</v>
      </c>
      <c r="D9" s="45">
        <v>50</v>
      </c>
      <c r="E9" s="23">
        <f>D9/SUM(D2:D9)</f>
        <v>9.3984962406015032E-2</v>
      </c>
    </row>
    <row r="10" spans="1:5">
      <c r="A10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"/>
  <sheetViews>
    <sheetView zoomScale="50" zoomScaleNormal="50" workbookViewId="0">
      <selection activeCell="H30" sqref="H30"/>
    </sheetView>
  </sheetViews>
  <sheetFormatPr defaultRowHeight="15"/>
  <cols>
    <col min="1" max="1" width="14.140625" bestFit="1" customWidth="1"/>
    <col min="3" max="3" width="14" customWidth="1"/>
    <col min="4" max="4" width="14.140625" bestFit="1" customWidth="1"/>
    <col min="6" max="6" width="12.85546875" bestFit="1" customWidth="1"/>
    <col min="7" max="7" width="14.140625" bestFit="1" customWidth="1"/>
    <col min="9" max="9" width="12.85546875" bestFit="1" customWidth="1"/>
  </cols>
  <sheetData>
    <row r="1" spans="1:8">
      <c r="A1" s="82" t="s">
        <v>59</v>
      </c>
      <c r="B1" s="82"/>
      <c r="C1" s="51"/>
      <c r="D1" s="80" t="s">
        <v>60</v>
      </c>
      <c r="E1" s="81"/>
      <c r="G1" s="80" t="s">
        <v>65</v>
      </c>
      <c r="H1" s="81"/>
    </row>
    <row r="2" spans="1:8">
      <c r="A2" s="45" t="s">
        <v>58</v>
      </c>
      <c r="B2" s="45" t="s">
        <v>15</v>
      </c>
      <c r="D2" s="45" t="s">
        <v>58</v>
      </c>
      <c r="E2" s="45" t="s">
        <v>15</v>
      </c>
      <c r="G2" s="45" t="s">
        <v>58</v>
      </c>
      <c r="H2" s="45" t="s">
        <v>15</v>
      </c>
    </row>
    <row r="3" spans="1:8">
      <c r="A3" s="45">
        <v>9</v>
      </c>
      <c r="B3" s="45">
        <v>1</v>
      </c>
      <c r="D3" s="45">
        <v>9</v>
      </c>
      <c r="E3" s="45">
        <v>1</v>
      </c>
      <c r="G3" s="45">
        <v>9</v>
      </c>
      <c r="H3" s="45">
        <v>1</v>
      </c>
    </row>
    <row r="4" spans="1:8">
      <c r="A4" s="45">
        <v>7</v>
      </c>
      <c r="B4" s="45">
        <v>0.8</v>
      </c>
      <c r="D4" s="45">
        <v>7</v>
      </c>
      <c r="E4" s="45">
        <v>0.85</v>
      </c>
      <c r="G4" s="45">
        <v>7</v>
      </c>
      <c r="H4" s="45">
        <v>0.8</v>
      </c>
    </row>
    <row r="5" spans="1:8">
      <c r="A5" s="45">
        <v>5</v>
      </c>
      <c r="B5" s="45">
        <v>0.5</v>
      </c>
      <c r="D5" s="45">
        <v>5</v>
      </c>
      <c r="E5" s="45">
        <v>0.5</v>
      </c>
      <c r="G5" s="45">
        <v>5</v>
      </c>
      <c r="H5" s="45">
        <v>0.6</v>
      </c>
    </row>
    <row r="6" spans="1:8">
      <c r="A6" s="45">
        <v>3</v>
      </c>
      <c r="B6" s="45">
        <v>0.3</v>
      </c>
      <c r="D6" s="45">
        <v>3</v>
      </c>
      <c r="E6" s="45">
        <v>0.2</v>
      </c>
      <c r="G6" s="45">
        <v>3</v>
      </c>
      <c r="H6" s="45">
        <v>0.4</v>
      </c>
    </row>
    <row r="7" spans="1:8">
      <c r="A7" s="45">
        <v>1</v>
      </c>
      <c r="B7" s="45">
        <v>0</v>
      </c>
      <c r="D7" s="45">
        <v>1</v>
      </c>
      <c r="E7" s="45">
        <v>0</v>
      </c>
      <c r="G7" s="45">
        <v>1</v>
      </c>
      <c r="H7" s="45">
        <v>0</v>
      </c>
    </row>
    <row r="9" spans="1:8">
      <c r="A9" s="80" t="s">
        <v>61</v>
      </c>
      <c r="B9" s="81"/>
      <c r="D9" s="80" t="s">
        <v>62</v>
      </c>
      <c r="E9" s="81"/>
    </row>
    <row r="10" spans="1:8">
      <c r="A10" s="45" t="s">
        <v>58</v>
      </c>
      <c r="B10" s="45" t="s">
        <v>15</v>
      </c>
      <c r="D10" s="45" t="s">
        <v>58</v>
      </c>
      <c r="E10" s="45" t="s">
        <v>15</v>
      </c>
    </row>
    <row r="11" spans="1:8">
      <c r="A11" s="45">
        <v>9</v>
      </c>
      <c r="B11" s="45">
        <v>1</v>
      </c>
      <c r="D11" s="45">
        <v>9</v>
      </c>
      <c r="E11" s="45">
        <v>1</v>
      </c>
    </row>
    <row r="12" spans="1:8">
      <c r="A12" s="45">
        <v>7</v>
      </c>
      <c r="B12" s="45">
        <v>0.9</v>
      </c>
      <c r="D12" s="45">
        <v>7</v>
      </c>
      <c r="E12" s="45">
        <v>0.7</v>
      </c>
    </row>
    <row r="13" spans="1:8">
      <c r="A13" s="45">
        <v>5</v>
      </c>
      <c r="B13" s="45">
        <v>0.75</v>
      </c>
      <c r="D13" s="45">
        <v>5</v>
      </c>
      <c r="E13" s="45">
        <v>0.6</v>
      </c>
    </row>
    <row r="14" spans="1:8">
      <c r="A14" s="45">
        <v>3</v>
      </c>
      <c r="B14" s="45">
        <v>0.4</v>
      </c>
      <c r="D14" s="45">
        <v>3</v>
      </c>
      <c r="E14" s="45">
        <v>0.3</v>
      </c>
    </row>
    <row r="15" spans="1:8">
      <c r="A15" s="45">
        <v>1</v>
      </c>
      <c r="B15" s="45">
        <v>0</v>
      </c>
      <c r="D15" s="45">
        <v>1</v>
      </c>
      <c r="E15" s="45">
        <v>0</v>
      </c>
    </row>
    <row r="17" spans="1:5">
      <c r="A17" s="83" t="s">
        <v>63</v>
      </c>
      <c r="B17" s="83"/>
      <c r="D17" s="80" t="s">
        <v>64</v>
      </c>
      <c r="E17" s="81"/>
    </row>
    <row r="18" spans="1:5">
      <c r="A18" s="45" t="s">
        <v>58</v>
      </c>
      <c r="B18" s="45" t="s">
        <v>15</v>
      </c>
      <c r="D18" s="45" t="s">
        <v>58</v>
      </c>
      <c r="E18" s="45" t="s">
        <v>15</v>
      </c>
    </row>
    <row r="19" spans="1:5">
      <c r="A19" s="45">
        <v>9</v>
      </c>
      <c r="B19" s="45">
        <v>1</v>
      </c>
      <c r="D19" s="45">
        <v>9</v>
      </c>
      <c r="E19" s="45">
        <v>1</v>
      </c>
    </row>
    <row r="20" spans="1:5">
      <c r="A20" s="45">
        <v>7</v>
      </c>
      <c r="B20" s="45">
        <v>0.6</v>
      </c>
      <c r="D20" s="45">
        <v>7</v>
      </c>
      <c r="E20" s="45">
        <v>0.75</v>
      </c>
    </row>
    <row r="21" spans="1:5">
      <c r="A21" s="45">
        <v>5</v>
      </c>
      <c r="B21" s="45">
        <v>0.25</v>
      </c>
      <c r="D21" s="45">
        <v>5</v>
      </c>
      <c r="E21" s="45">
        <v>0.6</v>
      </c>
    </row>
    <row r="22" spans="1:5">
      <c r="A22" s="45">
        <v>3</v>
      </c>
      <c r="B22" s="45">
        <v>0.1</v>
      </c>
      <c r="D22" s="45">
        <v>3</v>
      </c>
      <c r="E22" s="45">
        <v>0.4</v>
      </c>
    </row>
    <row r="23" spans="1:5">
      <c r="A23" s="45">
        <v>1</v>
      </c>
      <c r="B23" s="45">
        <v>0</v>
      </c>
      <c r="D23" s="45">
        <v>1</v>
      </c>
      <c r="E23" s="45">
        <v>0</v>
      </c>
    </row>
  </sheetData>
  <mergeCells count="7">
    <mergeCell ref="G1:H1"/>
    <mergeCell ref="A1:B1"/>
    <mergeCell ref="A9:B9"/>
    <mergeCell ref="A17:B17"/>
    <mergeCell ref="D1:E1"/>
    <mergeCell ref="D9:E9"/>
    <mergeCell ref="D17:E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1"/>
  <sheetViews>
    <sheetView zoomScale="70" zoomScaleNormal="70" workbookViewId="0">
      <selection activeCell="K20" sqref="K20"/>
    </sheetView>
  </sheetViews>
  <sheetFormatPr defaultRowHeight="15.75"/>
  <cols>
    <col min="1" max="1" width="23.140625" style="19" customWidth="1"/>
    <col min="2" max="3" width="6.7109375" style="19" customWidth="1"/>
    <col min="4" max="4" width="6.85546875" style="19" customWidth="1"/>
    <col min="5" max="5" width="7.85546875" style="19" customWidth="1"/>
    <col min="6" max="10" width="6.85546875" style="19" customWidth="1"/>
    <col min="11" max="11" width="6.85546875" customWidth="1"/>
    <col min="13" max="13" width="33.140625" customWidth="1"/>
    <col min="14" max="14" width="10.140625" customWidth="1"/>
    <col min="18" max="18" width="9.7109375" bestFit="1" customWidth="1"/>
  </cols>
  <sheetData>
    <row r="1" spans="1:22" ht="15">
      <c r="A1" s="86" t="s">
        <v>0</v>
      </c>
      <c r="B1" s="86" t="s">
        <v>1</v>
      </c>
      <c r="C1" s="89" t="s">
        <v>2</v>
      </c>
      <c r="D1" s="84" t="s">
        <v>3</v>
      </c>
      <c r="E1" s="85"/>
      <c r="F1" s="85"/>
      <c r="G1" s="85"/>
      <c r="H1" s="85"/>
      <c r="I1" s="85"/>
      <c r="J1" s="85"/>
      <c r="K1" s="85"/>
      <c r="M1" s="93" t="s">
        <v>0</v>
      </c>
      <c r="N1" s="93" t="s">
        <v>17</v>
      </c>
      <c r="O1" s="84" t="s">
        <v>3</v>
      </c>
      <c r="P1" s="100"/>
      <c r="Q1" s="100"/>
      <c r="R1" s="100"/>
      <c r="S1" s="100"/>
      <c r="T1" s="100"/>
      <c r="U1" s="100"/>
      <c r="V1" s="100"/>
    </row>
    <row r="2" spans="1:22" ht="15">
      <c r="A2" s="87"/>
      <c r="B2" s="87"/>
      <c r="C2" s="84"/>
      <c r="D2" s="104" t="s">
        <v>11</v>
      </c>
      <c r="E2" s="105"/>
      <c r="F2" s="104" t="s">
        <v>14</v>
      </c>
      <c r="G2" s="105"/>
      <c r="H2" s="104" t="s">
        <v>12</v>
      </c>
      <c r="I2" s="106"/>
      <c r="J2" s="91" t="s">
        <v>13</v>
      </c>
      <c r="K2" s="92"/>
      <c r="M2" s="94"/>
      <c r="N2" s="94"/>
      <c r="O2" s="101" t="s">
        <v>11</v>
      </c>
      <c r="P2" s="102"/>
      <c r="Q2" s="101" t="s">
        <v>14</v>
      </c>
      <c r="R2" s="102"/>
      <c r="S2" s="101" t="s">
        <v>12</v>
      </c>
      <c r="T2" s="103"/>
      <c r="U2" s="91" t="s">
        <v>13</v>
      </c>
      <c r="V2" s="92"/>
    </row>
    <row r="3" spans="1:22" ht="12.75" customHeight="1">
      <c r="A3" s="88"/>
      <c r="B3" s="88"/>
      <c r="C3" s="90"/>
      <c r="D3" s="24" t="s">
        <v>16</v>
      </c>
      <c r="E3" s="24" t="s">
        <v>15</v>
      </c>
      <c r="F3" s="24" t="s">
        <v>16</v>
      </c>
      <c r="G3" s="24" t="s">
        <v>15</v>
      </c>
      <c r="H3" s="24" t="s">
        <v>16</v>
      </c>
      <c r="I3" s="24" t="s">
        <v>15</v>
      </c>
      <c r="J3" s="24" t="s">
        <v>16</v>
      </c>
      <c r="K3" s="24" t="s">
        <v>15</v>
      </c>
      <c r="M3" s="95"/>
      <c r="N3" s="95"/>
      <c r="O3" s="24" t="s">
        <v>15</v>
      </c>
      <c r="P3" s="24" t="s">
        <v>19</v>
      </c>
      <c r="Q3" s="24" t="s">
        <v>15</v>
      </c>
      <c r="R3" s="24" t="s">
        <v>19</v>
      </c>
      <c r="S3" s="24" t="s">
        <v>15</v>
      </c>
      <c r="T3" s="24" t="s">
        <v>19</v>
      </c>
      <c r="U3" s="24" t="s">
        <v>15</v>
      </c>
      <c r="V3" s="24" t="s">
        <v>19</v>
      </c>
    </row>
    <row r="4" spans="1:22" ht="26.25">
      <c r="A4" s="25" t="s">
        <v>4</v>
      </c>
      <c r="B4" s="21">
        <v>500</v>
      </c>
      <c r="C4" s="21">
        <v>1500</v>
      </c>
      <c r="D4" s="22">
        <v>7</v>
      </c>
      <c r="E4" s="48">
        <f>IF(D4=1,0,IF(D4=3,'Value Curves'!B6,IF(D4=5,'Value Curves'!B5,IF(D4=7,'Value Curves'!B4,IF(D4=9,1)))))</f>
        <v>0.8</v>
      </c>
      <c r="F4" s="22">
        <v>3</v>
      </c>
      <c r="G4" s="48">
        <f>IF(F4=1,0,IF(F4=3,'Value Curves'!B6,IF(F4=5,'Value Curves'!B5,IF(F4=7,'Value Curves'!B4,IF(F4=9,1)))))</f>
        <v>0.3</v>
      </c>
      <c r="H4" s="22">
        <v>3</v>
      </c>
      <c r="I4" s="48">
        <f>IF(H4=1,0,IF(H4=3,'Value Curves'!B6,IF(H4=5,'Value Curves'!B5,IF(H4=7,'Value Curves'!B4,IF(H4=9,1)))))</f>
        <v>0.3</v>
      </c>
      <c r="J4" s="22">
        <v>7</v>
      </c>
      <c r="K4" s="48">
        <f>IF(J4=1,0,IF(J4=3,'Value Curves'!B6,IF(J4=5,'Value Curves'!B5,IF(J4=7,'Value Curves'!B4,IF(J4=9,1)))))</f>
        <v>0.8</v>
      </c>
      <c r="M4" s="20" t="s">
        <v>4</v>
      </c>
      <c r="N4" s="26">
        <f>'Swing Weights'!E3</f>
        <v>0.16917293233082706</v>
      </c>
      <c r="O4" s="27">
        <f t="shared" ref="O4:O10" si="0">E4</f>
        <v>0.8</v>
      </c>
      <c r="P4" s="47">
        <f>O4*N4</f>
        <v>0.13533834586466165</v>
      </c>
      <c r="Q4" s="27">
        <f t="shared" ref="Q4:Q10" si="1">G4</f>
        <v>0.3</v>
      </c>
      <c r="R4" s="47">
        <f>Q4*N4</f>
        <v>5.0751879699248117E-2</v>
      </c>
      <c r="S4" s="27">
        <f t="shared" ref="S4:S10" si="2">I4</f>
        <v>0.3</v>
      </c>
      <c r="T4" s="47">
        <f>S4*N4</f>
        <v>5.0751879699248117E-2</v>
      </c>
      <c r="U4" s="27">
        <f t="shared" ref="U4:U10" si="3">K4</f>
        <v>0.8</v>
      </c>
      <c r="V4" s="47">
        <f>U4*N4</f>
        <v>0.13533834586466165</v>
      </c>
    </row>
    <row r="5" spans="1:22" ht="38.25">
      <c r="A5" s="25" t="s">
        <v>5</v>
      </c>
      <c r="B5" s="21">
        <v>0.95</v>
      </c>
      <c r="C5" s="21">
        <v>0.99</v>
      </c>
      <c r="D5" s="22">
        <v>7</v>
      </c>
      <c r="E5" s="48">
        <f>IF(D5=1,0,IF(D5=3,'Value Curves'!E6,IF(D5=5,'Value Curves'!E5,IF(D5=7,'Value Curves'!E4,IF(D5=9,1)))))</f>
        <v>0.85</v>
      </c>
      <c r="F5" s="22">
        <v>7</v>
      </c>
      <c r="G5" s="48">
        <f>IF(F5=1,0,IF(F5=3,'Value Curves'!E6,IF(F5=5,'Value Curves'!E5,IF(F5=7,'Value Curves'!E4,IF(F5=9,1)))))</f>
        <v>0.85</v>
      </c>
      <c r="H5" s="22">
        <v>5</v>
      </c>
      <c r="I5" s="48">
        <f>IF(H5=1,0,IF(H5=3,'Value Curves'!E6,IF(H5=5,'Value Curves'!E5,IF(H5=7,'Value Curves'!E4,IF(H5=9,1)))))</f>
        <v>0.5</v>
      </c>
      <c r="J5" s="22">
        <v>3</v>
      </c>
      <c r="K5" s="48">
        <f>IF(J5=1,0,IF(J5=3,'Value Curves'!E6,IF(J5=5,'Value Curves'!E5,IF(J5=7,'Value Curves'!E4,IF(J5=9,1)))))</f>
        <v>0.2</v>
      </c>
      <c r="M5" s="20" t="s">
        <v>5</v>
      </c>
      <c r="N5" s="26">
        <f>'Swing Weights'!E4</f>
        <v>0.14097744360902256</v>
      </c>
      <c r="O5" s="27">
        <f t="shared" si="0"/>
        <v>0.85</v>
      </c>
      <c r="P5" s="47">
        <f t="shared" ref="P5:P10" si="4">O5*N5</f>
        <v>0.11983082706766918</v>
      </c>
      <c r="Q5" s="27">
        <f t="shared" si="1"/>
        <v>0.85</v>
      </c>
      <c r="R5" s="47">
        <f t="shared" ref="R5:R10" si="5">Q5*N5</f>
        <v>0.11983082706766918</v>
      </c>
      <c r="S5" s="27">
        <f t="shared" si="2"/>
        <v>0.5</v>
      </c>
      <c r="T5" s="47">
        <f t="shared" ref="T5:T10" si="6">S5*N5</f>
        <v>7.0488721804511281E-2</v>
      </c>
      <c r="U5" s="27">
        <f t="shared" si="3"/>
        <v>0.2</v>
      </c>
      <c r="V5" s="47">
        <f t="shared" ref="V5:V10" si="7">U5*N5</f>
        <v>2.8195488721804513E-2</v>
      </c>
    </row>
    <row r="6" spans="1:22" ht="38.25">
      <c r="A6" s="25" t="s">
        <v>6</v>
      </c>
      <c r="B6" s="21">
        <v>400</v>
      </c>
      <c r="C6" s="21">
        <v>100</v>
      </c>
      <c r="D6" s="22">
        <v>9</v>
      </c>
      <c r="E6" s="48">
        <f>IF(D6=1,0,IF(D6=3,'Value Curves'!B14,IF(D6=5,'Value Curves'!B13,IF(D6=7,'Value Curves'!B12,IF(D6=9,1)))))</f>
        <v>1</v>
      </c>
      <c r="F6" s="22">
        <v>7</v>
      </c>
      <c r="G6" s="48">
        <f>IF(F6=1,0,IF(F6=3,'Value Curves'!B14,IF(F6=5,'Value Curves'!B13,IF(F6=7,'Value Curves'!B12,IF(F6=9,1)))))</f>
        <v>0.9</v>
      </c>
      <c r="H6" s="22">
        <v>3</v>
      </c>
      <c r="I6" s="48">
        <f>IF(H6=1,0,IF(H6=3,'Value Curves'!B14,IF(H6=5,'Value Curves'!B13,IF(H6=7,'Value Curves'!B12,IF(H6=9,1)))))</f>
        <v>0.4</v>
      </c>
      <c r="J6" s="22">
        <v>1</v>
      </c>
      <c r="K6" s="48">
        <f>IF(J6=1,0,IF(J6=3,'Value Curves'!B14,IF(J6=5,'Value Curves'!B13,IF(J6=7,'Value Curves'!B12,IF(J6=9,1)))))</f>
        <v>0</v>
      </c>
      <c r="M6" s="20" t="s">
        <v>6</v>
      </c>
      <c r="N6" s="26">
        <f>'Swing Weights'!E5</f>
        <v>0.12218045112781954</v>
      </c>
      <c r="O6" s="27">
        <f t="shared" si="0"/>
        <v>1</v>
      </c>
      <c r="P6" s="47">
        <f t="shared" si="4"/>
        <v>0.12218045112781954</v>
      </c>
      <c r="Q6" s="27">
        <f t="shared" si="1"/>
        <v>0.9</v>
      </c>
      <c r="R6" s="47">
        <f t="shared" si="5"/>
        <v>0.10996240601503759</v>
      </c>
      <c r="S6" s="27">
        <f t="shared" si="2"/>
        <v>0.4</v>
      </c>
      <c r="T6" s="47">
        <f t="shared" si="6"/>
        <v>4.8872180451127817E-2</v>
      </c>
      <c r="U6" s="27">
        <f t="shared" si="3"/>
        <v>0</v>
      </c>
      <c r="V6" s="47">
        <f t="shared" si="7"/>
        <v>0</v>
      </c>
    </row>
    <row r="7" spans="1:22" ht="26.25">
      <c r="A7" s="25" t="s">
        <v>7</v>
      </c>
      <c r="B7" s="21">
        <v>3</v>
      </c>
      <c r="C7" s="21">
        <v>1</v>
      </c>
      <c r="D7" s="49">
        <v>5</v>
      </c>
      <c r="E7" s="50">
        <f>IF(D7=1,0,IF(D7=3,'Value Curves'!E14,IF(D7=5,'Value Curves'!E13,IF(D7=7,'Value Curves'!E12,IF(D7=9,1)))))</f>
        <v>0.6</v>
      </c>
      <c r="F7" s="49">
        <v>7</v>
      </c>
      <c r="G7" s="50">
        <f>IF(F7=1,0,IF(F7=3,'Value Curves'!E14,IF(F7=5,'Value Curves'!E13,IF(F7=7,'Value Curves'!E12,IF(F7=9,1)))))</f>
        <v>0.7</v>
      </c>
      <c r="H7" s="49">
        <v>3</v>
      </c>
      <c r="I7" s="50">
        <f>IF(H7=1,0,IF(H7=3,'Value Curves'!E14,IF(H7=5,'Value Curves'!E13,IF(H7=7,'Value Curves'!E12,IF(H7=9,1)))))</f>
        <v>0.3</v>
      </c>
      <c r="J7" s="49">
        <v>1</v>
      </c>
      <c r="K7" s="50">
        <f>IF(J7=1,0,IF(J7=3,'Value Curves'!E14,IF(J7=5,'Value Curves'!E13,IF(J7=7,'Value Curves'!E12,IF(J7=9,1)))))</f>
        <v>0</v>
      </c>
      <c r="M7" s="20" t="s">
        <v>7</v>
      </c>
      <c r="N7" s="26">
        <f>'Swing Weights'!E6</f>
        <v>0.13157894736842105</v>
      </c>
      <c r="O7" s="27">
        <f t="shared" si="0"/>
        <v>0.6</v>
      </c>
      <c r="P7" s="47">
        <f t="shared" si="4"/>
        <v>7.8947368421052627E-2</v>
      </c>
      <c r="Q7" s="27">
        <f t="shared" si="1"/>
        <v>0.7</v>
      </c>
      <c r="R7" s="47">
        <f t="shared" si="5"/>
        <v>9.2105263157894732E-2</v>
      </c>
      <c r="S7" s="27">
        <f t="shared" si="2"/>
        <v>0.3</v>
      </c>
      <c r="T7" s="47">
        <f t="shared" si="6"/>
        <v>3.9473684210526314E-2</v>
      </c>
      <c r="U7" s="27">
        <f t="shared" si="3"/>
        <v>0</v>
      </c>
      <c r="V7" s="47">
        <f t="shared" si="7"/>
        <v>0</v>
      </c>
    </row>
    <row r="8" spans="1:22" ht="38.25">
      <c r="A8" s="25" t="s">
        <v>8</v>
      </c>
      <c r="B8" s="21">
        <v>0.95</v>
      </c>
      <c r="C8" s="21">
        <v>0.99</v>
      </c>
      <c r="D8" s="49">
        <v>7</v>
      </c>
      <c r="E8" s="50">
        <f>IF(D8=1,0,IF(D8=3,'Value Curves'!B22,IF(D8=5,'Value Curves'!B21,IF(D8=7,'Value Curves'!B20,IF(D8=9,1)))))</f>
        <v>0.6</v>
      </c>
      <c r="F8" s="49">
        <v>5</v>
      </c>
      <c r="G8" s="50">
        <f>IF(F8=1,0,IF(F8=3,'Value Curves'!B22,IF(F8=5,'Value Curves'!B21,IF(F8=7,'Value Curves'!B20,IF(F8=9,1)))))</f>
        <v>0.25</v>
      </c>
      <c r="H8" s="49">
        <v>7</v>
      </c>
      <c r="I8" s="50">
        <f>IF(H8=1,0,IF(H8=3,'Value Curves'!B22,IF(H8=5,'Value Curves'!B21,IF(H8=7,'Value Curves'!B20,IF(H8=9,1)))))</f>
        <v>0.6</v>
      </c>
      <c r="J8" s="49">
        <v>7</v>
      </c>
      <c r="K8" s="50">
        <f>IF(J8=1,0,IF(J8=3,'Value Curves'!B22,IF(J8=5,'Value Curves'!B21,IF(J8=7,'Value Curves'!B20,IF(J8=9,1)))))</f>
        <v>0.6</v>
      </c>
      <c r="M8" s="20" t="s">
        <v>8</v>
      </c>
      <c r="N8" s="26">
        <f>'Swing Weights'!E7</f>
        <v>0.18796992481203006</v>
      </c>
      <c r="O8" s="27">
        <f t="shared" si="0"/>
        <v>0.6</v>
      </c>
      <c r="P8" s="47">
        <f t="shared" si="4"/>
        <v>0.11278195488721804</v>
      </c>
      <c r="Q8" s="27">
        <f t="shared" si="1"/>
        <v>0.25</v>
      </c>
      <c r="R8" s="47">
        <f t="shared" si="5"/>
        <v>4.6992481203007516E-2</v>
      </c>
      <c r="S8" s="27">
        <f t="shared" si="2"/>
        <v>0.6</v>
      </c>
      <c r="T8" s="47">
        <f t="shared" si="6"/>
        <v>0.11278195488721804</v>
      </c>
      <c r="U8" s="27">
        <f t="shared" si="3"/>
        <v>0.6</v>
      </c>
      <c r="V8" s="47">
        <f t="shared" si="7"/>
        <v>0.11278195488721804</v>
      </c>
    </row>
    <row r="9" spans="1:22" ht="38.25">
      <c r="A9" s="25" t="s">
        <v>9</v>
      </c>
      <c r="B9" s="21">
        <v>750</v>
      </c>
      <c r="C9" s="21">
        <v>1000</v>
      </c>
      <c r="D9" s="22">
        <v>3</v>
      </c>
      <c r="E9" s="48">
        <f>IF(D9=1,0,IF(D9=3,'Value Curves'!E22,IF(D9=5,'Value Curves'!E21,IF(D9=7,'Value Curves'!E20,IF(D9=9,1)))))</f>
        <v>0.4</v>
      </c>
      <c r="F9" s="22">
        <v>7</v>
      </c>
      <c r="G9" s="48">
        <f>IF(F9=1,0,IF(F9=3,'Value Curves'!E22,IF(F9=5,'Value Curves'!E21,IF(F9=7,'Value Curves'!E20,IF(F9=9,1)))))</f>
        <v>0.75</v>
      </c>
      <c r="H9" s="22">
        <v>7</v>
      </c>
      <c r="I9" s="48">
        <f>IF(H9=1,0,IF(H9=3,'Value Curves'!E22,IF(H9=5,'Value Curves'!E21,IF(H9=7,'Value Curves'!E20,IF(H9=9,1)))))</f>
        <v>0.75</v>
      </c>
      <c r="J9" s="22">
        <v>5</v>
      </c>
      <c r="K9" s="48">
        <f>IF(J9=1,0,IF(J9=3,'Value Curves'!E22,IF(J9=5,'Value Curves'!E21,IF(J9=7,'Value Curves'!E20,IF(J9=9,1)))))</f>
        <v>0.6</v>
      </c>
      <c r="M9" s="20" t="s">
        <v>9</v>
      </c>
      <c r="N9" s="26">
        <f>'Swing Weights'!E8</f>
        <v>0.15413533834586465</v>
      </c>
      <c r="O9" s="27">
        <f t="shared" si="0"/>
        <v>0.4</v>
      </c>
      <c r="P9" s="47">
        <f t="shared" si="4"/>
        <v>6.1654135338345864E-2</v>
      </c>
      <c r="Q9" s="27">
        <f t="shared" si="1"/>
        <v>0.75</v>
      </c>
      <c r="R9" s="47">
        <f t="shared" si="5"/>
        <v>0.11560150375939848</v>
      </c>
      <c r="S9" s="27">
        <f t="shared" si="2"/>
        <v>0.75</v>
      </c>
      <c r="T9" s="47">
        <f t="shared" si="6"/>
        <v>0.11560150375939848</v>
      </c>
      <c r="U9" s="27">
        <f t="shared" si="3"/>
        <v>0.6</v>
      </c>
      <c r="V9" s="47">
        <f t="shared" si="7"/>
        <v>9.2481203007518789E-2</v>
      </c>
    </row>
    <row r="10" spans="1:22" ht="26.25">
      <c r="A10" s="25" t="s">
        <v>10</v>
      </c>
      <c r="B10" s="21">
        <v>0.9</v>
      </c>
      <c r="C10" s="21">
        <v>0.92</v>
      </c>
      <c r="D10" s="22">
        <v>5</v>
      </c>
      <c r="E10" s="48">
        <f>IF(D10=1,0,IF(D10=3,'Value Curves'!H6,IF(D10=5,'Value Curves'!H5,IF(D10=7,'Value Curves'!H4,IF(D10=9,1)))))</f>
        <v>0.6</v>
      </c>
      <c r="F10" s="22">
        <v>7</v>
      </c>
      <c r="G10" s="48">
        <f>IF(F10=1,0,IF(F10=3,'Value Curves'!H6,IF(F10=5,'Value Curves'!H5,IF(F10=7,'Value Curves'!H4,IF(F10=9,1)))))</f>
        <v>0.8</v>
      </c>
      <c r="H10" s="22">
        <v>7</v>
      </c>
      <c r="I10" s="48">
        <f>IF(H10=1,0,IF(H10=3,'Value Curves'!H6,IF(H10=5,'Value Curves'!H5,IF(H10=7,'Value Curves'!H4,IF(H10=9,1)))))</f>
        <v>0.8</v>
      </c>
      <c r="J10" s="22">
        <v>7</v>
      </c>
      <c r="K10" s="48">
        <f>IF(J10=1,0,IF(J10=3,'Value Curves'!H6,IF(J10=5,'Value Curves'!H5,IF(J10=7,'Value Curves'!H4,IF(J10=9,1)))))</f>
        <v>0.8</v>
      </c>
      <c r="M10" s="20" t="s">
        <v>10</v>
      </c>
      <c r="N10" s="26">
        <f>'Swing Weights'!E9</f>
        <v>9.3984962406015032E-2</v>
      </c>
      <c r="O10" s="27">
        <f t="shared" si="0"/>
        <v>0.6</v>
      </c>
      <c r="P10" s="47">
        <f t="shared" si="4"/>
        <v>5.6390977443609019E-2</v>
      </c>
      <c r="Q10" s="27">
        <f t="shared" si="1"/>
        <v>0.8</v>
      </c>
      <c r="R10" s="47">
        <f t="shared" si="5"/>
        <v>7.5187969924812026E-2</v>
      </c>
      <c r="S10" s="27">
        <f t="shared" si="2"/>
        <v>0.8</v>
      </c>
      <c r="T10" s="47">
        <f t="shared" si="6"/>
        <v>7.5187969924812026E-2</v>
      </c>
      <c r="U10" s="27">
        <f t="shared" si="3"/>
        <v>0.8</v>
      </c>
      <c r="V10" s="47">
        <f t="shared" si="7"/>
        <v>7.5187969924812026E-2</v>
      </c>
    </row>
    <row r="11" spans="1:22">
      <c r="M11" s="28" t="s">
        <v>18</v>
      </c>
      <c r="N11" s="29"/>
      <c r="O11" s="98">
        <f>SUM(P4:P10)</f>
        <v>0.68712406015037586</v>
      </c>
      <c r="P11" s="99"/>
      <c r="Q11" s="96">
        <f>SUM(R4:R10)</f>
        <v>0.61043233082706772</v>
      </c>
      <c r="R11" s="97"/>
      <c r="S11" s="96">
        <f>SUM(T4:T10)</f>
        <v>0.51315789473684204</v>
      </c>
      <c r="T11" s="97"/>
      <c r="U11" s="96">
        <f>SUM(V4:V10)</f>
        <v>0.44398496240601498</v>
      </c>
      <c r="V11" s="97"/>
    </row>
  </sheetData>
  <mergeCells count="19">
    <mergeCell ref="U11:V11"/>
    <mergeCell ref="S11:T11"/>
    <mergeCell ref="Q11:R11"/>
    <mergeCell ref="O11:P11"/>
    <mergeCell ref="O1:V1"/>
    <mergeCell ref="O2:P2"/>
    <mergeCell ref="Q2:R2"/>
    <mergeCell ref="S2:T2"/>
    <mergeCell ref="D1:K1"/>
    <mergeCell ref="A1:A3"/>
    <mergeCell ref="C1:C3"/>
    <mergeCell ref="B1:B3"/>
    <mergeCell ref="U2:V2"/>
    <mergeCell ref="M1:M3"/>
    <mergeCell ref="N1:N3"/>
    <mergeCell ref="D2:E2"/>
    <mergeCell ref="F2:G2"/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54"/>
  <sheetViews>
    <sheetView topLeftCell="I25" workbookViewId="0">
      <selection activeCell="L27" sqref="L27:P30"/>
    </sheetView>
  </sheetViews>
  <sheetFormatPr defaultRowHeight="15"/>
  <cols>
    <col min="10" max="10" width="17.85546875" bestFit="1" customWidth="1"/>
    <col min="14" max="14" width="12.85546875" bestFit="1" customWidth="1"/>
  </cols>
  <sheetData>
    <row r="1" spans="1:14" ht="16.5" thickBot="1">
      <c r="A1" s="2">
        <v>63</v>
      </c>
      <c r="B1" s="3">
        <v>45</v>
      </c>
      <c r="C1" s="2">
        <v>27</v>
      </c>
      <c r="D1" s="2">
        <v>63</v>
      </c>
      <c r="E1" s="2">
        <v>81</v>
      </c>
      <c r="F1" s="2">
        <v>81</v>
      </c>
      <c r="G1" s="2">
        <v>45</v>
      </c>
      <c r="H1" s="2">
        <v>27</v>
      </c>
      <c r="I1" s="2">
        <v>63</v>
      </c>
      <c r="J1" s="2">
        <v>27</v>
      </c>
    </row>
    <row r="2" spans="1:14" ht="17.25" thickTop="1" thickBot="1">
      <c r="A2" s="4">
        <v>63</v>
      </c>
      <c r="B2" s="5">
        <v>49</v>
      </c>
      <c r="C2" s="4">
        <v>49</v>
      </c>
      <c r="D2" s="4">
        <v>35</v>
      </c>
      <c r="E2" s="4">
        <v>63</v>
      </c>
      <c r="F2" s="4">
        <v>63</v>
      </c>
      <c r="G2" s="4">
        <v>21</v>
      </c>
      <c r="H2" s="4">
        <v>35</v>
      </c>
      <c r="I2" s="4">
        <v>35</v>
      </c>
      <c r="J2" s="4">
        <v>21</v>
      </c>
    </row>
    <row r="3" spans="1:14" ht="16.5" thickBot="1">
      <c r="A3" s="6">
        <v>35</v>
      </c>
      <c r="B3" s="7">
        <v>15</v>
      </c>
      <c r="C3" s="6">
        <v>25</v>
      </c>
      <c r="D3" s="6">
        <v>25</v>
      </c>
      <c r="E3" s="6">
        <v>45</v>
      </c>
      <c r="F3" s="6">
        <v>45</v>
      </c>
      <c r="G3" s="6">
        <v>15</v>
      </c>
      <c r="H3" s="6">
        <v>35</v>
      </c>
      <c r="I3" s="6">
        <v>35</v>
      </c>
      <c r="J3" s="6">
        <v>45</v>
      </c>
    </row>
    <row r="4" spans="1:14" ht="16.5" thickBot="1">
      <c r="A4" s="8">
        <v>3</v>
      </c>
      <c r="B4" s="9">
        <v>3</v>
      </c>
      <c r="C4" s="8">
        <v>3</v>
      </c>
      <c r="D4" s="8">
        <v>3</v>
      </c>
      <c r="E4" s="8">
        <v>1</v>
      </c>
      <c r="F4" s="8">
        <v>1</v>
      </c>
      <c r="G4" s="8">
        <v>21</v>
      </c>
      <c r="H4" s="8">
        <v>21</v>
      </c>
      <c r="I4" s="8">
        <v>27</v>
      </c>
      <c r="J4" s="8">
        <v>15</v>
      </c>
    </row>
    <row r="5" spans="1:14" ht="16.5" thickBot="1">
      <c r="A5" s="6">
        <v>1</v>
      </c>
      <c r="B5" s="7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</row>
    <row r="6" spans="1:14" ht="16.5" thickBot="1">
      <c r="A6" s="8">
        <v>27</v>
      </c>
      <c r="B6" s="9">
        <v>63</v>
      </c>
      <c r="C6" s="8">
        <v>45</v>
      </c>
      <c r="D6" s="8">
        <v>63</v>
      </c>
      <c r="E6" s="8">
        <v>81</v>
      </c>
      <c r="F6" s="8">
        <v>81</v>
      </c>
      <c r="G6" s="8">
        <v>45</v>
      </c>
      <c r="H6" s="8">
        <v>27</v>
      </c>
      <c r="I6" s="8">
        <v>63</v>
      </c>
      <c r="J6" s="8">
        <v>27</v>
      </c>
    </row>
    <row r="7" spans="1:14">
      <c r="A7">
        <f>SUM(A1:A6)</f>
        <v>192</v>
      </c>
      <c r="B7">
        <f t="shared" ref="B7:J7" si="0">SUM(B1:B6)</f>
        <v>176</v>
      </c>
      <c r="C7">
        <f t="shared" si="0"/>
        <v>150</v>
      </c>
      <c r="D7">
        <f t="shared" si="0"/>
        <v>190</v>
      </c>
      <c r="E7">
        <f t="shared" si="0"/>
        <v>272</v>
      </c>
      <c r="F7">
        <f t="shared" si="0"/>
        <v>272</v>
      </c>
      <c r="G7">
        <f t="shared" si="0"/>
        <v>148</v>
      </c>
      <c r="H7">
        <f t="shared" si="0"/>
        <v>146</v>
      </c>
      <c r="I7">
        <f t="shared" si="0"/>
        <v>224</v>
      </c>
      <c r="J7">
        <f t="shared" si="0"/>
        <v>136</v>
      </c>
      <c r="K7">
        <f>SUM(A7:J7)</f>
        <v>1906</v>
      </c>
    </row>
    <row r="8" spans="1:14">
      <c r="A8">
        <f>A7/K$7</f>
        <v>0.10073452256033578</v>
      </c>
      <c r="B8">
        <f>B7/$K$7</f>
        <v>9.2339979013641132E-2</v>
      </c>
      <c r="C8">
        <f t="shared" ref="C8:J8" si="1">C7/$K$7</f>
        <v>7.8698845750262328E-2</v>
      </c>
      <c r="D8">
        <f t="shared" si="1"/>
        <v>9.9685204616998951E-2</v>
      </c>
      <c r="E8">
        <f t="shared" si="1"/>
        <v>0.14270724029380902</v>
      </c>
      <c r="F8">
        <f t="shared" si="1"/>
        <v>0.14270724029380902</v>
      </c>
      <c r="G8">
        <f t="shared" si="1"/>
        <v>7.7649527806925495E-2</v>
      </c>
      <c r="H8">
        <f t="shared" si="1"/>
        <v>7.6600209863588661E-2</v>
      </c>
      <c r="I8">
        <f t="shared" si="1"/>
        <v>0.11752360965372508</v>
      </c>
      <c r="J8">
        <f t="shared" si="1"/>
        <v>7.1353620146904509E-2</v>
      </c>
    </row>
    <row r="9" spans="1:14">
      <c r="B9">
        <f>C8</f>
        <v>7.8698845750262328E-2</v>
      </c>
    </row>
    <row r="10" spans="1:14">
      <c r="B10">
        <f>D8</f>
        <v>9.9685204616998951E-2</v>
      </c>
    </row>
    <row r="11" spans="1:14">
      <c r="B11">
        <f>E8</f>
        <v>0.14270724029380902</v>
      </c>
    </row>
    <row r="12" spans="1:14">
      <c r="B12">
        <f>F8</f>
        <v>0.14270724029380902</v>
      </c>
    </row>
    <row r="13" spans="1:14">
      <c r="B13">
        <f>G8</f>
        <v>7.7649527806925495E-2</v>
      </c>
    </row>
    <row r="14" spans="1:14" ht="18.75">
      <c r="B14">
        <f>H8</f>
        <v>7.6600209863588661E-2</v>
      </c>
      <c r="E14" s="10">
        <v>0.1</v>
      </c>
      <c r="F14" s="13">
        <v>3</v>
      </c>
      <c r="G14" s="13">
        <v>3</v>
      </c>
      <c r="H14" s="13">
        <v>3</v>
      </c>
      <c r="I14" s="13">
        <v>7</v>
      </c>
      <c r="J14">
        <f>F14*E14</f>
        <v>0.30000000000000004</v>
      </c>
      <c r="K14">
        <f>G14*E14</f>
        <v>0.30000000000000004</v>
      </c>
      <c r="L14">
        <f>H14*E14</f>
        <v>0.30000000000000004</v>
      </c>
      <c r="N14">
        <f>I14*E14</f>
        <v>0.70000000000000007</v>
      </c>
    </row>
    <row r="15" spans="1:14" ht="18.75">
      <c r="B15">
        <f>I8</f>
        <v>0.11752360965372508</v>
      </c>
      <c r="E15" s="11">
        <v>9.1999999999999998E-2</v>
      </c>
      <c r="F15" s="13">
        <v>7</v>
      </c>
      <c r="G15" s="13">
        <v>5</v>
      </c>
      <c r="H15" s="13">
        <v>5</v>
      </c>
      <c r="I15" s="13">
        <v>3</v>
      </c>
      <c r="J15">
        <f t="shared" ref="J15:J23" si="2">F15*E15</f>
        <v>0.64400000000000002</v>
      </c>
      <c r="K15">
        <f t="shared" ref="K15:K23" si="3">G15*E15</f>
        <v>0.45999999999999996</v>
      </c>
      <c r="L15">
        <f t="shared" ref="L15:L23" si="4">H15*E15</f>
        <v>0.45999999999999996</v>
      </c>
      <c r="N15">
        <f t="shared" ref="N15:N23" si="5">I15*E15</f>
        <v>0.27600000000000002</v>
      </c>
    </row>
    <row r="16" spans="1:14" ht="18.75">
      <c r="B16">
        <f>J8</f>
        <v>7.1353620146904509E-2</v>
      </c>
      <c r="E16" s="11">
        <v>7.9000000000000001E-2</v>
      </c>
      <c r="F16" s="13">
        <v>9</v>
      </c>
      <c r="G16" s="13">
        <v>7</v>
      </c>
      <c r="H16" s="13">
        <v>3</v>
      </c>
      <c r="I16" s="13">
        <v>1</v>
      </c>
      <c r="J16">
        <f t="shared" si="2"/>
        <v>0.71099999999999997</v>
      </c>
      <c r="K16">
        <f t="shared" si="3"/>
        <v>0.55300000000000005</v>
      </c>
      <c r="L16">
        <f t="shared" si="4"/>
        <v>0.23699999999999999</v>
      </c>
      <c r="N16">
        <f t="shared" si="5"/>
        <v>7.9000000000000001E-2</v>
      </c>
    </row>
    <row r="17" spans="5:20" ht="18.75">
      <c r="E17" s="11">
        <v>0.1</v>
      </c>
      <c r="F17" s="14">
        <v>7</v>
      </c>
      <c r="G17" s="14">
        <v>7</v>
      </c>
      <c r="H17" s="14">
        <v>3</v>
      </c>
      <c r="I17" s="14">
        <v>1</v>
      </c>
      <c r="J17">
        <f t="shared" si="2"/>
        <v>0.70000000000000007</v>
      </c>
      <c r="K17">
        <f t="shared" si="3"/>
        <v>0.70000000000000007</v>
      </c>
      <c r="L17">
        <f t="shared" si="4"/>
        <v>0.30000000000000004</v>
      </c>
      <c r="N17">
        <f t="shared" si="5"/>
        <v>0.1</v>
      </c>
    </row>
    <row r="18" spans="5:20" ht="18.75">
      <c r="E18" s="11">
        <v>0.14299999999999999</v>
      </c>
      <c r="F18" s="13">
        <v>7</v>
      </c>
      <c r="G18" s="13">
        <v>5</v>
      </c>
      <c r="H18" s="13">
        <v>5</v>
      </c>
      <c r="I18" s="13">
        <v>5</v>
      </c>
      <c r="J18">
        <f t="shared" si="2"/>
        <v>1.0009999999999999</v>
      </c>
      <c r="K18">
        <f t="shared" si="3"/>
        <v>0.71499999999999997</v>
      </c>
      <c r="L18">
        <f t="shared" si="4"/>
        <v>0.71499999999999997</v>
      </c>
      <c r="N18">
        <f t="shared" si="5"/>
        <v>0.71499999999999997</v>
      </c>
    </row>
    <row r="19" spans="5:20" ht="18.75">
      <c r="E19" s="11">
        <v>0.14299999999999999</v>
      </c>
      <c r="F19" s="13">
        <v>7</v>
      </c>
      <c r="G19" s="13">
        <v>5</v>
      </c>
      <c r="H19" s="13">
        <v>7</v>
      </c>
      <c r="I19" s="13">
        <v>7</v>
      </c>
      <c r="J19">
        <f t="shared" si="2"/>
        <v>1.0009999999999999</v>
      </c>
      <c r="K19">
        <f t="shared" si="3"/>
        <v>0.71499999999999997</v>
      </c>
      <c r="L19">
        <f t="shared" si="4"/>
        <v>1.0009999999999999</v>
      </c>
      <c r="N19">
        <f t="shared" si="5"/>
        <v>1.0009999999999999</v>
      </c>
    </row>
    <row r="20" spans="5:20" ht="18.75">
      <c r="E20" s="11">
        <v>7.8E-2</v>
      </c>
      <c r="F20" s="13">
        <v>3</v>
      </c>
      <c r="G20" s="13">
        <v>5</v>
      </c>
      <c r="H20" s="13">
        <v>7</v>
      </c>
      <c r="I20" s="13">
        <v>5</v>
      </c>
      <c r="J20">
        <f t="shared" si="2"/>
        <v>0.23399999999999999</v>
      </c>
      <c r="K20">
        <f t="shared" si="3"/>
        <v>0.39</v>
      </c>
      <c r="L20">
        <f t="shared" si="4"/>
        <v>0.54600000000000004</v>
      </c>
      <c r="N20">
        <f t="shared" si="5"/>
        <v>0.39</v>
      </c>
    </row>
    <row r="21" spans="5:20" ht="18.75">
      <c r="E21" s="11">
        <v>7.5999999999999998E-2</v>
      </c>
      <c r="F21" s="13">
        <v>5</v>
      </c>
      <c r="G21" s="13">
        <v>7</v>
      </c>
      <c r="H21" s="13">
        <v>7</v>
      </c>
      <c r="I21" s="13">
        <v>5</v>
      </c>
      <c r="J21">
        <f t="shared" si="2"/>
        <v>0.38</v>
      </c>
      <c r="K21">
        <f t="shared" si="3"/>
        <v>0.53200000000000003</v>
      </c>
      <c r="L21">
        <f t="shared" si="4"/>
        <v>0.53200000000000003</v>
      </c>
      <c r="N21">
        <f t="shared" si="5"/>
        <v>0.38</v>
      </c>
    </row>
    <row r="22" spans="5:20" ht="18.75">
      <c r="E22" s="11">
        <v>0.11799999999999999</v>
      </c>
      <c r="F22" s="13">
        <v>5</v>
      </c>
      <c r="G22" s="13">
        <v>7</v>
      </c>
      <c r="H22" s="13">
        <v>7</v>
      </c>
      <c r="I22" s="13">
        <v>7</v>
      </c>
      <c r="J22">
        <f t="shared" si="2"/>
        <v>0.59</v>
      </c>
      <c r="K22">
        <f t="shared" si="3"/>
        <v>0.82599999999999996</v>
      </c>
      <c r="L22">
        <f t="shared" si="4"/>
        <v>0.82599999999999996</v>
      </c>
      <c r="N22">
        <f t="shared" si="5"/>
        <v>0.82599999999999996</v>
      </c>
    </row>
    <row r="23" spans="5:20" ht="18.75">
      <c r="E23" s="11">
        <v>7.0999999999999994E-2</v>
      </c>
      <c r="F23" s="13">
        <v>5</v>
      </c>
      <c r="G23" s="13">
        <v>7</v>
      </c>
      <c r="H23" s="13">
        <v>7</v>
      </c>
      <c r="I23" s="13">
        <v>5</v>
      </c>
      <c r="J23">
        <f t="shared" si="2"/>
        <v>0.35499999999999998</v>
      </c>
      <c r="K23">
        <f t="shared" si="3"/>
        <v>0.49699999999999994</v>
      </c>
      <c r="L23">
        <f t="shared" si="4"/>
        <v>0.49699999999999994</v>
      </c>
      <c r="N23">
        <f t="shared" si="5"/>
        <v>0.35499999999999998</v>
      </c>
    </row>
    <row r="24" spans="5:20">
      <c r="E24">
        <f>SUM(E14:E23)</f>
        <v>0.99999999999999989</v>
      </c>
      <c r="J24">
        <f>SUM(J14:J23)</f>
        <v>5.9159999999999986</v>
      </c>
      <c r="K24">
        <f>SUM(K14:K23)</f>
        <v>5.6879999999999997</v>
      </c>
      <c r="L24">
        <f>SUM(L14:L23)</f>
        <v>5.4139999999999997</v>
      </c>
      <c r="N24">
        <f>SUM(N14:N23)</f>
        <v>4.8219999999999992</v>
      </c>
    </row>
    <row r="27" spans="5:20">
      <c r="I27" s="1">
        <f>26/4/6.5</f>
        <v>1</v>
      </c>
      <c r="J27" s="1">
        <f>6.667/6.667</f>
        <v>1</v>
      </c>
      <c r="L27">
        <f>26/4</f>
        <v>6.5</v>
      </c>
      <c r="M27">
        <f>L27*0.25</f>
        <v>1.625</v>
      </c>
      <c r="N27" s="1">
        <f>6.667</f>
        <v>6.6669999999999998</v>
      </c>
      <c r="O27">
        <f>N27*0.75</f>
        <v>5.0002499999999994</v>
      </c>
      <c r="P27">
        <f>O27-M27</f>
        <v>3.3752499999999994</v>
      </c>
    </row>
    <row r="28" spans="5:20">
      <c r="I28" s="1">
        <f>21/4/6.5</f>
        <v>0.80769230769230771</v>
      </c>
      <c r="J28" s="18">
        <f>5.763/6.667</f>
        <v>0.86440677966101698</v>
      </c>
      <c r="L28">
        <f>21/4</f>
        <v>5.25</v>
      </c>
      <c r="M28">
        <f t="shared" ref="M28:M30" si="6">L28*0.25</f>
        <v>1.3125</v>
      </c>
      <c r="N28" s="18">
        <f>5.763</f>
        <v>5.7629999999999999</v>
      </c>
      <c r="O28">
        <f t="shared" ref="O28:O30" si="7">N28*0.75</f>
        <v>4.3222500000000004</v>
      </c>
      <c r="P28">
        <f>O28-M28</f>
        <v>3.0097500000000004</v>
      </c>
    </row>
    <row r="29" spans="5:20">
      <c r="I29" s="1">
        <f>20/4/6.5</f>
        <v>0.76923076923076927</v>
      </c>
      <c r="J29" s="18">
        <f>5.157/6.667</f>
        <v>0.77351132443377835</v>
      </c>
      <c r="L29">
        <f>20/4</f>
        <v>5</v>
      </c>
      <c r="M29">
        <f t="shared" si="6"/>
        <v>1.25</v>
      </c>
      <c r="N29" s="18">
        <f>5.157</f>
        <v>5.157</v>
      </c>
      <c r="O29">
        <f t="shared" si="7"/>
        <v>3.86775</v>
      </c>
      <c r="P29">
        <f>O29-M29</f>
        <v>2.61775</v>
      </c>
    </row>
    <row r="30" spans="5:20">
      <c r="I30" s="1">
        <f>22/4/6.5</f>
        <v>0.84615384615384615</v>
      </c>
      <c r="J30" s="18">
        <f>4.745/6.667</f>
        <v>0.71171441427928606</v>
      </c>
      <c r="L30">
        <f>22/4</f>
        <v>5.5</v>
      </c>
      <c r="M30">
        <f t="shared" si="6"/>
        <v>1.375</v>
      </c>
      <c r="N30" s="18">
        <f>4.745</f>
        <v>4.7450000000000001</v>
      </c>
      <c r="O30">
        <f t="shared" si="7"/>
        <v>3.5587499999999999</v>
      </c>
      <c r="P30">
        <f>O30-M30</f>
        <v>2.1837499999999999</v>
      </c>
    </row>
    <row r="32" spans="5:20">
      <c r="P32">
        <f>26/4/6.5</f>
        <v>1</v>
      </c>
      <c r="Q32">
        <f>P32*0.25</f>
        <v>0.25</v>
      </c>
      <c r="R32">
        <f>6.316/6.316</f>
        <v>1</v>
      </c>
      <c r="S32">
        <f>R32*0.75</f>
        <v>0.75</v>
      </c>
      <c r="T32">
        <f>S32-Q32</f>
        <v>0.5</v>
      </c>
    </row>
    <row r="33" spans="16:31">
      <c r="P33">
        <f>21/4/6.5</f>
        <v>0.80769230769230771</v>
      </c>
      <c r="Q33">
        <f t="shared" ref="Q33:Q35" si="8">P33*0.25</f>
        <v>0.20192307692307693</v>
      </c>
      <c r="R33">
        <f>5.688/6.316</f>
        <v>0.90056998100063335</v>
      </c>
      <c r="S33">
        <f t="shared" ref="S33:S35" si="9">R33*0.75</f>
        <v>0.67542748575047495</v>
      </c>
      <c r="T33">
        <f t="shared" ref="T33:T35" si="10">S33-Q33</f>
        <v>0.47350440882739803</v>
      </c>
    </row>
    <row r="34" spans="16:31">
      <c r="P34">
        <f>20/4/6.5</f>
        <v>0.76923076923076927</v>
      </c>
      <c r="Q34">
        <f t="shared" si="8"/>
        <v>0.19230769230769232</v>
      </c>
      <c r="R34">
        <f>5.414/6.316</f>
        <v>0.85718809373020899</v>
      </c>
      <c r="S34">
        <f t="shared" si="9"/>
        <v>0.64289107029765669</v>
      </c>
      <c r="T34">
        <f t="shared" si="10"/>
        <v>0.4505833779899644</v>
      </c>
    </row>
    <row r="35" spans="16:31">
      <c r="P35">
        <f>22/4/6.5</f>
        <v>0.84615384615384615</v>
      </c>
      <c r="Q35">
        <f t="shared" si="8"/>
        <v>0.21153846153846154</v>
      </c>
      <c r="R35">
        <f>4.822/6.316</f>
        <v>0.76345788473717546</v>
      </c>
      <c r="S35">
        <f t="shared" si="9"/>
        <v>0.57259341355288162</v>
      </c>
      <c r="T35">
        <f t="shared" si="10"/>
        <v>0.36105495201442006</v>
      </c>
    </row>
    <row r="39" spans="16:31" ht="15.75" thickBot="1"/>
    <row r="40" spans="16:31" ht="16.5" thickBot="1">
      <c r="Q40" s="15">
        <v>192</v>
      </c>
      <c r="R40" s="15">
        <v>176</v>
      </c>
      <c r="S40" s="15">
        <v>150</v>
      </c>
      <c r="T40" s="15">
        <v>190</v>
      </c>
      <c r="U40" s="15">
        <v>272</v>
      </c>
      <c r="V40" s="15">
        <v>146</v>
      </c>
      <c r="W40" s="15">
        <v>224</v>
      </c>
      <c r="X40">
        <f>SUM(Q40:W40)</f>
        <v>1350</v>
      </c>
    </row>
    <row r="41" spans="16:31" ht="15.75" thickTop="1">
      <c r="Q41">
        <f>Q40/$X$40</f>
        <v>0.14222222222222222</v>
      </c>
      <c r="R41">
        <f t="shared" ref="R41:W41" si="11">R40/$X$40</f>
        <v>0.13037037037037036</v>
      </c>
      <c r="S41">
        <f t="shared" si="11"/>
        <v>0.1111111111111111</v>
      </c>
      <c r="T41">
        <f t="shared" si="11"/>
        <v>0.14074074074074075</v>
      </c>
      <c r="U41">
        <f t="shared" si="11"/>
        <v>0.20148148148148148</v>
      </c>
      <c r="V41">
        <f t="shared" si="11"/>
        <v>0.10814814814814815</v>
      </c>
      <c r="W41">
        <f t="shared" si="11"/>
        <v>0.16592592592592592</v>
      </c>
    </row>
    <row r="43" spans="16:31" ht="18.75">
      <c r="W43">
        <v>0.14199999999999999</v>
      </c>
      <c r="X43" s="12">
        <v>7</v>
      </c>
      <c r="Y43" s="12">
        <v>3</v>
      </c>
      <c r="Z43" s="12">
        <v>3</v>
      </c>
      <c r="AA43" s="12">
        <v>7</v>
      </c>
      <c r="AB43">
        <f>X43*$W$43</f>
        <v>0.99399999999999988</v>
      </c>
      <c r="AC43">
        <f t="shared" ref="AC43:AE43" si="12">Y43*$W$43</f>
        <v>0.42599999999999993</v>
      </c>
      <c r="AD43">
        <f t="shared" si="12"/>
        <v>0.42599999999999993</v>
      </c>
      <c r="AE43">
        <f t="shared" si="12"/>
        <v>0.99399999999999988</v>
      </c>
    </row>
    <row r="44" spans="16:31" ht="18.75">
      <c r="W44">
        <v>0.13</v>
      </c>
      <c r="X44" s="12">
        <v>7</v>
      </c>
      <c r="Y44" s="12">
        <v>5</v>
      </c>
      <c r="Z44" s="12">
        <v>5</v>
      </c>
      <c r="AA44" s="12">
        <v>3</v>
      </c>
      <c r="AB44">
        <f>X44*$W$44</f>
        <v>0.91</v>
      </c>
      <c r="AC44">
        <f t="shared" ref="AC44:AE44" si="13">Y44*$W$44</f>
        <v>0.65</v>
      </c>
      <c r="AD44">
        <f t="shared" si="13"/>
        <v>0.65</v>
      </c>
      <c r="AE44">
        <f t="shared" si="13"/>
        <v>0.39</v>
      </c>
    </row>
    <row r="45" spans="16:31" ht="18.75">
      <c r="W45">
        <v>0.111</v>
      </c>
      <c r="X45" s="12">
        <v>9</v>
      </c>
      <c r="Y45" s="12">
        <v>7</v>
      </c>
      <c r="Z45" s="12">
        <v>3</v>
      </c>
      <c r="AA45" s="12">
        <v>1</v>
      </c>
      <c r="AB45">
        <f>X45*$W$45</f>
        <v>0.999</v>
      </c>
      <c r="AC45">
        <f t="shared" ref="AC45:AE45" si="14">Y45*$W$45</f>
        <v>0.77700000000000002</v>
      </c>
      <c r="AD45">
        <f t="shared" si="14"/>
        <v>0.33300000000000002</v>
      </c>
      <c r="AE45">
        <f t="shared" si="14"/>
        <v>0.111</v>
      </c>
    </row>
    <row r="46" spans="16:31" ht="18.75">
      <c r="W46">
        <v>0.14099999999999999</v>
      </c>
      <c r="X46" s="16">
        <v>7</v>
      </c>
      <c r="Y46" s="16">
        <v>7</v>
      </c>
      <c r="Z46" s="16">
        <v>3</v>
      </c>
      <c r="AA46" s="16">
        <v>1</v>
      </c>
      <c r="AB46">
        <f>X46*$W$46</f>
        <v>0.98699999999999988</v>
      </c>
      <c r="AC46">
        <f t="shared" ref="AC46:AE46" si="15">Y46*$W$46</f>
        <v>0.98699999999999988</v>
      </c>
      <c r="AD46">
        <f t="shared" si="15"/>
        <v>0.42299999999999993</v>
      </c>
      <c r="AE46">
        <f t="shared" si="15"/>
        <v>0.14099999999999999</v>
      </c>
    </row>
    <row r="47" spans="16:31" ht="18.75">
      <c r="W47">
        <v>0.20100000000000001</v>
      </c>
      <c r="X47" s="12">
        <v>7</v>
      </c>
      <c r="Y47" s="12">
        <v>5</v>
      </c>
      <c r="Z47" s="12">
        <v>7</v>
      </c>
      <c r="AA47" s="12">
        <v>7</v>
      </c>
      <c r="AB47">
        <f>X47*$W$47</f>
        <v>1.407</v>
      </c>
      <c r="AC47">
        <f t="shared" ref="AC47:AE47" si="16">Y47*$W$47</f>
        <v>1.0050000000000001</v>
      </c>
      <c r="AD47">
        <f t="shared" si="16"/>
        <v>1.407</v>
      </c>
      <c r="AE47">
        <f t="shared" si="16"/>
        <v>1.407</v>
      </c>
    </row>
    <row r="48" spans="16:31" ht="18.75">
      <c r="W48">
        <v>0.108</v>
      </c>
      <c r="X48" s="12">
        <v>5</v>
      </c>
      <c r="Y48" s="12">
        <v>7</v>
      </c>
      <c r="Z48" s="12">
        <v>7</v>
      </c>
      <c r="AA48" s="12">
        <v>5</v>
      </c>
      <c r="AB48">
        <f>X48*$W$48</f>
        <v>0.54</v>
      </c>
      <c r="AC48">
        <f t="shared" ref="AC48:AE48" si="17">Y48*$W$48</f>
        <v>0.75600000000000001</v>
      </c>
      <c r="AD48">
        <f t="shared" si="17"/>
        <v>0.75600000000000001</v>
      </c>
      <c r="AE48">
        <f t="shared" si="17"/>
        <v>0.54</v>
      </c>
    </row>
    <row r="49" spans="23:31" ht="18.75">
      <c r="W49">
        <v>0.16600000000000001</v>
      </c>
      <c r="X49" s="12">
        <v>5</v>
      </c>
      <c r="Y49" s="12">
        <v>7</v>
      </c>
      <c r="Z49" s="12">
        <v>7</v>
      </c>
      <c r="AA49" s="12">
        <v>7</v>
      </c>
      <c r="AB49">
        <f>X49*$W$49</f>
        <v>0.83000000000000007</v>
      </c>
      <c r="AC49">
        <f t="shared" ref="AC49:AE49" si="18">Y49*$W$49</f>
        <v>1.1620000000000001</v>
      </c>
      <c r="AD49">
        <f t="shared" si="18"/>
        <v>1.1620000000000001</v>
      </c>
      <c r="AE49">
        <f t="shared" si="18"/>
        <v>1.1620000000000001</v>
      </c>
    </row>
    <row r="50" spans="23:31">
      <c r="AB50">
        <f>SUM(AB43:AB49)</f>
        <v>6.6669999999999998</v>
      </c>
      <c r="AC50">
        <f>SUM(AC43:AC49)</f>
        <v>5.7629999999999999</v>
      </c>
      <c r="AD50">
        <f>SUM(AD43:AD49)</f>
        <v>5.157</v>
      </c>
      <c r="AE50">
        <f>SUM(AE43:AE49)</f>
        <v>4.7450000000000001</v>
      </c>
    </row>
    <row r="51" spans="23:31">
      <c r="Z51">
        <v>6.6669999999999998</v>
      </c>
    </row>
    <row r="52" spans="23:31" ht="18.75">
      <c r="Z52" s="17">
        <v>5.7629999999999999</v>
      </c>
    </row>
    <row r="53" spans="23:31" ht="18.75">
      <c r="Z53" s="17">
        <v>5.157</v>
      </c>
    </row>
    <row r="54" spans="23:31" ht="18.75">
      <c r="Z54" s="17">
        <v>4.7450000000000001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Relative Cost</vt:lpstr>
      <vt:lpstr>Stakeholder Assessment</vt:lpstr>
      <vt:lpstr>Swing Weights</vt:lpstr>
      <vt:lpstr>Value Curves</vt:lpstr>
      <vt:lpstr>System Value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Brennan, Christine Ms CIV USA TRADOC</dc:creator>
  <cp:lastModifiedBy>Steve Mazza</cp:lastModifiedBy>
  <dcterms:created xsi:type="dcterms:W3CDTF">2011-08-31T20:15:12Z</dcterms:created>
  <dcterms:modified xsi:type="dcterms:W3CDTF">2011-09-01T16:08:55Z</dcterms:modified>
</cp:coreProperties>
</file>